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270" activeTab="0"/>
  </bookViews>
  <sheets>
    <sheet name="DWH-3, p1-4 ECOS Summary" sheetId="1" r:id="rId1"/>
    <sheet name="DWH-3, p5 Energy Cost Summary" sheetId="2" r:id="rId2"/>
    <sheet name="DWH-3, p6 Demand Cost Summary" sheetId="3" r:id="rId3"/>
    <sheet name="DWH-3, p7 Customer Cost Summary" sheetId="4" r:id="rId4"/>
    <sheet name="DWH-3, p8 Revenue Detail" sheetId="5" r:id="rId5"/>
    <sheet name="DWH-3, p9-11 Expense Detail" sheetId="6" r:id="rId6"/>
    <sheet name="DWH-3, p12-14 Ratebase Detail" sheetId="7" r:id="rId7"/>
    <sheet name="DWH-3, p15 Basic Charge Detail" sheetId="8" r:id="rId8"/>
    <sheet name="DWH-3, p16 Sch 40 Feeder Detail" sheetId="9" r:id="rId9"/>
    <sheet name="DWH-3, p17 Sch 40 Sub OM Detail" sheetId="10" r:id="rId10"/>
    <sheet name="DWH-3, p18 Sch 40 Sub AG Detail" sheetId="11" r:id="rId11"/>
  </sheets>
  <externalReferences>
    <externalReference r:id="rId14"/>
  </externalReferences>
  <definedNames>
    <definedName name="CASE">'[1]INPUTS'!$C$11</definedName>
    <definedName name="OthRCF">'[1]INPUTS'!$F$46</definedName>
    <definedName name="_xlnm.Print_Area" localSheetId="6">'DWH-3, p12-14 Ratebase Detail'!$A$1:$O$150</definedName>
    <definedName name="_xlnm.Print_Area" localSheetId="0">'DWH-3, p1-4 ECOS Summary'!$A$1:$P$191</definedName>
    <definedName name="_xlnm.Print_Area" localSheetId="7">'DWH-3, p15 Basic Charge Detail'!$A$1:$O$62</definedName>
    <definedName name="_xlnm.Print_Area" localSheetId="8">'DWH-3, p16 Sch 40 Feeder Detail'!$A$1:$E$33</definedName>
    <definedName name="_xlnm.Print_Area" localSheetId="9">'DWH-3, p17 Sch 40 Sub OM Detail'!$A$1:$C$30</definedName>
    <definedName name="_xlnm.Print_Area" localSheetId="10">'DWH-3, p18 Sch 40 Sub AG Detail'!$A$1:$C$24</definedName>
    <definedName name="_xlnm.Print_Area" localSheetId="1">'DWH-3, p5 Energy Cost Summary'!$A$1:$P$28</definedName>
    <definedName name="_xlnm.Print_Area" localSheetId="2">'DWH-3, p6 Demand Cost Summary'!$A$1:$P$26</definedName>
    <definedName name="_xlnm.Print_Area" localSheetId="3">'DWH-3, p7 Customer Cost Summary'!$A$1:$P$26</definedName>
    <definedName name="_xlnm.Print_Area" localSheetId="4">'DWH-3, p8 Revenue Detail'!$A$1:$O$55</definedName>
    <definedName name="_xlnm.Print_Area" localSheetId="5">'DWH-3, p9-11 Expense Detail'!$A$1:$O$148</definedName>
    <definedName name="_xlnm.Print_Titles" localSheetId="6">'DWH-3, p12-14 Ratebase Detail'!$1:$7</definedName>
    <definedName name="_xlnm.Print_Titles" localSheetId="0">'DWH-3, p1-4 ECOS Summary'!$A:$E</definedName>
    <definedName name="_xlnm.Print_Titles" localSheetId="7">'DWH-3, p15 Basic Charge Detail'!$A:$D</definedName>
    <definedName name="_xlnm.Print_Titles" localSheetId="8">'DWH-3, p16 Sch 40 Feeder Detail'!$B:$C,'DWH-3, p16 Sch 40 Feeder Detail'!$6:$7</definedName>
    <definedName name="_xlnm.Print_Titles" localSheetId="9">'DWH-3, p17 Sch 40 Sub OM Detail'!$B:$C,'DWH-3, p17 Sch 40 Sub OM Detail'!$5:$6</definedName>
    <definedName name="_xlnm.Print_Titles" localSheetId="10">'DWH-3, p18 Sch 40 Sub AG Detail'!$B:$C,'DWH-3, p18 Sch 40 Sub AG Detail'!#REF!</definedName>
    <definedName name="_xlnm.Print_Titles" localSheetId="1">'DWH-3, p5 Energy Cost Summary'!$A:$E</definedName>
    <definedName name="_xlnm.Print_Titles" localSheetId="2">'DWH-3, p6 Demand Cost Summary'!$A:$E</definedName>
    <definedName name="_xlnm.Print_Titles" localSheetId="3">'DWH-3, p7 Customer Cost Summary'!$A:$E</definedName>
    <definedName name="_xlnm.Print_Titles" localSheetId="4">'DWH-3, p8 Revenue Detail'!$1:$7</definedName>
    <definedName name="_xlnm.Print_Titles" localSheetId="5">'DWH-3, p9-11 Expense Detail'!$1:$7</definedName>
    <definedName name="ResRCF">'[1]INPUTS'!$F$44</definedName>
    <definedName name="ROD">'[1]INPUTS'!$F$30</definedName>
    <definedName name="ROR">'[1]INPUTS'!$F$29</definedName>
    <definedName name="SBRCF">'[1]INPUTS'!$F$45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<sst xmlns="http://schemas.openxmlformats.org/spreadsheetml/2006/main" count="1079" uniqueCount="566">
  <si>
    <t>Puget Sound Energy</t>
  </si>
  <si>
    <t>ELECTRIC COST OF SERVICE SUMMARY</t>
  </si>
  <si>
    <t>Line No.</t>
  </si>
  <si>
    <t>Description</t>
  </si>
  <si>
    <t>Total Company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</si>
  <si>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</si>
  <si>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</si>
  <si>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</si>
  <si>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</si>
  <si>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</si>
  <si>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</si>
  <si>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</si>
  <si>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</si>
  <si>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</si>
  <si>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Firm Resale /
Special Contract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</si>
  <si>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</si>
  <si>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</si>
  <si>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</si>
  <si>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</si>
  <si>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</si>
  <si>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</si>
  <si>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</si>
  <si>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</si>
  <si>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</si>
  <si>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</si>
  <si>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</si>
  <si>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Rate Base</t>
  </si>
  <si>
    <t>Plant in Service</t>
  </si>
  <si>
    <t>Accumulated Reserve</t>
  </si>
  <si>
    <t>Other Ratebase Items</t>
  </si>
  <si>
    <t>TOTAL RATE BASE</t>
  </si>
  <si>
    <t>Firm Sales</t>
  </si>
  <si>
    <t>Non-Firm Sales</t>
  </si>
  <si>
    <t>Other Operating Revenue</t>
  </si>
  <si>
    <t>Expenses at Current Rates</t>
  </si>
  <si>
    <t>Operation and Maintenance</t>
  </si>
  <si>
    <t>Depreciation Expense</t>
  </si>
  <si>
    <t>Taxes Other Than Income</t>
  </si>
  <si>
    <t>Income Taxes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</si>
  <si>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</si>
  <si>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</si>
  <si>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</si>
  <si>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</si>
  <si>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Revenue Conversion Factor</t>
  </si>
  <si>
    <t>Revenue Deficiency / (Surplus)</t>
  </si>
  <si>
    <t>Revenue Requirement</t>
  </si>
  <si>
    <t>Revenues Other Than Rate Sch. Rev.</t>
  </si>
  <si>
    <t>Rate Schedule Revenue Requirement</t>
  </si>
  <si>
    <t>Deficiency / (Surplus) as % of Firm Sales</t>
  </si>
  <si>
    <t>Expense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</si>
  <si>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</si>
  <si>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</si>
  <si>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</si>
  <si>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</si>
  <si>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</si>
  <si>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Requirement</t>
  </si>
  <si>
    <t>Current Revenue to Cost Ratio</t>
  </si>
  <si>
    <t>Parity Ratio</t>
  </si>
  <si>
    <t>Proposed Revenue to Cost Ratio</t>
  </si>
  <si>
    <t>Functional Rate Base</t>
  </si>
  <si>
    <t>System Total</t>
  </si>
  <si>
    <t>TOTAL</t>
  </si>
  <si>
    <t>Functional Revenue Requirement</t>
  </si>
  <si>
    <t>TOTAL REVENUE REQUIREMENT</t>
  </si>
  <si>
    <t>Unit Costs (per kWh)</t>
  </si>
  <si>
    <t>Total</t>
  </si>
  <si>
    <t>Delivered kWh</t>
  </si>
  <si>
    <t>Allocate Deficiency to Cost</t>
  </si>
  <si>
    <t>Uncollectible Expense</t>
  </si>
  <si>
    <t>Regulatory Exp</t>
  </si>
  <si>
    <t>Utility Tax</t>
  </si>
  <si>
    <t>FIT</t>
  </si>
  <si>
    <t>Total Deficiency (Expense)</t>
  </si>
  <si>
    <t>Allocation to Class</t>
  </si>
  <si>
    <t>ELECTRIC COST OF SERVICE SUMMARY - ENERGY RELATED</t>
  </si>
  <si>
    <t>Expense</t>
  </si>
  <si>
    <t>TOTAL EXPENSES</t>
  </si>
  <si>
    <t>Requested Return on Net Investment</t>
  </si>
  <si>
    <t>Total Cost of Service</t>
  </si>
  <si>
    <t>Construction Work in Progress</t>
  </si>
  <si>
    <t>Working Capital Assets</t>
  </si>
  <si>
    <t>Other Items</t>
  </si>
  <si>
    <t>ELECTRIC COST OF SERVICE SUMMARY - DEMAND RELATED</t>
  </si>
  <si>
    <t>ELECTRIC COST OF SERVICE SUMMARY -CUSTOMER RELATED</t>
  </si>
  <si>
    <t>COS ID</t>
  </si>
  <si>
    <t>Account Description</t>
  </si>
  <si>
    <t>Allocation Method</t>
  </si>
  <si>
    <t>SALES REVENUE</t>
  </si>
  <si>
    <t>TOTAL OPERATING EXPENSES</t>
  </si>
  <si>
    <t>(i)</t>
  </si>
  <si>
    <t>(j)</t>
  </si>
  <si>
    <t>PLANT INVESTMENT:</t>
  </si>
  <si>
    <t>Meters (A/C 370)</t>
  </si>
  <si>
    <t>UG Service (A/C 369)</t>
  </si>
  <si>
    <t>OH Service (A/C 369)</t>
  </si>
  <si>
    <t>Transformers (A/C 368)</t>
  </si>
  <si>
    <t>Subtotal Transformer, Meter &amp; Service</t>
  </si>
  <si>
    <t>General Plant</t>
  </si>
  <si>
    <t>Prod, Trans &amp; Dist Plant</t>
  </si>
  <si>
    <t>Related General Plant</t>
  </si>
  <si>
    <t>Related Distribution Accumulated Depreciation</t>
  </si>
  <si>
    <t>General Accumulated Depreciation</t>
  </si>
  <si>
    <t>Related General Accumulated Depreciation</t>
  </si>
  <si>
    <t>Net Plant Investment</t>
  </si>
  <si>
    <t>EXPENSE:</t>
  </si>
  <si>
    <t>OE - Supervision &amp; Eng (A/C 580)</t>
  </si>
  <si>
    <t>OE - Meters (A/C 586)</t>
  </si>
  <si>
    <t>OE - Customer Installation (A/C 587)</t>
  </si>
  <si>
    <t>ME - Line Transformers (A/C 595)</t>
  </si>
  <si>
    <t>ME - Meters (A/C 597)</t>
  </si>
  <si>
    <t>CAE - Supervision (A/C 901)</t>
  </si>
  <si>
    <t>CAE - Meter Reading (A/C 902)</t>
  </si>
  <si>
    <t>CAE - Records &amp; Collections (A/C 903)</t>
  </si>
  <si>
    <t>Subtotal O&amp;M and Cust Acctg Expense</t>
  </si>
  <si>
    <t>Total Admin &amp; General</t>
  </si>
  <si>
    <t>Total Prod, Tran, Dist &amp; Customer Expense</t>
  </si>
  <si>
    <t>Related Admin &amp; General</t>
  </si>
  <si>
    <t>Distribution Depreciation Expense</t>
  </si>
  <si>
    <t>Related Distribution Depreciation Expense</t>
  </si>
  <si>
    <t>Total Depreciation Expense</t>
  </si>
  <si>
    <t>General Distribution Expense</t>
  </si>
  <si>
    <t>Depreciation Net of General Expense</t>
  </si>
  <si>
    <t>Related General Depr Expense</t>
  </si>
  <si>
    <t>Total Plant in Service</t>
  </si>
  <si>
    <t>Property Tax (A/C 236)</t>
  </si>
  <si>
    <t>Related Property Tax</t>
  </si>
  <si>
    <t>Total Related Expense</t>
  </si>
  <si>
    <t>Customers (Annual)</t>
  </si>
  <si>
    <t>Cost of Capital (Net of Tax)</t>
  </si>
  <si>
    <t>Conversion Factor</t>
  </si>
  <si>
    <t>1 - FIT Rate</t>
  </si>
  <si>
    <t>$ / Month per Customer for Plant Investment</t>
  </si>
  <si>
    <t>$ / Month per Customer for Expense</t>
  </si>
  <si>
    <t>TOTAL MONTHLY CUSTOMER CHARGE</t>
  </si>
  <si>
    <t>Line</t>
  </si>
  <si>
    <t>FERC 366 &amp; 367</t>
  </si>
  <si>
    <t>No.</t>
  </si>
  <si>
    <t>% to Total</t>
  </si>
  <si>
    <t>UG Lines</t>
  </si>
  <si>
    <t>Distribution Ratebase</t>
  </si>
  <si>
    <t>Direct Ratebase</t>
  </si>
  <si>
    <t>Direct Accumulated Depreciation</t>
  </si>
  <si>
    <t>Indirect Ratebase</t>
  </si>
  <si>
    <t>General / Other Ratebase</t>
  </si>
  <si>
    <t>Total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</si>
  <si>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</si>
  <si>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</si>
  <si>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</si>
  <si>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</si>
  <si>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</si>
  <si>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</si>
  <si>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</si>
  <si>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</si>
  <si>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</si>
  <si>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</si>
  <si>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</si>
  <si>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</si>
  <si>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A&amp;G - Operating Expense</t>
  </si>
  <si>
    <t>A&amp;G - Maintenance Expense</t>
  </si>
  <si>
    <t>Total A&amp;G</t>
  </si>
  <si>
    <t>Plant In Service</t>
  </si>
  <si>
    <t>Intangible Plant</t>
  </si>
  <si>
    <t>Total Plant In Service</t>
  </si>
  <si>
    <t>% A&amp;G to Total Plant</t>
  </si>
  <si>
    <t>Distribution Operating Expense</t>
  </si>
  <si>
    <t>Distribution Maintenance Expense</t>
  </si>
  <si>
    <t>Total Distribution O&amp;M Expense</t>
  </si>
  <si>
    <t>Distribution Plant in Service</t>
  </si>
  <si>
    <t>% Dist O&amp;M Expense to Plant</t>
  </si>
  <si>
    <t>Total O&amp;M and A&amp;G</t>
  </si>
  <si>
    <t>Revenue Sensitive Factor</t>
  </si>
  <si>
    <t>After Tax Rate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</si>
  <si>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</si>
  <si>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</si>
  <si>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</si>
  <si>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</si>
  <si>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</si>
  <si>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</si>
  <si>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</si>
  <si>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</si>
  <si>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</si>
  <si>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</si>
  <si>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</si>
  <si>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</si>
  <si>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</si>
  <si>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</si>
  <si>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PROFORMA_RETAIL</t>
  </si>
  <si>
    <t>DIR_449</t>
  </si>
  <si>
    <t>DIR_RESALE_SMALL</t>
  </si>
  <si>
    <t>UNBILLED</t>
  </si>
  <si>
    <t>DIR_449_OATT</t>
  </si>
  <si>
    <t>DIR_SPEC_CONT</t>
  </si>
  <si>
    <t>DIR450.01</t>
  </si>
  <si>
    <t>DIR450.02</t>
  </si>
  <si>
    <t>CUST_2</t>
  </si>
  <si>
    <t>DIR451.02</t>
  </si>
  <si>
    <t>DIR451.03</t>
  </si>
  <si>
    <t>DIR451.05</t>
  </si>
  <si>
    <t>DIR451.06</t>
  </si>
  <si>
    <t>DIR451.07</t>
  </si>
  <si>
    <t>PP.T</t>
  </si>
  <si>
    <t>D364.T</t>
  </si>
  <si>
    <t>PTDP.T</t>
  </si>
  <si>
    <t>DIR_40</t>
  </si>
  <si>
    <t>DIR454.06</t>
  </si>
  <si>
    <t>DIR373.00</t>
  </si>
  <si>
    <t>PC3</t>
  </si>
  <si>
    <t>DP.T</t>
  </si>
  <si>
    <t>LINE.T</t>
  </si>
  <si>
    <t>GP.T</t>
  </si>
  <si>
    <t>Other Elect Revenue - CLX Reconciliation Adjustment</t>
  </si>
  <si>
    <t>CUST_3</t>
  </si>
  <si>
    <t>Other Elect Revenue - Intolight</t>
  </si>
  <si>
    <t>Other Elect Revenue - AG Settlement</t>
  </si>
  <si>
    <t>BPAX</t>
  </si>
  <si>
    <t>ANCIL</t>
  </si>
  <si>
    <t>IMBAL</t>
  </si>
  <si>
    <t>ENERGY_2</t>
  </si>
  <si>
    <t>ENERGY_1</t>
  </si>
  <si>
    <t>TP.T</t>
  </si>
  <si>
    <t>DIR565.02</t>
  </si>
  <si>
    <t>DEM_12NCP1</t>
  </si>
  <si>
    <t>D362.T</t>
  </si>
  <si>
    <t>D366.T</t>
  </si>
  <si>
    <t>D370.T</t>
  </si>
  <si>
    <t>DES1.T</t>
  </si>
  <si>
    <t>CAES1.T</t>
  </si>
  <si>
    <t>CUST_4</t>
  </si>
  <si>
    <t>DIR904.00</t>
  </si>
  <si>
    <t>CUST_1</t>
  </si>
  <si>
    <t>DIR908.01</t>
  </si>
  <si>
    <t>ADJPTDCE.T</t>
  </si>
  <si>
    <t>PTDGP.T</t>
  </si>
  <si>
    <t>SW.T</t>
  </si>
  <si>
    <t>D361.T</t>
  </si>
  <si>
    <t>D368.T</t>
  </si>
  <si>
    <t>DES2.T</t>
  </si>
  <si>
    <t>TDP.T</t>
  </si>
  <si>
    <t>PC4</t>
  </si>
  <si>
    <t>REVFAC1.T</t>
  </si>
  <si>
    <t>RB.T</t>
  </si>
  <si>
    <t>DIR360.01</t>
  </si>
  <si>
    <t>NCP_360</t>
  </si>
  <si>
    <t>DIR361.01</t>
  </si>
  <si>
    <t>NCP_361</t>
  </si>
  <si>
    <t>DIR362.01</t>
  </si>
  <si>
    <t>NCP_362</t>
  </si>
  <si>
    <t>OH_NCP</t>
  </si>
  <si>
    <t>DIR364.01</t>
  </si>
  <si>
    <t>UG_NCP</t>
  </si>
  <si>
    <t>DEM_3B</t>
  </si>
  <si>
    <t>DIR366.01</t>
  </si>
  <si>
    <t>TFR</t>
  </si>
  <si>
    <t>OH_SVC</t>
  </si>
  <si>
    <t>RESID</t>
  </si>
  <si>
    <t>METER</t>
  </si>
  <si>
    <t>DIR372.00</t>
  </si>
  <si>
    <t>SWPTD.T</t>
  </si>
  <si>
    <t>DIR108.360</t>
  </si>
  <si>
    <t>DIR108.361</t>
  </si>
  <si>
    <t>DIR108.362</t>
  </si>
  <si>
    <t>DIR108.364</t>
  </si>
  <si>
    <t>DIR108.366</t>
  </si>
  <si>
    <t>D369.T</t>
  </si>
  <si>
    <t>EPIS.T</t>
  </si>
  <si>
    <t>DIR235.00</t>
  </si>
  <si>
    <t>DIR252.00</t>
  </si>
  <si>
    <t>Adjusted Test Year Twelve Months ended December 2008 @ Proforma Rev Requirement</t>
  </si>
  <si>
    <t>Revenue at Current Rates</t>
  </si>
  <si>
    <t>TOTAL REVENUE - Current</t>
  </si>
  <si>
    <t>TOTAL EXPENSES - Current</t>
  </si>
  <si>
    <t>OPERATING INCOME - Current</t>
  </si>
  <si>
    <t>Current Rate of Return</t>
  </si>
  <si>
    <t>Production</t>
  </si>
  <si>
    <t>Demand</t>
  </si>
  <si>
    <t>Energy</t>
  </si>
  <si>
    <t>Customer</t>
  </si>
  <si>
    <t>~</t>
  </si>
  <si>
    <t>Transmission</t>
  </si>
  <si>
    <t>Distribution</t>
  </si>
  <si>
    <t>RATE BASE</t>
  </si>
  <si>
    <t>Plant-in-Service</t>
  </si>
  <si>
    <t>Production Plant</t>
  </si>
  <si>
    <t>Distribution Plant</t>
  </si>
  <si>
    <t>Sub-total</t>
  </si>
  <si>
    <t>Thermal Baseload Generation</t>
  </si>
  <si>
    <t>Hydro Baseload Generation</t>
  </si>
  <si>
    <t>Other Production Generation</t>
  </si>
  <si>
    <t>Transmission Plant</t>
  </si>
  <si>
    <t>Transmission Plant - Integrated Generation</t>
  </si>
  <si>
    <t>Bulk Transmission Plant (&gt;230 kV)</t>
  </si>
  <si>
    <t>Sub Transmission Plant (&lt;230 kV)</t>
  </si>
  <si>
    <t>Land &amp; Land Rights - Assigned</t>
  </si>
  <si>
    <t>Land &amp; Land Rights - Allocated</t>
  </si>
  <si>
    <t>Land &amp; Land Rights -  - HV Distribution</t>
  </si>
  <si>
    <t>Structures &amp; Improve - Assigned</t>
  </si>
  <si>
    <t>Structures &amp; Improve - Allocated</t>
  </si>
  <si>
    <t>Structures &amp; Improve -  - HV Distribution</t>
  </si>
  <si>
    <t>Station Equipment - Assigned</t>
  </si>
  <si>
    <t>Station Equipment - Allocated</t>
  </si>
  <si>
    <t>Station Equipment -  - HV Distribution</t>
  </si>
  <si>
    <t xml:space="preserve">Poles Towers &amp; Fixtures </t>
  </si>
  <si>
    <t>Poles Towers &amp; Fixtures  - HV Distribution</t>
  </si>
  <si>
    <t>OH Lines Direct Assignment</t>
  </si>
  <si>
    <t xml:space="preserve">OVHD Cond &amp; Devices </t>
  </si>
  <si>
    <t>OVHD Cond &amp; Devices  - HV Distribution</t>
  </si>
  <si>
    <t xml:space="preserve">UG Conduit </t>
  </si>
  <si>
    <t>UG Conduit  - HV Distribution</t>
  </si>
  <si>
    <t>UG Conduit Direct Assignment</t>
  </si>
  <si>
    <t xml:space="preserve">UG Conductor &amp; Devices </t>
  </si>
  <si>
    <t>UG Conductor &amp; Devices - HV Distribution</t>
  </si>
  <si>
    <t>368.OH</t>
  </si>
  <si>
    <t>Line Transf  OVHD</t>
  </si>
  <si>
    <t>368.UG</t>
  </si>
  <si>
    <t>Line Transf  UNGD</t>
  </si>
  <si>
    <t>Line Transf  Assigned</t>
  </si>
  <si>
    <t>369.OH</t>
  </si>
  <si>
    <t>Services - OVHD</t>
  </si>
  <si>
    <t>369.UG</t>
  </si>
  <si>
    <t>Services - UNGD</t>
  </si>
  <si>
    <t>Meters</t>
  </si>
  <si>
    <t>Leased Prop Assigned - Water Htrs</t>
  </si>
  <si>
    <t xml:space="preserve">Str &amp; Area Lighting Sys </t>
  </si>
  <si>
    <t>Asset Retirement Obligation</t>
  </si>
  <si>
    <t>Easements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</si>
  <si>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</si>
  <si>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</si>
  <si>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</si>
  <si>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</si>
  <si>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</si>
  <si>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</si>
  <si>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</si>
  <si>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</si>
  <si>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</si>
  <si>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</si>
  <si>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</si>
  <si>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</si>
  <si>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</si>
  <si>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Production</t>
  </si>
  <si>
    <t>Accum Amortization - PTD</t>
  </si>
  <si>
    <t>Accum Amortization - General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</si>
  <si>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</si>
  <si>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</si>
  <si>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</si>
  <si>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</si>
  <si>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108.04_IG</t>
  </si>
  <si>
    <t>Accum Depreciation Integrating Gen Transmisson Plant</t>
  </si>
  <si>
    <t>108.04_BT</t>
  </si>
  <si>
    <t>Accum Depreciation Bulk Transmisson Plant &gt;230kV</t>
  </si>
  <si>
    <t>108.04_ST</t>
  </si>
  <si>
    <t>Accum Depreciation Sub Transmisson Plant &lt;230kV</t>
  </si>
  <si>
    <t>108.05_360a</t>
  </si>
  <si>
    <t>Land Rights - Assigned</t>
  </si>
  <si>
    <t>108.05_360b</t>
  </si>
  <si>
    <t>Land Rights - Allocated</t>
  </si>
  <si>
    <t>108.05_360c</t>
  </si>
  <si>
    <t>Land Rights - HV Distribution</t>
  </si>
  <si>
    <t>108.05_361a</t>
  </si>
  <si>
    <t>108.05_361b</t>
  </si>
  <si>
    <t>108.05_361c</t>
  </si>
  <si>
    <t>Structures &amp; Improve - HV Distribution</t>
  </si>
  <si>
    <t>108.05_362a</t>
  </si>
  <si>
    <t>108.05_362b</t>
  </si>
  <si>
    <t>108.05_362c</t>
  </si>
  <si>
    <t>Station Equipment - HV Distribution</t>
  </si>
  <si>
    <t>108.10_364a</t>
  </si>
  <si>
    <t>108.10_364b</t>
  </si>
  <si>
    <t>108.10_364c</t>
  </si>
  <si>
    <t>Poles &amp; OH Conductor - Assigned</t>
  </si>
  <si>
    <t>108.10_365a</t>
  </si>
  <si>
    <t>108.10_365b</t>
  </si>
  <si>
    <t>OVHD Cond &amp; Devices - HV Distribution</t>
  </si>
  <si>
    <t>108.10_366a</t>
  </si>
  <si>
    <t xml:space="preserve">UNGD Conduit </t>
  </si>
  <si>
    <t>108.10_366b</t>
  </si>
  <si>
    <t>UNGD Conduit - HV Distribution</t>
  </si>
  <si>
    <t>108.10_366c</t>
  </si>
  <si>
    <t>UG Conduit &amp; Conductor - Assigned</t>
  </si>
  <si>
    <t>108.10_367a</t>
  </si>
  <si>
    <t xml:space="preserve">UNGDCond &amp; Devices </t>
  </si>
  <si>
    <t>108.10_367b</t>
  </si>
  <si>
    <t>UNGDCond &amp; Devices - HV Distribution</t>
  </si>
  <si>
    <t>108.10_368</t>
  </si>
  <si>
    <t>Line Transformers</t>
  </si>
  <si>
    <t>108.10_369</t>
  </si>
  <si>
    <t>Services</t>
  </si>
  <si>
    <t>108.10_370</t>
  </si>
  <si>
    <t>108.10_372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</si>
  <si>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</si>
  <si>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</si>
  <si>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</si>
  <si>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</si>
  <si>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</si>
  <si>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</si>
  <si>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WC</t>
  </si>
  <si>
    <t>Working Capital</t>
  </si>
  <si>
    <t>Misc Def Debits - Production</t>
  </si>
  <si>
    <t>Misc Def Debits - Transmission</t>
  </si>
  <si>
    <t>Misc Def Debits - WUTC AFUDC Non Project</t>
  </si>
  <si>
    <t xml:space="preserve">Accum Deferred Income Tax - Prod </t>
  </si>
  <si>
    <t>Accum Deferred Income Tax - Trans/Dist</t>
  </si>
  <si>
    <t>Accum Deferred Income Tax - Other</t>
  </si>
  <si>
    <t>Customer Deposits</t>
  </si>
  <si>
    <t>Customer Advances</t>
  </si>
  <si>
    <t>Non-Core Gas Capacity</t>
  </si>
  <si>
    <t>TOTAL OTHER RATE BASE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</si>
  <si>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</si>
  <si>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</si>
  <si>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</si>
  <si>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</si>
  <si>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</si>
  <si>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</si>
  <si>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</si>
  <si>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Production - O&amp;M - Purchase Power</t>
  </si>
  <si>
    <t>Purch Pwr - Other</t>
  </si>
  <si>
    <t>Purch Pwr - Res Exchange</t>
  </si>
  <si>
    <t>Purch Pwr - Transp Ancillary</t>
  </si>
  <si>
    <t>Purch Pwr - Transp Imbalance</t>
  </si>
  <si>
    <t>Regulation &amp; Frequency Response</t>
  </si>
  <si>
    <t>Production - O&amp;M - Wheeling</t>
  </si>
  <si>
    <t>Wheeling by Others - Wheeling</t>
  </si>
  <si>
    <t>Production - O&amp;M - Other</t>
  </si>
  <si>
    <t xml:space="preserve">Steam Prod O&amp;M </t>
  </si>
  <si>
    <t>Hydro Prod O&amp;M - O&amp;M</t>
  </si>
  <si>
    <t>Other Prod O&amp;M - O&amp;M</t>
  </si>
  <si>
    <t>System Control &amp; Load Dispatch</t>
  </si>
  <si>
    <t>Transmission  - O&amp;M</t>
  </si>
  <si>
    <t>Transmission O&amp;M - Direct Assigned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</si>
  <si>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</si>
  <si>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</si>
  <si>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</si>
  <si>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</si>
  <si>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</si>
  <si>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</si>
  <si>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</si>
  <si>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</si>
  <si>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</si>
  <si>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</si>
  <si>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</si>
  <si>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</si>
  <si>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</si>
  <si>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</si>
  <si>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</si>
  <si>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</si>
  <si>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</si>
  <si>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</si>
  <si>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Cust Assistance</t>
  </si>
  <si>
    <t>Cust Svc Exp - Weatherization</t>
  </si>
  <si>
    <t>Cust Svc Exp - Info &amp; Instruct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</si>
  <si>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</si>
  <si>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</si>
  <si>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</si>
  <si>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</si>
  <si>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</si>
  <si>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</si>
  <si>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A&amp;G Exp - Office Supplies</t>
  </si>
  <si>
    <t>A&amp;G Exp - Transf (credit)</t>
  </si>
  <si>
    <t>A&amp;G Exp - Outside Svcs</t>
  </si>
  <si>
    <t>A&amp;G Exp - Prop Insurance - Other</t>
  </si>
  <si>
    <t>A&amp;G Exp - Injuries &amp; Damages - Other</t>
  </si>
  <si>
    <t>A&amp;G Exp - Pensions &amp; Benefits</t>
  </si>
  <si>
    <t xml:space="preserve">A&amp;G Exp - Reg Comm Exp </t>
  </si>
  <si>
    <t>A&amp;G Exp - Miscellaneous</t>
  </si>
  <si>
    <t>A&amp;G Exp - Rents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</si>
  <si>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</si>
  <si>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</si>
  <si>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</si>
  <si>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</si>
  <si>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</si>
  <si>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General Expense - Maintenance &amp; Other</t>
  </si>
  <si>
    <t>A&amp;G Exp - Maint of Gen Plant</t>
  </si>
  <si>
    <t>Regulatory Debit / Credit - Production</t>
  </si>
  <si>
    <t>Regulatory Debit / Credit - Distribution</t>
  </si>
  <si>
    <t>Regulatory Debit / Credit - T&amp;D</t>
  </si>
  <si>
    <t>FAS 133 Gain / Loss - Production</t>
  </si>
  <si>
    <t>Other Utility Income</t>
  </si>
  <si>
    <t>TOTAL MAINTENANCE EXPENSES</t>
  </si>
  <si>
    <t>TOTAL O &amp; M EXPENSES</t>
  </si>
  <si>
    <t>Depr Exp - Production Steam Baseload</t>
  </si>
  <si>
    <t>Depr Exp - Production Hydro</t>
  </si>
  <si>
    <t>Depr Exp - Production Other</t>
  </si>
  <si>
    <t>Depr Exp - Transmission</t>
  </si>
  <si>
    <t>Depr Exp - Distribution</t>
  </si>
  <si>
    <t>Depr Exp - General</t>
  </si>
  <si>
    <t>Depr Exp - FAS 143</t>
  </si>
  <si>
    <t>Depr Exp - VROW</t>
  </si>
  <si>
    <t>Amort Exp - Limited Term Plant - Hydro Prod</t>
  </si>
  <si>
    <t>Amort Exp - Limited Term Plant - Other Prod</t>
  </si>
  <si>
    <t>Amort Exp - Limited Term Plant - General</t>
  </si>
  <si>
    <t>Amort Exp - FAS 143</t>
  </si>
  <si>
    <t>Amort Exp - WUTC AFUDC - Non Project</t>
  </si>
  <si>
    <t>Amort Exp - Acq Adjustment - Transmission</t>
  </si>
  <si>
    <t>Amort Exp - Acq Adjustment - Distribution</t>
  </si>
  <si>
    <t>Amort Exp - FERC Colstrip - General</t>
  </si>
  <si>
    <t>Amort Exp - Acq Adjustment - Encogen</t>
  </si>
  <si>
    <t>Amort Exp - Property Losses - Production</t>
  </si>
  <si>
    <t>Amort Exp - Storm T&amp;D</t>
  </si>
  <si>
    <t>TOTAL DEPRECIATION EXPENSES</t>
  </si>
  <si>
    <t>Taxes (Other Than Income)</t>
  </si>
  <si>
    <t>Property Taxes</t>
  </si>
  <si>
    <t>Payroll Taxes</t>
  </si>
  <si>
    <t>Other Taxes - Wash Excise - Allocated</t>
  </si>
  <si>
    <t>Other Taxes - Muni</t>
  </si>
  <si>
    <t>Other Taxes - MT Corp Lic</t>
  </si>
  <si>
    <t>Other Taxes - MT Elec Energy Lic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</si>
  <si>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</si>
  <si>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</si>
  <si>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</si>
  <si>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</si>
  <si>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</si>
  <si>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</si>
  <si>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411.10</t>
  </si>
  <si>
    <t>Prov for Def Income Tax (Credit)</t>
  </si>
  <si>
    <t>TOTAL FIT</t>
  </si>
  <si>
    <t>REVENUE</t>
  </si>
  <si>
    <t>Sales of Electricity - Firm Revenue</t>
  </si>
  <si>
    <t>Sales of Electricity - Transportation Revenue - Retail</t>
  </si>
  <si>
    <t>Sales of Electricity - Small Firm Resale</t>
  </si>
  <si>
    <t>Sales of Electricity - Unbilled Revenue</t>
  </si>
  <si>
    <t>Other Elect Revenue -  OATT - Sch 449</t>
  </si>
  <si>
    <t>Other Elect Revenue - Special Contract Revenue</t>
  </si>
  <si>
    <t>NON FIRM REVENUE</t>
  </si>
  <si>
    <t>Sales of Electricity - Non Firm Revenue</t>
  </si>
  <si>
    <t>TOTAL NON FIRM REVENUE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</si>
  <si>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</si>
  <si>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</si>
  <si>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</si>
  <si>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</si>
  <si>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Seas Svc Charge</t>
  </si>
  <si>
    <t>Misc Service Revenue - Reconnection Charge</t>
  </si>
  <si>
    <t>Misc Service Revenue - Modified Service Charge</t>
  </si>
  <si>
    <t>Misc Service Revenue - Water Heater Rental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</si>
  <si>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</si>
  <si>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</si>
  <si>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</si>
  <si>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</si>
  <si>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</si>
  <si>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Distribution Pole Contacts</t>
  </si>
  <si>
    <t>Rental Revenue - Personal Cell Site</t>
  </si>
  <si>
    <t>Rental Revenue - Land &amp; Bldg</t>
  </si>
  <si>
    <t>Rental Revenue - Reserve of Power Capacity</t>
  </si>
  <si>
    <t>Rental Revenue - Transf &amp; Equip</t>
  </si>
  <si>
    <t>Rental Revenue - Pole Rental</t>
  </si>
  <si>
    <t>Other Elect Revenue -  Wheeling</t>
  </si>
  <si>
    <t>Other Elect Revenue - Jobbing Revenue</t>
  </si>
  <si>
    <t>Other Elect Revenue - Dist O&amp;M</t>
  </si>
  <si>
    <t>Other Elect Revenue - Ormat NW Settlement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</si>
  <si>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</si>
  <si>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</si>
  <si>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</si>
  <si>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</si>
  <si>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</si>
  <si>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Small Generator Application Fee</t>
  </si>
  <si>
    <t>TOTAL OTHER OPERATING INCOME</t>
  </si>
  <si>
    <t>TOTAL REVENUE</t>
  </si>
  <si>
    <t>(f)</t>
  </si>
  <si>
    <t>ELECTRIC COST OF SERVICE</t>
  </si>
  <si>
    <t>Revenue Detail</t>
  </si>
  <si>
    <t>Expense Detail</t>
  </si>
  <si>
    <t>Ratebase Detail</t>
  </si>
  <si>
    <t>Customer Charge Detail</t>
  </si>
  <si>
    <t>Schedule 40 Feeder Overhead</t>
  </si>
  <si>
    <t>Schedule 40 Substation O&amp;M Overhead</t>
  </si>
  <si>
    <t>Substation O&amp;M  %</t>
  </si>
  <si>
    <t>Substation A&amp;G  %</t>
  </si>
  <si>
    <t>Schedule 40 Substation Admin &amp; General Overhead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</si>
</sst>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(&quot;$&quot;* #,##0_);_(&quot;$&quot;* \(#,##0\);_(&quot;$&quot;* &quot;-&quot;??_);_(@_)"/>
    <numFmt numFmtId="166" formatCode="&quot;$&quot;#,##0.00"/>
    <numFmt numFmtId="167" formatCode="_(&quot;$&quot;* #,##0.0000_);_(&quot;$&quot;* \(#,##0.0000\);_(&quot;$&quot;* &quot;-&quot;????_);_(@_)"/>
    <numFmt numFmtId="168" formatCode="_(* #,##0.0_);_(* \(#,##0.0\);_(* &quot;-&quot;_);_(@_)"/>
    <numFmt numFmtId="169" formatCode="_(* #,##0.0000_);_(* \(#,##0.0000\);_(* &quot;-&quot;_);_(@_)"/>
    <numFmt numFmtId="170" formatCode="_(&quot;$&quot;* #,##0.000_);_(&quot;$&quot;* \(#,##0.000\);_(&quot;$&quot;* &quot;-&quot;????_);_(@_)"/>
    <numFmt numFmtId="171" formatCode="0.000%"/>
    <numFmt numFmtId="172" formatCode="0.0000%"/>
    <numFmt numFmtId="173" formatCode="_(* #,##0_);_(* \(#,##0\);_(* &quot;-&quot;??_);_(@_)"/>
    <numFmt numFmtId="174" formatCode="_(* #,##0.0_);_(* \(#,##0.0\);_(* &quot;-&quot;?_);_(@_)"/>
    <numFmt numFmtId="175" formatCode="_(* #,##0.00000_);_(* \(#,##0.00000\);_(* &quot;-&quot;????_);_(@_)"/>
    <numFmt numFmtId="176" formatCode="_(* #,##0.00_);_(* \(#,##0.00\);_(* &quot;-&quot;_);_(@_)"/>
    <numFmt numFmtId="177" formatCode="_(* #,##0.000000_);_(* \(#,##0.000000\);_(* &quot;-&quot;_);_(@_)"/>
    <numFmt numFmtId="178" formatCode="_(* #,##0.0000_);_(* \(#,##0.0000\);_(* &quot;-&quot;??_);_(@_)"/>
    <numFmt numFmtId="179" formatCode="#."/>
    <numFmt numFmtId="180" formatCode="mmmm\ d\,\ yyyy"/>
    <numFmt numFmtId="181" formatCode="0.0000_);\(0.0000\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* #,##0.0_);_(* \(#,##0.0\);_(* &quot;-&quot;??_);_(@_)"/>
    <numFmt numFmtId="187" formatCode="0.0000000"/>
    <numFmt numFmtId="188" formatCode="0.000000"/>
    <numFmt numFmtId="189" formatCode="_(* #,##0.000_);_(* \(#,##0.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_);_(* \(#,##0.0000\);_(* &quot;-&quot;????_);_(@_)"/>
    <numFmt numFmtId="195" formatCode="_(&quot;$&quot;* #,##0.0_);_(&quot;$&quot;* \(#,##0.0\);_(&quot;$&quot;* &quot;-&quot;??_);_(@_)"/>
    <numFmt numFmtId="196" formatCode="0.0%"/>
    <numFmt numFmtId="197" formatCode="_(* #,##0.0000000_);_(* \(#,##0.0000000\);_(* &quot;-&quot;?????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"/>
    <numFmt numFmtId="203" formatCode="&quot;$&quot;#,##0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0.00000%"/>
    <numFmt numFmtId="208" formatCode="_(* ###0_);_(* \(###0\);_(* &quot;-&quot;_);_(@_)"/>
    <numFmt numFmtId="209" formatCode="0.00_)"/>
    <numFmt numFmtId="210" formatCode="d\.mmm\.yy"/>
    <numFmt numFmtId="211" formatCode="_(&quot;$&quot;* #,##0.000000_);_(&quot;$&quot;* \(#,##0.000000\);_(&quot;$&quot;* &quot;-&quot;??????_);_(@_)"/>
    <numFmt numFmtId="212" formatCode="&quot;$&quot;#,##0;\-&quot;$&quot;#,##0"/>
    <numFmt numFmtId="213" formatCode="#,##0.00\ ;\(#,##0.00\)"/>
  </numFmts>
  <fonts count="55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name val="Arial Narrow"/>
      <family val="0"/>
    </font>
    <font>
      <sz val="12"/>
      <name val="Arial"/>
      <family val="0"/>
    </font>
    <font>
      <sz val="10"/>
      <name val="Helv"/>
      <family val="0"/>
    </font>
    <font>
      <sz val="12"/>
      <name val="TIMES"/>
      <family val="0"/>
    </font>
    <font>
      <sz val="10"/>
      <color indexed="24"/>
      <name val="Arial"/>
      <family val="2"/>
    </font>
    <font>
      <sz val="1"/>
      <color indexed="16"/>
      <name val="Courier"/>
      <family val="0"/>
    </font>
    <font>
      <sz val="10"/>
      <name val="MS Serif"/>
      <family val="1"/>
    </font>
    <font>
      <sz val="10"/>
      <name val="Courier"/>
      <family val="3"/>
    </font>
    <font>
      <sz val="10"/>
      <color indexed="22"/>
      <name val="Arial"/>
      <family val="0"/>
    </font>
    <font>
      <i/>
      <sz val="11"/>
      <color indexed="23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0"/>
    </font>
    <font>
      <b/>
      <sz val="11"/>
      <color indexed="56"/>
      <name val="Calibri"/>
      <family val="2"/>
    </font>
    <font>
      <i/>
      <sz val="9"/>
      <name val="Times New Roman"/>
      <family val="0"/>
    </font>
    <font>
      <b/>
      <sz val="8"/>
      <name val="Arial"/>
      <family val="0"/>
    </font>
    <font>
      <u val="single"/>
      <sz val="9"/>
      <color indexed="12"/>
      <name val="Arial"/>
      <family val="0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0"/>
    </font>
    <font>
      <sz val="11"/>
      <color indexed="52"/>
      <name val="Calibri"/>
      <family val="2"/>
    </font>
    <font>
      <b/>
      <sz val="10"/>
      <name val="Arial"/>
      <family val="0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0"/>
    </font>
    <font>
      <sz val="12"/>
      <color indexed="10"/>
      <name val="TIMES"/>
      <family val="0"/>
    </font>
    <font>
      <i/>
      <sz val="10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24">
    <xf numFmtId="188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 horizontal="left" wrapText="1"/>
      <protection/>
    </xf>
    <xf numFmtId="0" fontId="0" fillId="0" borderId="0">
      <alignment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87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0" fontId="1" fillId="0" borderId="0">
      <alignment/>
      <protection/>
    </xf>
    <xf numFmtId="190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7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0" fontId="1" fillId="0" borderId="0">
      <alignment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210" fontId="5" fillId="0" borderId="0" applyFill="0" applyBorder="0" applyAlignment="0">
      <protection/>
    </xf>
    <xf numFmtId="41" fontId="0" fillId="2" borderId="0">
      <alignment/>
      <protection/>
    </xf>
    <xf numFmtId="0" fontId="6" fillId="21" borderId="1" applyNumberFormat="0" applyAlignment="0" applyProtection="0"/>
    <xf numFmtId="41" fontId="0" fillId="22" borderId="0">
      <alignment/>
      <protection/>
    </xf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8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79" fontId="12" fillId="0" borderId="0">
      <alignment/>
      <protection locked="0"/>
    </xf>
    <xf numFmtId="0" fontId="10" fillId="0" borderId="0">
      <alignment/>
      <protection/>
    </xf>
    <xf numFmtId="0" fontId="13" fillId="0" borderId="0" applyNumberFormat="0" applyAlignment="0">
      <protection/>
    </xf>
    <xf numFmtId="0" fontId="14" fillId="0" borderId="0" applyNumberFormat="0" applyAlignment="0"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8" fillId="0" borderId="0" applyFill="0" applyBorder="0" applyAlignment="0" applyProtection="0"/>
    <xf numFmtId="180" fontId="8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0" fillId="0" borderId="0">
      <alignment/>
      <protection/>
    </xf>
    <xf numFmtId="0" fontId="16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38" fontId="19" fillId="22" borderId="0" applyNumberFormat="0" applyBorder="0" applyAlignment="0" applyProtection="0"/>
    <xf numFmtId="38" fontId="19" fillId="22" borderId="0" applyNumberFormat="0" applyBorder="0" applyAlignment="0" applyProtection="0"/>
    <xf numFmtId="38" fontId="19" fillId="22" borderId="0" applyNumberFormat="0" applyBorder="0" applyAlignment="0" applyProtection="0"/>
    <xf numFmtId="38" fontId="19" fillId="22" borderId="0" applyNumberFormat="0" applyBorder="0" applyAlignment="0" applyProtection="0"/>
    <xf numFmtId="38" fontId="19" fillId="22" borderId="0" applyNumberFormat="0" applyBorder="0" applyAlignment="0" applyProtection="0"/>
    <xf numFmtId="0" fontId="20" fillId="0" borderId="2" applyNumberFormat="0" applyAlignment="0" applyProtection="0"/>
    <xf numFmtId="0" fontId="20" fillId="0" borderId="3">
      <alignment horizontal="left"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37" fontId="23" fillId="0" borderId="0">
      <alignment/>
      <protection/>
    </xf>
    <xf numFmtId="38" fontId="24" fillId="0" borderId="0">
      <alignment/>
      <protection/>
    </xf>
    <xf numFmtId="4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8" borderId="5" applyNumberFormat="0" applyAlignment="0" applyProtection="0"/>
    <xf numFmtId="10" fontId="19" fillId="2" borderId="6" applyNumberFormat="0" applyBorder="0" applyAlignment="0" applyProtection="0"/>
    <xf numFmtId="10" fontId="19" fillId="2" borderId="6" applyNumberFormat="0" applyBorder="0" applyAlignment="0" applyProtection="0"/>
    <xf numFmtId="10" fontId="19" fillId="2" borderId="6" applyNumberFormat="0" applyBorder="0" applyAlignment="0" applyProtection="0"/>
    <xf numFmtId="10" fontId="19" fillId="2" borderId="6" applyNumberFormat="0" applyBorder="0" applyAlignment="0" applyProtection="0"/>
    <xf numFmtId="10" fontId="19" fillId="2" borderId="6" applyNumberFormat="0" applyBorder="0" applyAlignment="0" applyProtection="0"/>
    <xf numFmtId="41" fontId="27" fillId="23" borderId="7">
      <alignment horizontal="left"/>
      <protection locked="0"/>
    </xf>
    <xf numFmtId="10" fontId="27" fillId="23" borderId="7">
      <alignment horizontal="right"/>
      <protection locked="0"/>
    </xf>
    <xf numFmtId="0" fontId="26" fillId="8" borderId="5" applyNumberFormat="0" applyAlignment="0" applyProtection="0"/>
    <xf numFmtId="0" fontId="19" fillId="22" borderId="0">
      <alignment/>
      <protection/>
    </xf>
    <xf numFmtId="3" fontId="28" fillId="0" borderId="0" applyFill="0" applyBorder="0" applyAlignment="0" applyProtection="0"/>
    <xf numFmtId="0" fontId="29" fillId="0" borderId="8" applyNumberFormat="0" applyFill="0" applyAlignment="0" applyProtection="0"/>
    <xf numFmtId="3" fontId="28" fillId="0" borderId="0" applyFill="0" applyBorder="0" applyAlignment="0" applyProtection="0"/>
    <xf numFmtId="44" fontId="30" fillId="0" borderId="9" applyNumberFormat="0" applyFont="0" applyAlignment="0">
      <protection/>
    </xf>
    <xf numFmtId="44" fontId="30" fillId="0" borderId="9" applyNumberFormat="0" applyFont="0" applyAlignment="0">
      <protection/>
    </xf>
    <xf numFmtId="44" fontId="30" fillId="0" borderId="9" applyNumberFormat="0" applyFont="0" applyAlignment="0">
      <protection/>
    </xf>
    <xf numFmtId="44" fontId="30" fillId="0" borderId="9" applyNumberFormat="0" applyFont="0" applyAlignment="0">
      <protection/>
    </xf>
    <xf numFmtId="44" fontId="30" fillId="0" borderId="10" applyNumberFormat="0" applyFont="0" applyAlignment="0">
      <protection/>
    </xf>
    <xf numFmtId="44" fontId="30" fillId="0" borderId="10" applyNumberFormat="0" applyFont="0" applyAlignment="0">
      <protection/>
    </xf>
    <xf numFmtId="44" fontId="30" fillId="0" borderId="10" applyNumberFormat="0" applyFont="0" applyAlignment="0">
      <protection/>
    </xf>
    <xf numFmtId="44" fontId="30" fillId="0" borderId="10" applyNumberFormat="0" applyFont="0" applyAlignment="0">
      <protection/>
    </xf>
    <xf numFmtId="0" fontId="31" fillId="23" borderId="0" applyNumberFormat="0" applyBorder="0" applyAlignment="0" applyProtection="0"/>
    <xf numFmtId="37" fontId="32" fillId="0" borderId="0">
      <alignment/>
      <protection/>
    </xf>
    <xf numFmtId="209" fontId="33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0" fillId="24" borderId="11" applyNumberFormat="0" applyFont="0" applyAlignment="0" applyProtection="0"/>
    <xf numFmtId="0" fontId="35" fillId="22" borderId="12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10" fontId="0" fillId="0" borderId="7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5" borderId="7">
      <alignment/>
      <protection/>
    </xf>
    <xf numFmtId="0" fontId="34" fillId="0" borderId="0" applyNumberFormat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6" fillId="0" borderId="13">
      <alignment horizontal="center"/>
      <protection/>
    </xf>
    <xf numFmtId="3" fontId="34" fillId="0" borderId="0" applyFont="0" applyFill="0" applyBorder="0" applyAlignment="0" applyProtection="0"/>
    <xf numFmtId="0" fontId="34" fillId="26" borderId="0" applyNumberFormat="0" applyFont="0" applyBorder="0" applyAlignment="0" applyProtection="0"/>
    <xf numFmtId="0" fontId="10" fillId="0" borderId="0">
      <alignment/>
      <protection/>
    </xf>
    <xf numFmtId="3" fontId="37" fillId="0" borderId="0" applyFill="0" applyBorder="0" applyAlignment="0" applyProtection="0"/>
    <xf numFmtId="0" fontId="38" fillId="0" borderId="0">
      <alignment/>
      <protection/>
    </xf>
    <xf numFmtId="3" fontId="37" fillId="0" borderId="0" applyFill="0" applyBorder="0" applyAlignment="0" applyProtection="0"/>
    <xf numFmtId="42" fontId="0" fillId="2" borderId="0">
      <alignment/>
      <protection/>
    </xf>
    <xf numFmtId="42" fontId="0" fillId="2" borderId="14">
      <alignment vertical="center"/>
      <protection/>
    </xf>
    <xf numFmtId="0" fontId="30" fillId="2" borderId="15" applyNumberFormat="0">
      <alignment horizontal="center" vertical="center" wrapText="1"/>
      <protection/>
    </xf>
    <xf numFmtId="10" fontId="0" fillId="2" borderId="0">
      <alignment/>
      <protection/>
    </xf>
    <xf numFmtId="167" fontId="0" fillId="2" borderId="0">
      <alignment/>
      <protection/>
    </xf>
    <xf numFmtId="173" fontId="24" fillId="0" borderId="0" applyBorder="0" applyAlignment="0">
      <protection/>
    </xf>
    <xf numFmtId="42" fontId="0" fillId="2" borderId="16">
      <alignment horizontal="left"/>
      <protection/>
    </xf>
    <xf numFmtId="167" fontId="39" fillId="2" borderId="16">
      <alignment horizontal="left"/>
      <protection/>
    </xf>
    <xf numFmtId="14" fontId="40" fillId="0" borderId="0" applyNumberFormat="0" applyFill="0" applyBorder="0" applyAlignment="0" applyProtection="0"/>
    <xf numFmtId="168" fontId="0" fillId="0" borderId="0" applyFont="0" applyFill="0" applyAlignment="0">
      <protection/>
    </xf>
    <xf numFmtId="4" fontId="41" fillId="23" borderId="12" applyNumberFormat="0" applyProtection="0">
      <alignment vertical="center"/>
    </xf>
    <xf numFmtId="4" fontId="41" fillId="23" borderId="12" applyNumberFormat="0" applyProtection="0">
      <alignment horizontal="left" vertical="center" indent="1"/>
    </xf>
    <xf numFmtId="0" fontId="0" fillId="3" borderId="12" applyNumberFormat="0" applyProtection="0">
      <alignment horizontal="left" vertical="center" indent="1"/>
    </xf>
    <xf numFmtId="4" fontId="42" fillId="27" borderId="12" applyNumberFormat="0" applyProtection="0">
      <alignment horizontal="left" vertical="center" indent="1"/>
    </xf>
    <xf numFmtId="4" fontId="41" fillId="28" borderId="17" applyNumberFormat="0" applyProtection="0">
      <alignment horizontal="left" vertical="center" indent="1"/>
    </xf>
    <xf numFmtId="4" fontId="41" fillId="28" borderId="12" applyNumberFormat="0" applyProtection="0">
      <alignment horizontal="left" vertical="center" indent="1"/>
    </xf>
    <xf numFmtId="4" fontId="41" fillId="29" borderId="12" applyNumberFormat="0" applyProtection="0">
      <alignment horizontal="left" vertical="center" indent="1"/>
    </xf>
    <xf numFmtId="0" fontId="0" fillId="29" borderId="12" applyNumberFormat="0" applyProtection="0">
      <alignment horizontal="left" vertical="center" indent="1"/>
    </xf>
    <xf numFmtId="4" fontId="41" fillId="28" borderId="12" applyNumberFormat="0" applyProtection="0">
      <alignment horizontal="right" vertical="center"/>
    </xf>
    <xf numFmtId="0" fontId="0" fillId="3" borderId="12" applyNumberFormat="0" applyProtection="0">
      <alignment horizontal="left" vertical="center" indent="1"/>
    </xf>
    <xf numFmtId="0" fontId="0" fillId="3" borderId="12" applyNumberFormat="0" applyProtection="0">
      <alignment horizontal="left" vertical="center" indent="1"/>
    </xf>
    <xf numFmtId="0" fontId="43" fillId="0" borderId="0">
      <alignment/>
      <protection/>
    </xf>
    <xf numFmtId="39" fontId="0" fillId="30" borderId="0">
      <alignment/>
      <protection/>
    </xf>
    <xf numFmtId="38" fontId="19" fillId="0" borderId="18">
      <alignment/>
      <protection/>
    </xf>
    <xf numFmtId="38" fontId="19" fillId="0" borderId="18">
      <alignment/>
      <protection/>
    </xf>
    <xf numFmtId="38" fontId="19" fillId="0" borderId="18">
      <alignment/>
      <protection/>
    </xf>
    <xf numFmtId="38" fontId="19" fillId="0" borderId="18">
      <alignment/>
      <protection/>
    </xf>
    <xf numFmtId="38" fontId="19" fillId="0" borderId="18">
      <alignment/>
      <protection/>
    </xf>
    <xf numFmtId="38" fontId="24" fillId="0" borderId="16">
      <alignment/>
      <protection/>
    </xf>
    <xf numFmtId="39" fontId="40" fillId="31" borderId="0">
      <alignment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40" fontId="44" fillId="0" borderId="0" applyBorder="0">
      <alignment horizontal="right"/>
      <protection/>
    </xf>
    <xf numFmtId="41" fontId="45" fillId="2" borderId="0">
      <alignment horizontal="left"/>
      <protection/>
    </xf>
    <xf numFmtId="0" fontId="46" fillId="0" borderId="0" applyNumberFormat="0" applyFill="0" applyBorder="0" applyAlignment="0" applyProtection="0"/>
    <xf numFmtId="166" fontId="47" fillId="2" borderId="0">
      <alignment horizontal="left" vertical="center"/>
      <protection/>
    </xf>
    <xf numFmtId="0" fontId="30" fillId="2" borderId="0">
      <alignment horizontal="left" wrapText="1"/>
      <protection/>
    </xf>
    <xf numFmtId="0" fontId="48" fillId="0" borderId="0">
      <alignment horizontal="left" vertical="center"/>
      <protection/>
    </xf>
    <xf numFmtId="41" fontId="30" fillId="2" borderId="0">
      <alignment horizontal="left"/>
      <protection/>
    </xf>
    <xf numFmtId="0" fontId="10" fillId="0" borderId="19">
      <alignment/>
      <protection/>
    </xf>
    <xf numFmtId="0" fontId="49" fillId="0" borderId="0" applyNumberFormat="0" applyFill="0" applyBorder="0" applyAlignment="0" applyProtection="0"/>
  </cellStyleXfs>
  <cellXfs count="194">
    <xf numFmtId="0" fontId="0" fillId="2" borderId="0" xfId="0" applyNumberFormat="1" applyFill="1" applyAlignment="1">
      <alignment/>
    </xf>
    <xf numFmtId="166" fontId="50" fillId="0" borderId="0" xfId="418" applyFont="1" applyFill="1" applyAlignment="1">
      <alignment horizontal="centerContinuous" vertical="center"/>
      <protection/>
    </xf>
    <xf numFmtId="166" fontId="50" fillId="0" borderId="0" xfId="418" applyFont="1" applyFill="1">
      <alignment horizontal="left" vertical="center"/>
      <protection/>
    </xf>
    <xf numFmtId="0" fontId="51" fillId="0" borderId="0" xfId="0" applyNumberFormat="1" applyFont="1" applyFill="1" applyAlignment="1">
      <alignment/>
    </xf>
    <xf numFmtId="0" fontId="50" fillId="0" borderId="0" xfId="419" applyFont="1" applyFill="1" applyAlignment="1">
      <alignment horizontal="left"/>
      <protection/>
    </xf>
    <xf numFmtId="0" fontId="52" fillId="0" borderId="0" xfId="419" applyFont="1" applyFill="1">
      <alignment horizontal="left" wrapText="1"/>
      <protection/>
    </xf>
    <xf numFmtId="0" fontId="52" fillId="0" borderId="3" xfId="382" applyFont="1" applyFill="1" applyBorder="1">
      <alignment horizontal="center" vertical="center" wrapText="1"/>
      <protection/>
    </xf>
    <xf numFmtId="41" fontId="52" fillId="0" borderId="3" xfId="382" applyNumberFormat="1" applyFont="1" applyFill="1" applyBorder="1" applyAlignment="1" quotePrefix="1">
      <alignment horizontal="center" vertical="center" wrapText="1"/>
      <protection/>
    </xf>
    <xf numFmtId="0" fontId="52" fillId="0" borderId="3" xfId="382" applyFont="1" applyFill="1" applyBorder="1" applyAlignment="1" quotePrefix="1">
      <alignment horizontal="center" vertical="center" wrapText="1"/>
      <protection/>
    </xf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 quotePrefix="1">
      <alignment horizontal="center"/>
    </xf>
    <xf numFmtId="0" fontId="52" fillId="0" borderId="0" xfId="0" applyNumberFormat="1" applyFont="1" applyFill="1" applyAlignment="1">
      <alignment horizontal="left"/>
    </xf>
    <xf numFmtId="0" fontId="52" fillId="0" borderId="0" xfId="0" applyNumberFormat="1" applyFont="1" applyFill="1" applyAlignment="1">
      <alignment horizontal="center"/>
    </xf>
    <xf numFmtId="0" fontId="52" fillId="0" borderId="0" xfId="0" applyNumberFormat="1" applyFont="1" applyFill="1" applyAlignment="1">
      <alignment/>
    </xf>
    <xf numFmtId="42" fontId="51" fillId="0" borderId="0" xfId="380" applyFont="1" applyFill="1">
      <alignment/>
      <protection/>
    </xf>
    <xf numFmtId="42" fontId="51" fillId="0" borderId="0" xfId="380" applyFont="1" applyFill="1" applyAlignment="1" quotePrefix="1">
      <alignment horizontal="left"/>
      <protection/>
    </xf>
    <xf numFmtId="42" fontId="51" fillId="0" borderId="14" xfId="381" applyFont="1" applyFill="1">
      <alignment vertical="center"/>
      <protection/>
    </xf>
    <xf numFmtId="0" fontId="52" fillId="0" borderId="0" xfId="419" applyFont="1" applyFill="1" applyAlignment="1" quotePrefix="1">
      <alignment horizontal="left" wrapText="1"/>
      <protection/>
    </xf>
    <xf numFmtId="42" fontId="51" fillId="0" borderId="0" xfId="380" applyFont="1" applyFill="1" applyAlignment="1">
      <alignment horizontal="left"/>
      <protection/>
    </xf>
    <xf numFmtId="42" fontId="51" fillId="0" borderId="14" xfId="381" applyFont="1" applyFill="1" applyAlignment="1" quotePrefix="1">
      <alignment horizontal="left" vertical="center"/>
      <protection/>
    </xf>
    <xf numFmtId="42" fontId="51" fillId="0" borderId="0" xfId="0" applyNumberFormat="1" applyFont="1" applyFill="1" applyAlignment="1">
      <alignment/>
    </xf>
    <xf numFmtId="42" fontId="51" fillId="0" borderId="14" xfId="386" applyFont="1" applyFill="1" applyBorder="1">
      <alignment horizontal="left"/>
      <protection/>
    </xf>
    <xf numFmtId="0" fontId="51" fillId="0" borderId="0" xfId="419" applyFont="1" applyFill="1">
      <alignment horizontal="left" wrapText="1"/>
      <protection/>
    </xf>
    <xf numFmtId="42" fontId="51" fillId="0" borderId="14" xfId="380" applyFont="1" applyFill="1" applyBorder="1">
      <alignment/>
      <protection/>
    </xf>
    <xf numFmtId="0" fontId="51" fillId="0" borderId="14" xfId="419" applyFont="1" applyFill="1" applyBorder="1">
      <alignment horizontal="left" wrapText="1"/>
      <protection/>
    </xf>
    <xf numFmtId="10" fontId="51" fillId="0" borderId="14" xfId="362" applyNumberFormat="1" applyFont="1" applyFill="1" applyBorder="1">
      <alignment/>
      <protection/>
    </xf>
    <xf numFmtId="10" fontId="51" fillId="0" borderId="14" xfId="380" applyNumberFormat="1" applyFont="1" applyFill="1" applyBorder="1">
      <alignment/>
      <protection/>
    </xf>
    <xf numFmtId="172" fontId="51" fillId="0" borderId="0" xfId="362" applyNumberFormat="1" applyFont="1" applyFill="1" applyBorder="1">
      <alignment/>
      <protection/>
    </xf>
    <xf numFmtId="42" fontId="51" fillId="0" borderId="0" xfId="380" applyFont="1" applyFill="1" applyBorder="1">
      <alignment/>
      <protection/>
    </xf>
    <xf numFmtId="0" fontId="52" fillId="0" borderId="0" xfId="419" applyFont="1" applyFill="1" applyAlignment="1">
      <alignment horizontal="left"/>
      <protection/>
    </xf>
    <xf numFmtId="10" fontId="51" fillId="0" borderId="0" xfId="362" applyNumberFormat="1" applyFont="1" applyFill="1" applyBorder="1">
      <alignment/>
      <protection/>
    </xf>
    <xf numFmtId="191" fontId="51" fillId="0" borderId="0" xfId="237" applyNumberFormat="1" applyFont="1" applyFill="1" applyAlignment="1">
      <alignment/>
    </xf>
    <xf numFmtId="42" fontId="51" fillId="0" borderId="3" xfId="380" applyFont="1" applyFill="1" applyBorder="1" applyAlignment="1" quotePrefix="1">
      <alignment horizontal="left"/>
      <protection/>
    </xf>
    <xf numFmtId="0" fontId="51" fillId="0" borderId="3" xfId="419" applyFont="1" applyFill="1" applyBorder="1">
      <alignment horizontal="left" wrapText="1"/>
      <protection/>
    </xf>
    <xf numFmtId="42" fontId="51" fillId="0" borderId="3" xfId="380" applyFont="1" applyFill="1" applyBorder="1">
      <alignment/>
      <protection/>
    </xf>
    <xf numFmtId="42" fontId="51" fillId="0" borderId="0" xfId="380" applyFont="1" applyFill="1" applyBorder="1" applyAlignment="1" quotePrefix="1">
      <alignment horizontal="left"/>
      <protection/>
    </xf>
    <xf numFmtId="0" fontId="51" fillId="0" borderId="0" xfId="419" applyFont="1" applyFill="1" applyBorder="1">
      <alignment horizontal="left" wrapText="1"/>
      <protection/>
    </xf>
    <xf numFmtId="42" fontId="51" fillId="0" borderId="14" xfId="381" applyFont="1" applyFill="1" applyBorder="1" applyAlignment="1" quotePrefix="1">
      <alignment horizontal="left" vertical="center"/>
      <protection/>
    </xf>
    <xf numFmtId="42" fontId="51" fillId="0" borderId="0" xfId="381" applyFont="1" applyFill="1" applyBorder="1">
      <alignment vertical="center"/>
      <protection/>
    </xf>
    <xf numFmtId="42" fontId="51" fillId="0" borderId="0" xfId="381" applyFont="1" applyFill="1" applyBorder="1" applyAlignment="1">
      <alignment horizontal="left" vertical="center"/>
      <protection/>
    </xf>
    <xf numFmtId="42" fontId="51" fillId="0" borderId="3" xfId="381" applyFont="1" applyFill="1" applyBorder="1">
      <alignment vertical="center"/>
      <protection/>
    </xf>
    <xf numFmtId="42" fontId="51" fillId="0" borderId="3" xfId="0" applyNumberFormat="1" applyFont="1" applyFill="1" applyBorder="1" applyAlignment="1">
      <alignment/>
    </xf>
    <xf numFmtId="0" fontId="51" fillId="0" borderId="3" xfId="0" applyNumberFormat="1" applyFont="1" applyFill="1" applyBorder="1" applyAlignment="1">
      <alignment/>
    </xf>
    <xf numFmtId="42" fontId="51" fillId="0" borderId="20" xfId="381" applyFont="1" applyFill="1" applyBorder="1">
      <alignment vertical="center"/>
      <protection/>
    </xf>
    <xf numFmtId="0" fontId="51" fillId="0" borderId="20" xfId="419" applyFont="1" applyFill="1" applyBorder="1">
      <alignment horizontal="left" wrapText="1"/>
      <protection/>
    </xf>
    <xf numFmtId="42" fontId="51" fillId="0" borderId="20" xfId="0" applyNumberFormat="1" applyFont="1" applyFill="1" applyBorder="1" applyAlignment="1">
      <alignment/>
    </xf>
    <xf numFmtId="0" fontId="51" fillId="0" borderId="20" xfId="0" applyNumberFormat="1" applyFont="1" applyFill="1" applyBorder="1" applyAlignment="1">
      <alignment/>
    </xf>
    <xf numFmtId="42" fontId="51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43" fontId="51" fillId="0" borderId="0" xfId="237" applyFont="1" applyFill="1" applyAlignment="1">
      <alignment/>
    </xf>
    <xf numFmtId="42" fontId="52" fillId="0" borderId="16" xfId="380" applyFont="1" applyFill="1" applyBorder="1">
      <alignment/>
      <protection/>
    </xf>
    <xf numFmtId="0" fontId="52" fillId="0" borderId="16" xfId="419" applyFont="1" applyFill="1" applyBorder="1">
      <alignment horizontal="left" wrapText="1"/>
      <protection/>
    </xf>
    <xf numFmtId="43" fontId="52" fillId="0" borderId="16" xfId="237" applyFont="1" applyFill="1" applyBorder="1" applyAlignment="1">
      <alignment/>
    </xf>
    <xf numFmtId="43" fontId="52" fillId="0" borderId="16" xfId="237" applyNumberFormat="1" applyFont="1" applyFill="1" applyBorder="1" applyAlignment="1">
      <alignment/>
    </xf>
    <xf numFmtId="43" fontId="51" fillId="0" borderId="14" xfId="237" applyFont="1" applyFill="1" applyBorder="1" applyAlignment="1">
      <alignment/>
    </xf>
    <xf numFmtId="0" fontId="53" fillId="0" borderId="0" xfId="420" applyFont="1" applyFill="1">
      <alignment horizontal="left" vertical="center"/>
      <protection/>
    </xf>
    <xf numFmtId="41" fontId="52" fillId="0" borderId="3" xfId="382" applyNumberFormat="1" applyFont="1" applyFill="1" applyBorder="1">
      <alignment horizontal="center" vertical="center" wrapText="1"/>
      <protection/>
    </xf>
    <xf numFmtId="41" fontId="52" fillId="0" borderId="0" xfId="0" applyNumberFormat="1" applyFont="1" applyFill="1" applyAlignment="1">
      <alignment/>
    </xf>
    <xf numFmtId="41" fontId="51" fillId="0" borderId="0" xfId="234" applyFont="1" applyFill="1" applyAlignment="1">
      <alignment horizontal="left" indent="1"/>
      <protection/>
    </xf>
    <xf numFmtId="42" fontId="51" fillId="0" borderId="16" xfId="386" applyFont="1" applyFill="1">
      <alignment horizontal="left"/>
      <protection/>
    </xf>
    <xf numFmtId="41" fontId="51" fillId="0" borderId="0" xfId="234" applyFont="1" applyFill="1">
      <alignment/>
      <protection/>
    </xf>
    <xf numFmtId="42" fontId="51" fillId="0" borderId="0" xfId="386" applyFont="1" applyFill="1" applyBorder="1">
      <alignment horizontal="left"/>
      <protection/>
    </xf>
    <xf numFmtId="42" fontId="51" fillId="0" borderId="14" xfId="381" applyFont="1" applyFill="1" applyBorder="1">
      <alignment vertical="center"/>
      <protection/>
    </xf>
    <xf numFmtId="185" fontId="51" fillId="0" borderId="0" xfId="262" applyNumberFormat="1" applyFont="1" applyFill="1" applyAlignment="1">
      <alignment/>
    </xf>
    <xf numFmtId="41" fontId="52" fillId="0" borderId="0" xfId="0" applyNumberFormat="1" applyFont="1" applyFill="1" applyBorder="1" applyAlignment="1">
      <alignment/>
    </xf>
    <xf numFmtId="185" fontId="51" fillId="0" borderId="0" xfId="262" applyNumberFormat="1" applyFont="1" applyFill="1" applyBorder="1" applyAlignment="1">
      <alignment/>
    </xf>
    <xf numFmtId="167" fontId="51" fillId="0" borderId="0" xfId="384" applyFont="1" applyFill="1">
      <alignment/>
      <protection/>
    </xf>
    <xf numFmtId="173" fontId="51" fillId="0" borderId="3" xfId="237" applyNumberFormat="1" applyFont="1" applyFill="1" applyBorder="1" applyAlignment="1">
      <alignment vertical="center"/>
    </xf>
    <xf numFmtId="37" fontId="51" fillId="0" borderId="3" xfId="381" applyNumberFormat="1" applyFont="1" applyFill="1" applyBorder="1">
      <alignment vertical="center"/>
      <protection/>
    </xf>
    <xf numFmtId="0" fontId="51" fillId="0" borderId="0" xfId="0" applyNumberFormat="1" applyFont="1" applyFill="1" applyAlignment="1" quotePrefix="1">
      <alignment horizontal="left"/>
    </xf>
    <xf numFmtId="0" fontId="51" fillId="0" borderId="0" xfId="0" applyNumberFormat="1" applyFont="1" applyFill="1" applyAlignment="1">
      <alignment horizontal="left" indent="1"/>
    </xf>
    <xf numFmtId="165" fontId="51" fillId="0" borderId="0" xfId="262" applyNumberFormat="1" applyFont="1" applyFill="1" applyAlignment="1">
      <alignment/>
    </xf>
    <xf numFmtId="0" fontId="51" fillId="0" borderId="0" xfId="0" applyNumberFormat="1" applyFont="1" applyFill="1" applyAlignment="1" quotePrefix="1">
      <alignment horizontal="left" indent="1"/>
    </xf>
    <xf numFmtId="165" fontId="51" fillId="0" borderId="3" xfId="262" applyNumberFormat="1" applyFont="1" applyFill="1" applyBorder="1" applyAlignment="1">
      <alignment/>
    </xf>
    <xf numFmtId="41" fontId="51" fillId="0" borderId="0" xfId="0" applyNumberFormat="1" applyFont="1" applyFill="1" applyAlignment="1">
      <alignment horizontal="left" indent="1"/>
    </xf>
    <xf numFmtId="166" fontId="50" fillId="0" borderId="0" xfId="418" applyFont="1" applyFill="1" applyAlignment="1">
      <alignment horizontal="center" vertical="center"/>
      <protection/>
    </xf>
    <xf numFmtId="166" fontId="50" fillId="0" borderId="0" xfId="418" applyFont="1" applyFill="1" applyAlignment="1" quotePrefix="1">
      <alignment horizontal="center" vertical="center"/>
      <protection/>
    </xf>
    <xf numFmtId="43" fontId="52" fillId="2" borderId="0" xfId="237" applyFont="1" applyFill="1" applyAlignment="1">
      <alignment horizontal="left" wrapText="1"/>
    </xf>
    <xf numFmtId="0" fontId="52" fillId="2" borderId="0" xfId="419" applyFont="1" applyAlignment="1">
      <alignment horizontal="center" wrapText="1"/>
      <protection/>
    </xf>
    <xf numFmtId="0" fontId="51" fillId="2" borderId="0" xfId="0" applyNumberFormat="1" applyFont="1" applyFill="1" applyAlignment="1">
      <alignment horizontal="center" wrapText="1"/>
    </xf>
    <xf numFmtId="43" fontId="52" fillId="2" borderId="3" xfId="237" applyFont="1" applyFill="1" applyBorder="1" applyAlignment="1">
      <alignment horizontal="center" wrapText="1"/>
    </xf>
    <xf numFmtId="0" fontId="52" fillId="2" borderId="3" xfId="419" applyFont="1" applyBorder="1" applyAlignment="1">
      <alignment horizontal="center" wrapText="1"/>
      <protection/>
    </xf>
    <xf numFmtId="0" fontId="52" fillId="2" borderId="3" xfId="0" applyNumberFormat="1" applyFont="1" applyFill="1" applyBorder="1" applyAlignment="1" quotePrefix="1">
      <alignment horizontal="center" wrapText="1"/>
    </xf>
    <xf numFmtId="0" fontId="51" fillId="2" borderId="0" xfId="0" applyNumberFormat="1" applyFont="1" applyFill="1" applyAlignment="1">
      <alignment wrapText="1"/>
    </xf>
    <xf numFmtId="43" fontId="52" fillId="0" borderId="0" xfId="237" applyFont="1" applyFill="1" applyBorder="1" applyAlignment="1">
      <alignment horizontal="left" wrapText="1"/>
    </xf>
    <xf numFmtId="41" fontId="51" fillId="0" borderId="0" xfId="234" applyFont="1" applyFill="1" applyAlignment="1">
      <alignment horizontal="left" indent="2"/>
      <protection/>
    </xf>
    <xf numFmtId="41" fontId="51" fillId="0" borderId="0" xfId="234" applyFont="1" applyFill="1" applyAlignment="1">
      <alignment horizontal="left" indent="3"/>
      <protection/>
    </xf>
    <xf numFmtId="0" fontId="52" fillId="0" borderId="3" xfId="0" applyNumberFormat="1" applyFont="1" applyFill="1" applyBorder="1" applyAlignment="1">
      <alignment horizontal="center"/>
    </xf>
    <xf numFmtId="41" fontId="51" fillId="0" borderId="3" xfId="234" applyFont="1" applyFill="1" applyBorder="1" applyAlignment="1" quotePrefix="1">
      <alignment horizontal="left" indent="4"/>
      <protection/>
    </xf>
    <xf numFmtId="165" fontId="51" fillId="0" borderId="3" xfId="262" applyNumberFormat="1" applyFont="1" applyFill="1" applyBorder="1" applyAlignment="1">
      <alignment/>
    </xf>
    <xf numFmtId="165" fontId="51" fillId="0" borderId="0" xfId="262" applyNumberFormat="1" applyFont="1" applyFill="1" applyAlignment="1">
      <alignment/>
    </xf>
    <xf numFmtId="165" fontId="51" fillId="0" borderId="0" xfId="262" applyNumberFormat="1" applyFont="1" applyFill="1" applyBorder="1" applyAlignment="1">
      <alignment/>
    </xf>
    <xf numFmtId="0" fontId="52" fillId="0" borderId="14" xfId="0" applyNumberFormat="1" applyFont="1" applyFill="1" applyBorder="1" applyAlignment="1">
      <alignment horizontal="center"/>
    </xf>
    <xf numFmtId="0" fontId="51" fillId="0" borderId="14" xfId="0" applyNumberFormat="1" applyFont="1" applyFill="1" applyBorder="1" applyAlignment="1">
      <alignment horizontal="left" indent="2"/>
    </xf>
    <xf numFmtId="9" fontId="51" fillId="2" borderId="14" xfId="0" applyNumberFormat="1" applyFont="1" applyFill="1" applyBorder="1" applyAlignment="1">
      <alignment/>
    </xf>
    <xf numFmtId="0" fontId="52" fillId="2" borderId="3" xfId="0" applyNumberFormat="1" applyFont="1" applyFill="1" applyBorder="1" applyAlignment="1">
      <alignment horizontal="center" wrapText="1"/>
    </xf>
    <xf numFmtId="41" fontId="51" fillId="2" borderId="0" xfId="234" applyFont="1">
      <alignment/>
      <protection/>
    </xf>
    <xf numFmtId="41" fontId="51" fillId="2" borderId="0" xfId="234" applyFont="1" applyAlignment="1" quotePrefix="1">
      <alignment horizontal="left"/>
      <protection/>
    </xf>
    <xf numFmtId="41" fontId="51" fillId="2" borderId="3" xfId="234" applyFont="1" applyBorder="1" applyAlignment="1">
      <alignment horizontal="left" indent="1"/>
      <protection/>
    </xf>
    <xf numFmtId="41" fontId="51" fillId="2" borderId="3" xfId="234" applyFont="1" applyBorder="1">
      <alignment/>
      <protection/>
    </xf>
    <xf numFmtId="0" fontId="51" fillId="2" borderId="0" xfId="0" applyNumberFormat="1" applyFont="1" applyFill="1" applyAlignment="1">
      <alignment/>
    </xf>
    <xf numFmtId="0" fontId="51" fillId="2" borderId="3" xfId="0" applyNumberFormat="1" applyFont="1" applyFill="1" applyBorder="1" applyAlignment="1">
      <alignment horizontal="left" indent="1"/>
    </xf>
    <xf numFmtId="0" fontId="51" fillId="2" borderId="3" xfId="0" applyNumberFormat="1" applyFont="1" applyFill="1" applyBorder="1" applyAlignment="1" quotePrefix="1">
      <alignment horizontal="left" indent="2"/>
    </xf>
    <xf numFmtId="10" fontId="51" fillId="2" borderId="3" xfId="0" applyNumberFormat="1" applyFont="1" applyFill="1" applyBorder="1" applyAlignment="1">
      <alignment/>
    </xf>
    <xf numFmtId="0" fontId="51" fillId="2" borderId="0" xfId="0" applyNumberFormat="1" applyFont="1" applyFill="1" applyAlignment="1" quotePrefix="1">
      <alignment horizontal="left"/>
    </xf>
    <xf numFmtId="41" fontId="51" fillId="2" borderId="0" xfId="0" applyNumberFormat="1" applyFont="1" applyFill="1" applyAlignment="1">
      <alignment/>
    </xf>
    <xf numFmtId="0" fontId="51" fillId="2" borderId="0" xfId="0" applyNumberFormat="1" applyFont="1" applyFill="1" applyAlignment="1" quotePrefix="1">
      <alignment horizontal="left" indent="1"/>
    </xf>
    <xf numFmtId="41" fontId="51" fillId="2" borderId="0" xfId="234" applyFont="1" applyBorder="1">
      <alignment/>
      <protection/>
    </xf>
    <xf numFmtId="0" fontId="51" fillId="2" borderId="3" xfId="0" applyNumberFormat="1" applyFont="1" applyFill="1" applyBorder="1" applyAlignment="1">
      <alignment horizontal="left" indent="2"/>
    </xf>
    <xf numFmtId="0" fontId="51" fillId="2" borderId="3" xfId="0" applyNumberFormat="1" applyFont="1" applyFill="1" applyBorder="1" applyAlignment="1">
      <alignment horizontal="left" indent="3"/>
    </xf>
    <xf numFmtId="172" fontId="51" fillId="2" borderId="0" xfId="0" applyNumberFormat="1" applyFont="1" applyFill="1" applyAlignment="1">
      <alignment/>
    </xf>
    <xf numFmtId="0" fontId="51" fillId="2" borderId="14" xfId="0" applyNumberFormat="1" applyFont="1" applyFill="1" applyBorder="1" applyAlignment="1">
      <alignment/>
    </xf>
    <xf numFmtId="172" fontId="51" fillId="0" borderId="14" xfId="0" applyNumberFormat="1" applyFont="1" applyFill="1" applyBorder="1" applyAlignment="1">
      <alignment/>
    </xf>
    <xf numFmtId="166" fontId="50" fillId="0" borderId="0" xfId="418" applyFont="1" applyFill="1" applyAlignment="1">
      <alignment horizontal="center" vertical="center"/>
      <protection/>
    </xf>
    <xf numFmtId="43" fontId="52" fillId="0" borderId="16" xfId="237" applyFont="1" applyFill="1" applyBorder="1" applyAlignment="1">
      <alignment horizontal="left" wrapText="1"/>
    </xf>
    <xf numFmtId="0" fontId="52" fillId="0" borderId="16" xfId="419" applyFont="1" applyFill="1" applyBorder="1" applyAlignment="1">
      <alignment horizontal="center" wrapText="1"/>
      <protection/>
    </xf>
    <xf numFmtId="166" fontId="52" fillId="0" borderId="3" xfId="418" applyFont="1" applyFill="1" applyBorder="1" applyAlignment="1" quotePrefix="1">
      <alignment horizontal="center" vertical="center" wrapText="1"/>
      <protection/>
    </xf>
    <xf numFmtId="166" fontId="52" fillId="0" borderId="3" xfId="418" applyFont="1" applyFill="1" applyBorder="1" applyAlignment="1">
      <alignment horizontal="center" vertical="center" wrapText="1"/>
      <protection/>
    </xf>
    <xf numFmtId="0" fontId="51" fillId="0" borderId="0" xfId="0" applyNumberFormat="1" applyFont="1" applyFill="1" applyBorder="1" applyAlignment="1">
      <alignment horizontal="center" wrapText="1"/>
    </xf>
    <xf numFmtId="43" fontId="52" fillId="0" borderId="15" xfId="237" applyFont="1" applyFill="1" applyBorder="1" applyAlignment="1">
      <alignment horizontal="left" wrapText="1"/>
    </xf>
    <xf numFmtId="0" fontId="52" fillId="0" borderId="15" xfId="419" applyFont="1" applyFill="1" applyBorder="1">
      <alignment horizontal="left" wrapText="1"/>
      <protection/>
    </xf>
    <xf numFmtId="0" fontId="52" fillId="0" borderId="15" xfId="0" applyNumberFormat="1" applyFont="1" applyFill="1" applyBorder="1" applyAlignment="1">
      <alignment/>
    </xf>
    <xf numFmtId="166" fontId="52" fillId="0" borderId="15" xfId="418" applyFont="1" applyFill="1" applyBorder="1" applyAlignment="1">
      <alignment horizontal="center" vertical="center" wrapText="1"/>
      <protection/>
    </xf>
    <xf numFmtId="0" fontId="51" fillId="0" borderId="0" xfId="0" applyNumberFormat="1" applyFont="1" applyFill="1" applyAlignment="1">
      <alignment horizontal="left"/>
    </xf>
    <xf numFmtId="0" fontId="51" fillId="0" borderId="0" xfId="0" applyNumberFormat="1" applyFont="1" applyFill="1" applyAlignment="1">
      <alignment horizontal="left" indent="2"/>
    </xf>
    <xf numFmtId="10" fontId="51" fillId="0" borderId="0" xfId="362" applyFont="1" applyFill="1" applyBorder="1">
      <alignment/>
      <protection/>
    </xf>
    <xf numFmtId="0" fontId="51" fillId="0" borderId="3" xfId="0" applyNumberFormat="1" applyFont="1" applyFill="1" applyBorder="1" applyAlignment="1" quotePrefix="1">
      <alignment horizontal="left" indent="2"/>
    </xf>
    <xf numFmtId="10" fontId="51" fillId="0" borderId="3" xfId="362" applyFont="1" applyFill="1" applyBorder="1">
      <alignment/>
      <protection/>
    </xf>
    <xf numFmtId="0" fontId="51" fillId="0" borderId="0" xfId="0" applyNumberFormat="1" applyFont="1" applyFill="1" applyAlignment="1">
      <alignment horizontal="left" indent="3"/>
    </xf>
    <xf numFmtId="0" fontId="51" fillId="0" borderId="0" xfId="0" applyNumberFormat="1" applyFont="1" applyFill="1" applyAlignment="1">
      <alignment horizontal="left" indent="4"/>
    </xf>
    <xf numFmtId="0" fontId="51" fillId="0" borderId="0" xfId="0" applyNumberFormat="1" applyFont="1" applyFill="1" applyAlignment="1" quotePrefix="1">
      <alignment horizontal="left" indent="5"/>
    </xf>
    <xf numFmtId="10" fontId="51" fillId="0" borderId="0" xfId="0" applyNumberFormat="1" applyFont="1" applyFill="1" applyAlignment="1">
      <alignment/>
    </xf>
    <xf numFmtId="0" fontId="51" fillId="0" borderId="14" xfId="0" applyNumberFormat="1" applyFont="1" applyFill="1" applyBorder="1" applyAlignment="1" quotePrefix="1">
      <alignment horizontal="left"/>
    </xf>
    <xf numFmtId="0" fontId="51" fillId="0" borderId="14" xfId="0" applyNumberFormat="1" applyFont="1" applyFill="1" applyBorder="1" applyAlignment="1">
      <alignment/>
    </xf>
    <xf numFmtId="0" fontId="52" fillId="0" borderId="15" xfId="382" applyFont="1" applyFill="1">
      <alignment horizontal="center" vertical="center" wrapText="1"/>
      <protection/>
    </xf>
    <xf numFmtId="0" fontId="52" fillId="0" borderId="0" xfId="382" applyFont="1" applyFill="1" applyBorder="1">
      <alignment horizontal="center" vertical="center" wrapText="1"/>
      <protection/>
    </xf>
    <xf numFmtId="41" fontId="52" fillId="0" borderId="15" xfId="382" applyNumberFormat="1" applyFont="1" applyFill="1">
      <alignment horizontal="center" vertical="center" wrapText="1"/>
      <protection/>
    </xf>
    <xf numFmtId="41" fontId="51" fillId="0" borderId="0" xfId="0" applyNumberFormat="1" applyFont="1" applyFill="1" applyAlignment="1">
      <alignment/>
    </xf>
    <xf numFmtId="42" fontId="51" fillId="0" borderId="16" xfId="381" applyFont="1" applyFill="1" applyBorder="1">
      <alignment vertical="center"/>
      <protection/>
    </xf>
    <xf numFmtId="0" fontId="51" fillId="0" borderId="0" xfId="0" applyNumberFormat="1" applyFont="1" applyFill="1" applyBorder="1" applyAlignment="1">
      <alignment horizontal="center"/>
    </xf>
    <xf numFmtId="42" fontId="51" fillId="0" borderId="0" xfId="381" applyFont="1" applyFill="1" applyBorder="1" applyAlignment="1">
      <alignment horizontal="center" vertical="center"/>
      <protection/>
    </xf>
    <xf numFmtId="42" fontId="51" fillId="0" borderId="0" xfId="381" applyFont="1" applyFill="1" applyBorder="1" applyAlignment="1" quotePrefix="1">
      <alignment horizontal="left" vertical="center"/>
      <protection/>
    </xf>
    <xf numFmtId="42" fontId="51" fillId="0" borderId="16" xfId="381" applyFont="1" applyFill="1" applyBorder="1" applyAlignment="1" quotePrefix="1">
      <alignment horizontal="left" vertical="center"/>
      <protection/>
    </xf>
    <xf numFmtId="37" fontId="51" fillId="0" borderId="0" xfId="381" applyNumberFormat="1" applyFont="1" applyFill="1" applyBorder="1">
      <alignment vertical="center"/>
      <protection/>
    </xf>
    <xf numFmtId="44" fontId="51" fillId="0" borderId="0" xfId="262" applyFont="1" applyFill="1" applyBorder="1" applyAlignment="1">
      <alignment vertical="center"/>
    </xf>
    <xf numFmtId="42" fontId="52" fillId="0" borderId="14" xfId="381" applyFont="1" applyFill="1" applyBorder="1">
      <alignment vertical="center"/>
      <protection/>
    </xf>
    <xf numFmtId="42" fontId="52" fillId="0" borderId="14" xfId="381" applyFont="1" applyFill="1" applyBorder="1" applyAlignment="1">
      <alignment horizontal="left" vertical="center"/>
      <protection/>
    </xf>
    <xf numFmtId="44" fontId="52" fillId="0" borderId="14" xfId="262" applyFont="1" applyFill="1" applyBorder="1" applyAlignment="1">
      <alignment vertical="center"/>
    </xf>
    <xf numFmtId="37" fontId="52" fillId="0" borderId="14" xfId="381" applyNumberFormat="1" applyFont="1" applyFill="1" applyBorder="1">
      <alignment vertical="center"/>
      <protection/>
    </xf>
    <xf numFmtId="43" fontId="51" fillId="0" borderId="0" xfId="0" applyNumberFormat="1" applyFont="1" applyFill="1" applyAlignment="1">
      <alignment/>
    </xf>
    <xf numFmtId="43" fontId="52" fillId="0" borderId="0" xfId="237" applyFont="1" applyFill="1" applyAlignment="1">
      <alignment horizontal="center" wrapText="1"/>
    </xf>
    <xf numFmtId="0" fontId="52" fillId="0" borderId="0" xfId="419" applyFont="1" applyFill="1" applyAlignment="1">
      <alignment horizontal="center" wrapText="1"/>
      <protection/>
    </xf>
    <xf numFmtId="0" fontId="52" fillId="0" borderId="0" xfId="0" applyNumberFormat="1" applyFont="1" applyFill="1" applyAlignment="1" quotePrefix="1">
      <alignment horizontal="left"/>
    </xf>
    <xf numFmtId="166" fontId="50" fillId="0" borderId="0" xfId="418" applyFont="1" applyFill="1" applyBorder="1" applyAlignment="1">
      <alignment horizontal="centerContinuous" vertical="center"/>
      <protection/>
    </xf>
    <xf numFmtId="0" fontId="51" fillId="0" borderId="0" xfId="0" applyNumberFormat="1" applyFont="1" applyFill="1" applyBorder="1" applyAlignment="1">
      <alignment horizontal="centerContinuous"/>
    </xf>
    <xf numFmtId="0" fontId="51" fillId="0" borderId="0" xfId="0" applyNumberFormat="1" applyFont="1" applyFill="1" applyAlignment="1">
      <alignment horizontal="center" wrapText="1"/>
    </xf>
    <xf numFmtId="166" fontId="52" fillId="0" borderId="3" xfId="418" applyFont="1" applyFill="1" applyBorder="1" applyAlignment="1">
      <alignment horizontal="center" wrapText="1"/>
      <protection/>
    </xf>
    <xf numFmtId="43" fontId="51" fillId="0" borderId="0" xfId="237" applyFont="1" applyFill="1" applyAlignment="1">
      <alignment horizontal="right"/>
    </xf>
    <xf numFmtId="43" fontId="50" fillId="0" borderId="0" xfId="237" applyFont="1" applyFill="1" applyAlignment="1">
      <alignment horizontal="left" vertical="center"/>
    </xf>
    <xf numFmtId="41" fontId="51" fillId="0" borderId="0" xfId="236" applyFont="1" applyFill="1">
      <alignment/>
      <protection/>
    </xf>
    <xf numFmtId="43" fontId="51" fillId="0" borderId="0" xfId="237" applyFont="1" applyFill="1" applyAlignment="1">
      <alignment horizontal="left"/>
    </xf>
    <xf numFmtId="43" fontId="51" fillId="0" borderId="3" xfId="237" applyFont="1" applyFill="1" applyBorder="1" applyAlignment="1">
      <alignment horizontal="right"/>
    </xf>
    <xf numFmtId="41" fontId="51" fillId="0" borderId="3" xfId="234" applyFont="1" applyFill="1" applyBorder="1">
      <alignment/>
      <protection/>
    </xf>
    <xf numFmtId="41" fontId="51" fillId="0" borderId="3" xfId="236" applyFont="1" applyFill="1" applyBorder="1">
      <alignment/>
      <protection/>
    </xf>
    <xf numFmtId="43" fontId="54" fillId="0" borderId="0" xfId="237" applyFont="1" applyFill="1" applyAlignment="1">
      <alignment horizontal="right"/>
    </xf>
    <xf numFmtId="41" fontId="54" fillId="0" borderId="0" xfId="416" applyFont="1" applyFill="1">
      <alignment horizontal="left"/>
      <protection/>
    </xf>
    <xf numFmtId="43" fontId="52" fillId="0" borderId="3" xfId="237" applyFont="1" applyFill="1" applyBorder="1" applyAlignment="1">
      <alignment horizontal="right"/>
    </xf>
    <xf numFmtId="41" fontId="52" fillId="0" borderId="3" xfId="421" applyFont="1" applyFill="1" applyBorder="1">
      <alignment horizontal="left"/>
      <protection/>
    </xf>
    <xf numFmtId="41" fontId="52" fillId="0" borderId="3" xfId="234" applyFont="1" applyFill="1" applyBorder="1">
      <alignment/>
      <protection/>
    </xf>
    <xf numFmtId="41" fontId="52" fillId="0" borderId="0" xfId="234" applyFont="1" applyFill="1">
      <alignment/>
      <protection/>
    </xf>
    <xf numFmtId="43" fontId="52" fillId="0" borderId="0" xfId="237" applyFont="1" applyFill="1" applyAlignment="1">
      <alignment horizontal="right"/>
    </xf>
    <xf numFmtId="41" fontId="52" fillId="0" borderId="14" xfId="234" applyFont="1" applyFill="1" applyBorder="1" applyAlignment="1">
      <alignment horizontal="right"/>
      <protection/>
    </xf>
    <xf numFmtId="43" fontId="50" fillId="0" borderId="14" xfId="237" applyFont="1" applyFill="1" applyBorder="1" applyAlignment="1">
      <alignment horizontal="left" vertical="center"/>
    </xf>
    <xf numFmtId="41" fontId="52" fillId="0" borderId="14" xfId="234" applyFont="1" applyFill="1" applyBorder="1">
      <alignment/>
      <protection/>
    </xf>
    <xf numFmtId="41" fontId="51" fillId="0" borderId="0" xfId="234" applyFont="1" applyFill="1" applyAlignment="1">
      <alignment horizontal="right"/>
      <protection/>
    </xf>
    <xf numFmtId="41" fontId="52" fillId="0" borderId="3" xfId="236" applyFont="1" applyFill="1" applyBorder="1">
      <alignment/>
      <protection/>
    </xf>
    <xf numFmtId="41" fontId="52" fillId="0" borderId="0" xfId="421" applyFont="1" applyFill="1">
      <alignment horizontal="left"/>
      <protection/>
    </xf>
    <xf numFmtId="43" fontId="50" fillId="0" borderId="0" xfId="237" applyFont="1" applyFill="1" applyAlignment="1">
      <alignment horizontal="right" vertical="center"/>
    </xf>
    <xf numFmtId="43" fontId="52" fillId="0" borderId="14" xfId="237" applyFont="1" applyFill="1" applyBorder="1" applyAlignment="1">
      <alignment horizontal="right"/>
    </xf>
    <xf numFmtId="41" fontId="52" fillId="0" borderId="14" xfId="236" applyFont="1" applyFill="1" applyBorder="1">
      <alignment/>
      <protection/>
    </xf>
    <xf numFmtId="43" fontId="52" fillId="0" borderId="0" xfId="237" applyFont="1" applyFill="1" applyAlignment="1">
      <alignment horizontal="left" wrapText="1"/>
    </xf>
    <xf numFmtId="43" fontId="52" fillId="0" borderId="3" xfId="237" applyFont="1" applyFill="1" applyBorder="1" applyAlignment="1">
      <alignment horizontal="left" wrapText="1"/>
    </xf>
    <xf numFmtId="0" fontId="52" fillId="0" borderId="3" xfId="419" applyFont="1" applyFill="1" applyBorder="1">
      <alignment horizontal="left" wrapText="1"/>
      <protection/>
    </xf>
    <xf numFmtId="0" fontId="52" fillId="0" borderId="3" xfId="0" applyNumberFormat="1" applyFont="1" applyFill="1" applyBorder="1" applyAlignment="1" quotePrefix="1">
      <alignment horizontal="left"/>
    </xf>
    <xf numFmtId="0" fontId="52" fillId="0" borderId="3" xfId="0" applyNumberFormat="1" applyFont="1" applyFill="1" applyBorder="1" applyAlignment="1">
      <alignment/>
    </xf>
    <xf numFmtId="166" fontId="52" fillId="0" borderId="3" xfId="418" applyFont="1" applyFill="1" applyBorder="1" applyAlignment="1">
      <alignment horizontal="center" vertical="center" wrapText="1"/>
      <protection/>
    </xf>
    <xf numFmtId="43" fontId="52" fillId="0" borderId="3" xfId="237" applyFont="1" applyFill="1" applyBorder="1" applyAlignment="1">
      <alignment/>
    </xf>
    <xf numFmtId="43" fontId="52" fillId="0" borderId="0" xfId="237" applyFont="1" applyFill="1" applyAlignment="1">
      <alignment/>
    </xf>
    <xf numFmtId="0" fontId="52" fillId="0" borderId="0" xfId="0" applyNumberFormat="1" applyFont="1" applyFill="1" applyBorder="1" applyAlignment="1">
      <alignment horizontal="center"/>
    </xf>
    <xf numFmtId="43" fontId="52" fillId="0" borderId="0" xfId="237" applyFont="1" applyFill="1" applyBorder="1" applyAlignment="1">
      <alignment/>
    </xf>
    <xf numFmtId="41" fontId="52" fillId="0" borderId="0" xfId="234" applyFont="1" applyFill="1" applyBorder="1">
      <alignment/>
      <protection/>
    </xf>
    <xf numFmtId="41" fontId="51" fillId="0" borderId="0" xfId="236" applyFont="1" applyFill="1" applyBorder="1">
      <alignment/>
      <protection/>
    </xf>
    <xf numFmtId="43" fontId="51" fillId="0" borderId="3" xfId="237" applyFont="1" applyFill="1" applyBorder="1" applyAlignment="1">
      <alignment/>
    </xf>
    <xf numFmtId="41" fontId="52" fillId="0" borderId="0" xfId="419" applyNumberFormat="1" applyFont="1" applyFill="1">
      <alignment horizontal="left" wrapText="1"/>
      <protection/>
    </xf>
  </cellXfs>
  <cellStyles count="409">
    <cellStyle name="Normal" xfId="0"/>
    <cellStyle name="_x0013_" xfId="16"/>
    <cellStyle name="_4.06E Pass Throughs" xfId="17"/>
    <cellStyle name="_4.06E Pass Throughs_04 07E Wild Horse Wind Expansion (C) (2)" xfId="18"/>
    <cellStyle name="_4.06E Pass Throughs_INPUTS" xfId="19"/>
    <cellStyle name="_4.06E Pass Throughs_Production Adj 4.37" xfId="20"/>
    <cellStyle name="_4.06E Pass Throughs_Purchased Power Adj 4.03" xfId="21"/>
    <cellStyle name="_4.06E Pass Throughs_ROR &amp; CONV FACTOR" xfId="22"/>
    <cellStyle name="_4.06E Pass Throughs_ROR 5.02" xfId="23"/>
    <cellStyle name="_4.13E Montana Energy Tax" xfId="24"/>
    <cellStyle name="_4.13E Montana Energy Tax_04 07E Wild Horse Wind Expansion (C) (2)" xfId="25"/>
    <cellStyle name="_4.13E Montana Energy Tax_INPUTS" xfId="26"/>
    <cellStyle name="_4.13E Montana Energy Tax_Production Adj 4.37" xfId="27"/>
    <cellStyle name="_4.13E Montana Energy Tax_Purchased Power Adj 4.03" xfId="28"/>
    <cellStyle name="_4.13E Montana Energy Tax_ROR &amp; CONV FACTOR" xfId="29"/>
    <cellStyle name="_4.13E Montana Energy Tax_ROR 5.02" xfId="30"/>
    <cellStyle name="_Book1" xfId="31"/>
    <cellStyle name="_Book1 (2)" xfId="32"/>
    <cellStyle name="_Book1 (2)_04 07E Wild Horse Wind Expansion (C) (2)" xfId="33"/>
    <cellStyle name="_Book1 (2)_INPUTS" xfId="34"/>
    <cellStyle name="_Book1 (2)_Production Adj 4.37" xfId="35"/>
    <cellStyle name="_Book1 (2)_Purchased Power Adj 4.03" xfId="36"/>
    <cellStyle name="_Book1 (2)_ROR &amp; CONV FACTOR" xfId="37"/>
    <cellStyle name="_Book1 (2)_ROR 5.02" xfId="38"/>
    <cellStyle name="_Book1_Electric COS Inputs" xfId="39"/>
    <cellStyle name="_Book1_Production Adj 4.37" xfId="40"/>
    <cellStyle name="_Book1_Purchased Power Adj 4.03" xfId="41"/>
    <cellStyle name="_Book1_ROR 5.02" xfId="42"/>
    <cellStyle name="_Book2" xfId="43"/>
    <cellStyle name="_Book2_04 07E Wild Horse Wind Expansion (C) (2)" xfId="44"/>
    <cellStyle name="_Book2_INPUTS" xfId="45"/>
    <cellStyle name="_Book2_Production Adj 4.37" xfId="46"/>
    <cellStyle name="_Book2_Purchased Power Adj 4.03" xfId="47"/>
    <cellStyle name="_Book2_ROR &amp; CONV FACTOR" xfId="48"/>
    <cellStyle name="_Book2_ROR 5.02" xfId="49"/>
    <cellStyle name="_Chelan Debt Forecast 12.19.05" xfId="50"/>
    <cellStyle name="_Chelan Debt Forecast 12.19.05_INPUTS" xfId="51"/>
    <cellStyle name="_Chelan Debt Forecast 12.19.05_Production Adj 4.37" xfId="52"/>
    <cellStyle name="_Chelan Debt Forecast 12.19.05_Purchased Power Adj 4.03" xfId="53"/>
    <cellStyle name="_Chelan Debt Forecast 12.19.05_ROR &amp; CONV FACTOR" xfId="54"/>
    <cellStyle name="_Chelan Debt Forecast 12.19.05_ROR 5.02" xfId="55"/>
    <cellStyle name="_Costs not in AURORA 06GRC" xfId="56"/>
    <cellStyle name="_Costs not in AURORA 06GRC_04 07E Wild Horse Wind Expansion (C) (2)" xfId="57"/>
    <cellStyle name="_Costs not in AURORA 06GRC_INPUTS" xfId="58"/>
    <cellStyle name="_Costs not in AURORA 06GRC_Production Adj 4.37" xfId="59"/>
    <cellStyle name="_Costs not in AURORA 06GRC_Purchased Power Adj 4.03" xfId="60"/>
    <cellStyle name="_Costs not in AURORA 06GRC_ROR &amp; CONV FACTOR" xfId="61"/>
    <cellStyle name="_Costs not in AURORA 06GRC_ROR 5.02" xfId="62"/>
    <cellStyle name="_Costs not in AURORA 2006GRC 6.15.06" xfId="63"/>
    <cellStyle name="_Costs not in AURORA 2006GRC 6.15.06_04 07E Wild Horse Wind Expansion (C) (2)" xfId="64"/>
    <cellStyle name="_Costs not in AURORA 2006GRC 6.15.06_INPUTS" xfId="65"/>
    <cellStyle name="_Costs not in AURORA 2006GRC 6.15.06_Production Adj 4.37" xfId="66"/>
    <cellStyle name="_Costs not in AURORA 2006GRC 6.15.06_Purchased Power Adj 4.03" xfId="67"/>
    <cellStyle name="_Costs not in AURORA 2006GRC 6.15.06_ROR &amp; CONV FACTOR" xfId="68"/>
    <cellStyle name="_Costs not in AURORA 2006GRC 6.15.06_ROR 5.02" xfId="69"/>
    <cellStyle name="_Costs not in AURORA 2006GRC w gas price updated" xfId="70"/>
    <cellStyle name="_Costs not in AURORA 2007 Rate Case" xfId="71"/>
    <cellStyle name="_Costs not in AURORA 2007 Rate Case_Electric COS Inputs" xfId="72"/>
    <cellStyle name="_Costs not in AURORA 2007 Rate Case_Production Adj 4.37" xfId="73"/>
    <cellStyle name="_Costs not in AURORA 2007 Rate Case_Purchased Power Adj 4.03" xfId="74"/>
    <cellStyle name="_Costs not in AURORA 2007 Rate Case_ROR 5.02" xfId="75"/>
    <cellStyle name="_Costs not in KWI3000 '06Budget" xfId="76"/>
    <cellStyle name="_Costs not in KWI3000 '06Budget_INPUTS" xfId="77"/>
    <cellStyle name="_Costs not in KWI3000 '06Budget_Production Adj 4.37" xfId="78"/>
    <cellStyle name="_Costs not in KWI3000 '06Budget_Purchased Power Adj 4.03" xfId="79"/>
    <cellStyle name="_Costs not in KWI3000 '06Budget_ROR &amp; CONV FACTOR" xfId="80"/>
    <cellStyle name="_Costs not in KWI3000 '06Budget_ROR 5.02" xfId="81"/>
    <cellStyle name="_DEM-WP (C) Power Cost 2006GRC Order" xfId="82"/>
    <cellStyle name="_DEM-WP (C) Power Cost 2006GRC Order_04 07E Wild Horse Wind Expansion (C) (2)" xfId="83"/>
    <cellStyle name="_DEM-WP (C) Power Cost 2006GRC Order_Electric COS Inputs" xfId="84"/>
    <cellStyle name="_DEM-WP (C) Power Cost 2006GRC Order_Production Adj 4.37" xfId="85"/>
    <cellStyle name="_DEM-WP (C) Power Cost 2006GRC Order_Purchased Power Adj 4.03" xfId="86"/>
    <cellStyle name="_DEM-WP (C) Power Cost 2006GRC Order_ROR 5.02" xfId="87"/>
    <cellStyle name="_DEM-WP Revised (HC) Wild Horse 2006GRC" xfId="88"/>
    <cellStyle name="_DEM-WP(C) Costs not in AURORA 2006GRC" xfId="89"/>
    <cellStyle name="_DEM-WP(C) Costs not in AURORA 2006GRC_Electric COS Inputs" xfId="90"/>
    <cellStyle name="_DEM-WP(C) Costs not in AURORA 2006GRC_Production Adj 4.37" xfId="91"/>
    <cellStyle name="_DEM-WP(C) Costs not in AURORA 2006GRC_Purchased Power Adj 4.03" xfId="92"/>
    <cellStyle name="_DEM-WP(C) Costs not in AURORA 2006GRC_ROR 5.02" xfId="93"/>
    <cellStyle name="_DEM-WP(C) Costs not in AURORA 2007GRC" xfId="94"/>
    <cellStyle name="_DEM-WP(C) Costs not in AURORA 2007PCORC-5.07Update" xfId="95"/>
    <cellStyle name="_DEM-WP(C) Sumas Proforma 11.5.07" xfId="96"/>
    <cellStyle name="_DEM-WP(C) Westside Hydro Data_051007" xfId="97"/>
    <cellStyle name="_Fuel Prices 4-14" xfId="98"/>
    <cellStyle name="_Fuel Prices 4-14_04 07E Wild Horse Wind Expansion (C) (2)" xfId="99"/>
    <cellStyle name="_Fuel Prices 4-14_Direct Assignment Distribution Plant 2008" xfId="100"/>
    <cellStyle name="_Fuel Prices 4-14_Electric COS Inputs" xfId="101"/>
    <cellStyle name="_Fuel Prices 4-14_Electric Rate Spread and Rate Design 3.23.09" xfId="102"/>
    <cellStyle name="_Fuel Prices 4-14_INPUTS" xfId="103"/>
    <cellStyle name="_Fuel Prices 4-14_Leased Transformer &amp; Substation Plant &amp; Rev 12-2009" xfId="104"/>
    <cellStyle name="_Fuel Prices 4-14_Peak Credit Exhibits for 2009 GRC" xfId="105"/>
    <cellStyle name="_Fuel Prices 4-14_Production Adj 4.37" xfId="106"/>
    <cellStyle name="_Fuel Prices 4-14_Purchased Power Adj 4.03" xfId="107"/>
    <cellStyle name="_Fuel Prices 4-14_Rate Design Sch 25" xfId="108"/>
    <cellStyle name="_Fuel Prices 4-14_Rate Design Sch 26" xfId="109"/>
    <cellStyle name="_Fuel Prices 4-14_Rate Design Sch 31" xfId="110"/>
    <cellStyle name="_Fuel Prices 4-14_Rate Design Sch 43" xfId="111"/>
    <cellStyle name="_Fuel Prices 4-14_Rate Design Sch 46" xfId="112"/>
    <cellStyle name="_Fuel Prices 4-14_Rate Spread" xfId="113"/>
    <cellStyle name="_Fuel Prices 4-14_ROR 5.02" xfId="114"/>
    <cellStyle name="_NIM 06 Base Case Current Trends" xfId="115"/>
    <cellStyle name="_Portfolio SPlan Base Case.xls Chart 1" xfId="116"/>
    <cellStyle name="_Portfolio SPlan Base Case.xls Chart 2" xfId="117"/>
    <cellStyle name="_Portfolio SPlan Base Case.xls Chart 3" xfId="118"/>
    <cellStyle name="_Power Cost Value Copy 11.30.05 gas 1.09.06 AURORA at 1.10.06" xfId="119"/>
    <cellStyle name="_Power Cost Value Copy 11.30.05 gas 1.09.06 AURORA at 1.10.06_04 07E Wild Horse Wind Expansion (C) (2)" xfId="120"/>
    <cellStyle name="_Power Cost Value Copy 11.30.05 gas 1.09.06 AURORA at 1.10.06_Direct Assignment Distribution Plant 2008" xfId="121"/>
    <cellStyle name="_Power Cost Value Copy 11.30.05 gas 1.09.06 AURORA at 1.10.06_Electric COS Inputs" xfId="122"/>
    <cellStyle name="_Power Cost Value Copy 11.30.05 gas 1.09.06 AURORA at 1.10.06_Electric Rate Spread and Rate Design 3.23.09" xfId="123"/>
    <cellStyle name="_Power Cost Value Copy 11.30.05 gas 1.09.06 AURORA at 1.10.06_INPUTS" xfId="124"/>
    <cellStyle name="_Power Cost Value Copy 11.30.05 gas 1.09.06 AURORA at 1.10.06_Leased Transformer &amp; Substation Plant &amp; Rev 12-2009" xfId="125"/>
    <cellStyle name="_Power Cost Value Copy 11.30.05 gas 1.09.06 AURORA at 1.10.06_Production Adj 4.37" xfId="126"/>
    <cellStyle name="_Power Cost Value Copy 11.30.05 gas 1.09.06 AURORA at 1.10.06_Purchased Power Adj 4.03" xfId="127"/>
    <cellStyle name="_Power Cost Value Copy 11.30.05 gas 1.09.06 AURORA at 1.10.06_Rate Design Sch 25" xfId="128"/>
    <cellStyle name="_Power Cost Value Copy 11.30.05 gas 1.09.06 AURORA at 1.10.06_Rate Design Sch 26" xfId="129"/>
    <cellStyle name="_Power Cost Value Copy 11.30.05 gas 1.09.06 AURORA at 1.10.06_Rate Design Sch 31" xfId="130"/>
    <cellStyle name="_Power Cost Value Copy 11.30.05 gas 1.09.06 AURORA at 1.10.06_Rate Design Sch 43" xfId="131"/>
    <cellStyle name="_Power Cost Value Copy 11.30.05 gas 1.09.06 AURORA at 1.10.06_Rate Design Sch 46" xfId="132"/>
    <cellStyle name="_Power Cost Value Copy 11.30.05 gas 1.09.06 AURORA at 1.10.06_Rate Spread" xfId="133"/>
    <cellStyle name="_Power Cost Value Copy 11.30.05 gas 1.09.06 AURORA at 1.10.06_ROR 5.02" xfId="134"/>
    <cellStyle name="_Recon to Darrin's 5.11.05 proforma" xfId="135"/>
    <cellStyle name="_Recon to Darrin's 5.11.05 proforma_INPUTS" xfId="136"/>
    <cellStyle name="_Recon to Darrin's 5.11.05 proforma_Production Adj 4.37" xfId="137"/>
    <cellStyle name="_Recon to Darrin's 5.11.05 proforma_Purchased Power Adj 4.03" xfId="138"/>
    <cellStyle name="_Recon to Darrin's 5.11.05 proforma_ROR &amp; CONV FACTOR" xfId="139"/>
    <cellStyle name="_Recon to Darrin's 5.11.05 proforma_ROR 5.02" xfId="140"/>
    <cellStyle name="_Tenaska Comparison" xfId="141"/>
    <cellStyle name="_Tenaska Comparison_Electric COS Inputs" xfId="142"/>
    <cellStyle name="_Tenaska Comparison_Production Adj 4.37" xfId="143"/>
    <cellStyle name="_Tenaska Comparison_Purchased Power Adj 4.03" xfId="144"/>
    <cellStyle name="_Tenaska Comparison_ROR 5.02" xfId="145"/>
    <cellStyle name="_Value Copy 11 30 05 gas 12 09 05 AURORA at 12 14 05" xfId="146"/>
    <cellStyle name="_Value Copy 11 30 05 gas 12 09 05 AURORA at 12 14 05_04 07E Wild Horse Wind Expansion (C) (2)" xfId="147"/>
    <cellStyle name="_Value Copy 11 30 05 gas 12 09 05 AURORA at 12 14 05_Direct Assignment Distribution Plant 2008" xfId="148"/>
    <cellStyle name="_Value Copy 11 30 05 gas 12 09 05 AURORA at 12 14 05_Electric COS Inputs" xfId="149"/>
    <cellStyle name="_Value Copy 11 30 05 gas 12 09 05 AURORA at 12 14 05_Electric Rate Spread and Rate Design 3.23.09" xfId="150"/>
    <cellStyle name="_Value Copy 11 30 05 gas 12 09 05 AURORA at 12 14 05_INPUTS" xfId="151"/>
    <cellStyle name="_Value Copy 11 30 05 gas 12 09 05 AURORA at 12 14 05_Leased Transformer &amp; Substation Plant &amp; Rev 12-2009" xfId="152"/>
    <cellStyle name="_Value Copy 11 30 05 gas 12 09 05 AURORA at 12 14 05_Production Adj 4.37" xfId="153"/>
    <cellStyle name="_Value Copy 11 30 05 gas 12 09 05 AURORA at 12 14 05_Purchased Power Adj 4.03" xfId="154"/>
    <cellStyle name="_Value Copy 11 30 05 gas 12 09 05 AURORA at 12 14 05_Rate Design Sch 25" xfId="155"/>
    <cellStyle name="_Value Copy 11 30 05 gas 12 09 05 AURORA at 12 14 05_Rate Design Sch 26" xfId="156"/>
    <cellStyle name="_Value Copy 11 30 05 gas 12 09 05 AURORA at 12 14 05_Rate Design Sch 31" xfId="157"/>
    <cellStyle name="_Value Copy 11 30 05 gas 12 09 05 AURORA at 12 14 05_Rate Design Sch 43" xfId="158"/>
    <cellStyle name="_Value Copy 11 30 05 gas 12 09 05 AURORA at 12 14 05_Rate Design Sch 46" xfId="159"/>
    <cellStyle name="_Value Copy 11 30 05 gas 12 09 05 AURORA at 12 14 05_Rate Spread" xfId="160"/>
    <cellStyle name="_Value Copy 11 30 05 gas 12 09 05 AURORA at 12 14 05_ROR 5.02" xfId="161"/>
    <cellStyle name="_VC 6.15.06 update on 06GRC power costs.xls Chart 1" xfId="162"/>
    <cellStyle name="_VC 6.15.06 update on 06GRC power costs.xls Chart 1_04 07E Wild Horse Wind Expansion (C) (2)" xfId="163"/>
    <cellStyle name="_VC 6.15.06 update on 06GRC power costs.xls Chart 1_INPUTS" xfId="164"/>
    <cellStyle name="_VC 6.15.06 update on 06GRC power costs.xls Chart 1_Production Adj 4.37" xfId="165"/>
    <cellStyle name="_VC 6.15.06 update on 06GRC power costs.xls Chart 1_Purchased Power Adj 4.03" xfId="166"/>
    <cellStyle name="_VC 6.15.06 update on 06GRC power costs.xls Chart 1_ROR &amp; CONV FACTOR" xfId="167"/>
    <cellStyle name="_VC 6.15.06 update on 06GRC power costs.xls Chart 1_ROR 5.02" xfId="168"/>
    <cellStyle name="_VC 6.15.06 update on 06GRC power costs.xls Chart 2" xfId="169"/>
    <cellStyle name="_VC 6.15.06 update on 06GRC power costs.xls Chart 2_04 07E Wild Horse Wind Expansion (C) (2)" xfId="170"/>
    <cellStyle name="_VC 6.15.06 update on 06GRC power costs.xls Chart 2_INPUTS" xfId="171"/>
    <cellStyle name="_VC 6.15.06 update on 06GRC power costs.xls Chart 2_Production Adj 4.37" xfId="172"/>
    <cellStyle name="_VC 6.15.06 update on 06GRC power costs.xls Chart 2_Purchased Power Adj 4.03" xfId="173"/>
    <cellStyle name="_VC 6.15.06 update on 06GRC power costs.xls Chart 2_ROR &amp; CONV FACTOR" xfId="174"/>
    <cellStyle name="_VC 6.15.06 update on 06GRC power costs.xls Chart 2_ROR 5.02" xfId="175"/>
    <cellStyle name="_VC 6.15.06 update on 06GRC power costs.xls Chart 3" xfId="176"/>
    <cellStyle name="_VC 6.15.06 update on 06GRC power costs.xls Chart 3_04 07E Wild Horse Wind Expansion (C) (2)" xfId="177"/>
    <cellStyle name="_VC 6.15.06 update on 06GRC power costs.xls Chart 3_INPUTS" xfId="178"/>
    <cellStyle name="_VC 6.15.06 update on 06GRC power costs.xls Chart 3_Production Adj 4.37" xfId="179"/>
    <cellStyle name="_VC 6.15.06 update on 06GRC power costs.xls Chart 3_Purchased Power Adj 4.03" xfId="180"/>
    <cellStyle name="_VC 6.15.06 update on 06GRC power costs.xls Chart 3_ROR &amp; CONV FACTOR" xfId="181"/>
    <cellStyle name="_VC 6.15.06 update on 06GRC power costs.xls Chart 3_ROR 5.02" xfId="182"/>
    <cellStyle name="0,0&#13;&#10;NA&#13;&#10;" xfId="183"/>
    <cellStyle name="20% - Accent1" xfId="184"/>
    <cellStyle name="20% - Accent1 2" xfId="185"/>
    <cellStyle name="20% - Accent1 3" xfId="186"/>
    <cellStyle name="20% - Accent2" xfId="187"/>
    <cellStyle name="20% - Accent2 2" xfId="188"/>
    <cellStyle name="20% - Accent2 3" xfId="189"/>
    <cellStyle name="20% - Accent3" xfId="190"/>
    <cellStyle name="20% - Accent3 2" xfId="191"/>
    <cellStyle name="20% - Accent3 3" xfId="192"/>
    <cellStyle name="20% - Accent4" xfId="193"/>
    <cellStyle name="20% - Accent4 2" xfId="194"/>
    <cellStyle name="20% - Accent4 3" xfId="195"/>
    <cellStyle name="20% - Accent5" xfId="196"/>
    <cellStyle name="20% - Accent5 2" xfId="197"/>
    <cellStyle name="20% - Accent5 3" xfId="198"/>
    <cellStyle name="20% - Accent6" xfId="199"/>
    <cellStyle name="20% - Accent6 2" xfId="200"/>
    <cellStyle name="20% - Accent6 3" xfId="201"/>
    <cellStyle name="40% - Accent1" xfId="202"/>
    <cellStyle name="40% - Accent1 2" xfId="203"/>
    <cellStyle name="40% - Accent1 3" xfId="204"/>
    <cellStyle name="40% - Accent2" xfId="205"/>
    <cellStyle name="40% - Accent2 2" xfId="206"/>
    <cellStyle name="40% - Accent2 3" xfId="207"/>
    <cellStyle name="40% - Accent3" xfId="208"/>
    <cellStyle name="40% - Accent3 2" xfId="209"/>
    <cellStyle name="40% - Accent3 3" xfId="210"/>
    <cellStyle name="40% - Accent4" xfId="211"/>
    <cellStyle name="40% - Accent4 2" xfId="212"/>
    <cellStyle name="40% - Accent4 3" xfId="213"/>
    <cellStyle name="40% - Accent5" xfId="214"/>
    <cellStyle name="40% - Accent5 2" xfId="215"/>
    <cellStyle name="40% - Accent5 3" xfId="216"/>
    <cellStyle name="40% - Accent6" xfId="217"/>
    <cellStyle name="40% - Accent6 2" xfId="218"/>
    <cellStyle name="40% - Accent6 3" xfId="219"/>
    <cellStyle name="60% - Accent1" xfId="220"/>
    <cellStyle name="60% - Accent2" xfId="221"/>
    <cellStyle name="60% - Accent3" xfId="222"/>
    <cellStyle name="60% - Accent4" xfId="223"/>
    <cellStyle name="60% - Accent5" xfId="224"/>
    <cellStyle name="60% - Accent6" xfId="225"/>
    <cellStyle name="Accent1" xfId="226"/>
    <cellStyle name="Accent2" xfId="227"/>
    <cellStyle name="Accent3" xfId="228"/>
    <cellStyle name="Accent4" xfId="229"/>
    <cellStyle name="Accent5" xfId="230"/>
    <cellStyle name="Accent6" xfId="231"/>
    <cellStyle name="Bad" xfId="232"/>
    <cellStyle name="Calc Currency (0)" xfId="233"/>
    <cellStyle name="Calculation" xfId="234"/>
    <cellStyle name="Check Cell" xfId="235"/>
    <cellStyle name="CheckCell" xfId="236"/>
    <cellStyle name="Comma" xfId="237"/>
    <cellStyle name="Comma [0]" xfId="238"/>
    <cellStyle name="Comma 2" xfId="239"/>
    <cellStyle name="Comma 2 2" xfId="240"/>
    <cellStyle name="Comma 3" xfId="241"/>
    <cellStyle name="Comma 4" xfId="242"/>
    <cellStyle name="Comma 5" xfId="243"/>
    <cellStyle name="Comma 6" xfId="244"/>
    <cellStyle name="Comma 7" xfId="245"/>
    <cellStyle name="Comma 8" xfId="246"/>
    <cellStyle name="Comma0" xfId="247"/>
    <cellStyle name="Comma0 - Style2" xfId="248"/>
    <cellStyle name="Comma0 - Style4" xfId="249"/>
    <cellStyle name="Comma0 - Style5" xfId="250"/>
    <cellStyle name="Comma0 2" xfId="251"/>
    <cellStyle name="Comma0 3" xfId="252"/>
    <cellStyle name="Comma0 4" xfId="253"/>
    <cellStyle name="Comma0_00COS Ind Allocators" xfId="254"/>
    <cellStyle name="Comma1 - Style1" xfId="255"/>
    <cellStyle name="Copied" xfId="256"/>
    <cellStyle name="COST1" xfId="257"/>
    <cellStyle name="Curren - Style1" xfId="258"/>
    <cellStyle name="Curren - Style2" xfId="259"/>
    <cellStyle name="Curren - Style5" xfId="260"/>
    <cellStyle name="Curren - Style6" xfId="261"/>
    <cellStyle name="Currency" xfId="262"/>
    <cellStyle name="Currency [0]" xfId="263"/>
    <cellStyle name="Currency 2" xfId="264"/>
    <cellStyle name="Currency 3" xfId="265"/>
    <cellStyle name="Currency 4" xfId="266"/>
    <cellStyle name="Currency 5" xfId="267"/>
    <cellStyle name="Currency 6" xfId="268"/>
    <cellStyle name="Currency 7" xfId="269"/>
    <cellStyle name="Currency 8" xfId="270"/>
    <cellStyle name="Currency0" xfId="271"/>
    <cellStyle name="Date" xfId="272"/>
    <cellStyle name="Date 2" xfId="273"/>
    <cellStyle name="Date 3" xfId="274"/>
    <cellStyle name="Date 4" xfId="275"/>
    <cellStyle name="Date_903 SAP 2-6-09" xfId="276"/>
    <cellStyle name="Entered" xfId="277"/>
    <cellStyle name="Explanatory Text" xfId="278"/>
    <cellStyle name="Fixed" xfId="279"/>
    <cellStyle name="Fixed3 - Style3" xfId="280"/>
    <cellStyle name="Followed Hyperlink" xfId="281"/>
    <cellStyle name="Good" xfId="282"/>
    <cellStyle name="Grey" xfId="283"/>
    <cellStyle name="Grey 2" xfId="284"/>
    <cellStyle name="Grey 3" xfId="285"/>
    <cellStyle name="Grey 4" xfId="286"/>
    <cellStyle name="Grey_Direct Assignment Distribution Plant 2008" xfId="287"/>
    <cellStyle name="Header1" xfId="288"/>
    <cellStyle name="Header2" xfId="289"/>
    <cellStyle name="Heading 1" xfId="290"/>
    <cellStyle name="Heading 2" xfId="291"/>
    <cellStyle name="Heading 3" xfId="292"/>
    <cellStyle name="Heading 4" xfId="293"/>
    <cellStyle name="Heading_Press" xfId="294"/>
    <cellStyle name="Heading1" xfId="295"/>
    <cellStyle name="Heading2" xfId="296"/>
    <cellStyle name="Hyperlink" xfId="297"/>
    <cellStyle name="Input" xfId="298"/>
    <cellStyle name="Input [yellow]" xfId="299"/>
    <cellStyle name="Input [yellow] 2" xfId="300"/>
    <cellStyle name="Input [yellow] 3" xfId="301"/>
    <cellStyle name="Input [yellow] 4" xfId="302"/>
    <cellStyle name="Input [yellow]_Direct Assignment Distribution Plant 2008" xfId="303"/>
    <cellStyle name="Input Cells" xfId="304"/>
    <cellStyle name="Input Cells Percent" xfId="305"/>
    <cellStyle name="Input_4.14E Miscellaneous Operating Expense working file" xfId="306"/>
    <cellStyle name="Lines" xfId="307"/>
    <cellStyle name="LINKED" xfId="308"/>
    <cellStyle name="Linked Cell" xfId="309"/>
    <cellStyle name="LINKED_Electric Compliance Filing Workpapers" xfId="310"/>
    <cellStyle name="modified border" xfId="311"/>
    <cellStyle name="modified border 2" xfId="312"/>
    <cellStyle name="modified border 3" xfId="313"/>
    <cellStyle name="modified border 4" xfId="314"/>
    <cellStyle name="modified border1" xfId="315"/>
    <cellStyle name="modified border1 2" xfId="316"/>
    <cellStyle name="modified border1 3" xfId="317"/>
    <cellStyle name="modified border1 4" xfId="318"/>
    <cellStyle name="Neutral" xfId="319"/>
    <cellStyle name="no dec" xfId="320"/>
    <cellStyle name="Normal - Style1" xfId="321"/>
    <cellStyle name="Normal - Style1 2" xfId="322"/>
    <cellStyle name="Normal - Style1 3" xfId="323"/>
    <cellStyle name="Normal - Style1 4" xfId="324"/>
    <cellStyle name="Normal - Style1_903 SAP 2-6-09" xfId="325"/>
    <cellStyle name="Normal 2" xfId="326"/>
    <cellStyle name="Normal 2 2" xfId="327"/>
    <cellStyle name="Normal 2 2 2" xfId="328"/>
    <cellStyle name="Normal 2 2 3" xfId="329"/>
    <cellStyle name="Normal 2 2_4.14E Miscellaneous Operating Expense working file" xfId="330"/>
    <cellStyle name="Normal 2 3" xfId="331"/>
    <cellStyle name="Normal 2 4" xfId="332"/>
    <cellStyle name="Normal 2 5" xfId="333"/>
    <cellStyle name="Normal 2 6" xfId="334"/>
    <cellStyle name="Normal 2_GRC 2009 Load Research Rate Schedule Statistics - v2 2-26-2009" xfId="335"/>
    <cellStyle name="Normal 3" xfId="336"/>
    <cellStyle name="Normal 3 2" xfId="337"/>
    <cellStyle name="Normal 3 3" xfId="338"/>
    <cellStyle name="Normal 3_4.14E Miscellaneous Operating Expense working file" xfId="339"/>
    <cellStyle name="Normal 4" xfId="340"/>
    <cellStyle name="Normal 5" xfId="341"/>
    <cellStyle name="Normal 6" xfId="342"/>
    <cellStyle name="Normal 7" xfId="343"/>
    <cellStyle name="Normal 8" xfId="344"/>
    <cellStyle name="Normal 9" xfId="345"/>
    <cellStyle name="Note" xfId="346"/>
    <cellStyle name="Note 10" xfId="347"/>
    <cellStyle name="Note 11" xfId="348"/>
    <cellStyle name="Note 2" xfId="349"/>
    <cellStyle name="Note 3" xfId="350"/>
    <cellStyle name="Note 4" xfId="351"/>
    <cellStyle name="Note 5" xfId="352"/>
    <cellStyle name="Note 6" xfId="353"/>
    <cellStyle name="Note 7" xfId="354"/>
    <cellStyle name="Note 8" xfId="355"/>
    <cellStyle name="Note 9" xfId="356"/>
    <cellStyle name="Note_4.14E Miscellaneous Operating Expense working file" xfId="357"/>
    <cellStyle name="Output" xfId="358"/>
    <cellStyle name="Percen - Style1" xfId="359"/>
    <cellStyle name="Percen - Style2" xfId="360"/>
    <cellStyle name="Percen - Style3" xfId="361"/>
    <cellStyle name="Percent" xfId="362"/>
    <cellStyle name="Percent [2]" xfId="363"/>
    <cellStyle name="Percent 2" xfId="364"/>
    <cellStyle name="Percent 3" xfId="365"/>
    <cellStyle name="Percent 4" xfId="366"/>
    <cellStyle name="Percent 5" xfId="367"/>
    <cellStyle name="Percent 6" xfId="368"/>
    <cellStyle name="Processing" xfId="369"/>
    <cellStyle name="PSChar" xfId="370"/>
    <cellStyle name="PSDate" xfId="371"/>
    <cellStyle name="PSDec" xfId="372"/>
    <cellStyle name="PSHeading" xfId="373"/>
    <cellStyle name="PSInt" xfId="374"/>
    <cellStyle name="PSSpacer" xfId="375"/>
    <cellStyle name="purple - Style8" xfId="376"/>
    <cellStyle name="RED" xfId="377"/>
    <cellStyle name="Red - Style7" xfId="378"/>
    <cellStyle name="RED_04 07E Wild Horse Wind Expansion (C) (2)" xfId="379"/>
    <cellStyle name="Report" xfId="380"/>
    <cellStyle name="Report Bar" xfId="381"/>
    <cellStyle name="Report Heading" xfId="382"/>
    <cellStyle name="Report Percent" xfId="383"/>
    <cellStyle name="Report Unit Cost" xfId="384"/>
    <cellStyle name="Reports" xfId="385"/>
    <cellStyle name="Reports Total" xfId="386"/>
    <cellStyle name="Reports Unit Cost Total" xfId="387"/>
    <cellStyle name="RevList" xfId="388"/>
    <cellStyle name="round100" xfId="389"/>
    <cellStyle name="SAPBEXaggData" xfId="390"/>
    <cellStyle name="SAPBEXaggItem" xfId="391"/>
    <cellStyle name="SAPBEXchaText" xfId="392"/>
    <cellStyle name="SAPBEXfilterDrill" xfId="393"/>
    <cellStyle name="SAPBEXfilterItem" xfId="394"/>
    <cellStyle name="SAPBEXheaderItem" xfId="395"/>
    <cellStyle name="SAPBEXheaderText" xfId="396"/>
    <cellStyle name="SAPBEXHLevel0X" xfId="397"/>
    <cellStyle name="SAPBEXstdData" xfId="398"/>
    <cellStyle name="SAPBEXstdItem" xfId="399"/>
    <cellStyle name="SAPBEXstdItemX" xfId="400"/>
    <cellStyle name="SAPBEXtitle" xfId="401"/>
    <cellStyle name="shade" xfId="402"/>
    <cellStyle name="StmtTtl1" xfId="403"/>
    <cellStyle name="StmtTtl1 2" xfId="404"/>
    <cellStyle name="StmtTtl1 3" xfId="405"/>
    <cellStyle name="StmtTtl1 4" xfId="406"/>
    <cellStyle name="StmtTtl1_Direct Assignment Distribution Plant 2008" xfId="407"/>
    <cellStyle name="StmtTtl2" xfId="408"/>
    <cellStyle name="STYL1 - Style1" xfId="409"/>
    <cellStyle name="Style 1" xfId="410"/>
    <cellStyle name="Style 1 2" xfId="411"/>
    <cellStyle name="Style 1 3" xfId="412"/>
    <cellStyle name="Style 1 4" xfId="413"/>
    <cellStyle name="Style 1_4.14E Miscellaneous Operating Expense working file" xfId="414"/>
    <cellStyle name="Subtotal" xfId="415"/>
    <cellStyle name="Sub-total" xfId="416"/>
    <cellStyle name="Title" xfId="417"/>
    <cellStyle name="Title: Major" xfId="418"/>
    <cellStyle name="Title: Minor" xfId="419"/>
    <cellStyle name="Title: Worksheet" xfId="420"/>
    <cellStyle name="Total" xfId="421"/>
    <cellStyle name="Total4 - Style4" xfId="422"/>
    <cellStyle name="Warning Text" xfId="4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ates\Public\RASANEN\#2009%20GRC\COS\Model\ECOS%202009%20GRC%204.22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Account Summary"/>
      <sheetName val="BC detail"/>
      <sheetName val="Salary &amp; Wage Summary"/>
    </sheetNames>
    <sheetDataSet>
      <sheetData sheetId="1">
        <row r="11">
          <cell r="C11">
            <v>2</v>
          </cell>
        </row>
        <row r="29">
          <cell r="F29">
            <v>0.08560000000000001</v>
          </cell>
        </row>
        <row r="30">
          <cell r="F30">
            <v>0.033800000000000004</v>
          </cell>
        </row>
        <row r="44">
          <cell r="F44">
            <v>0.621262</v>
          </cell>
        </row>
        <row r="45">
          <cell r="F45">
            <v>0.621262</v>
          </cell>
        </row>
        <row r="46">
          <cell r="F46">
            <v>0.621262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U214"/>
  <sheetViews>
    <sheetView showGridLines="0" tabSelected="1" workbookViewId="0" topLeftCell="A1">
      <pane xSplit="4" ySplit="6" topLeftCell="E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5.00390625" style="3" bestFit="1" customWidth="1"/>
    <col min="2" max="2" width="2.140625" style="3" bestFit="1" customWidth="1"/>
    <col min="3" max="3" width="38.28125" style="3" bestFit="1" customWidth="1"/>
    <col min="4" max="4" width="1.7109375" style="3" customWidth="1"/>
    <col min="5" max="5" width="16.8515625" style="3" customWidth="1"/>
    <col min="6" max="6" width="1.7109375" style="3" customWidth="1"/>
    <col min="7" max="7" width="16.8515625" style="3" customWidth="1"/>
    <col min="8" max="8" width="15.28125" style="3" customWidth="1"/>
    <col min="9" max="9" width="16.57421875" style="3" bestFit="1" customWidth="1"/>
    <col min="10" max="10" width="14.7109375" style="3" customWidth="1"/>
    <col min="11" max="11" width="15.28125" style="3" customWidth="1"/>
    <col min="12" max="12" width="13.421875" style="3" bestFit="1" customWidth="1"/>
    <col min="13" max="13" width="14.00390625" style="3" customWidth="1"/>
    <col min="14" max="14" width="15.7109375" style="3" bestFit="1" customWidth="1"/>
    <col min="15" max="15" width="14.140625" style="3" customWidth="1"/>
    <col min="16" max="16" width="16.140625" style="3" bestFit="1" customWidth="1"/>
    <col min="17" max="19" width="9.140625" style="3" customWidth="1"/>
    <col min="20" max="21" width="15.00390625" style="3" bestFit="1" customWidth="1"/>
    <col min="22" max="16384" width="9.140625" style="3" customWidth="1"/>
  </cols>
  <sheetData>
    <row r="1" spans="1:16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.75">
      <c r="A3" s="1" t="s">
        <v>267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</row>
    <row r="5" spans="1:21" s="5" customFormat="1" ht="15.75">
      <c r="A5" s="4"/>
      <c r="Q5" s="2"/>
      <c r="R5" s="2"/>
      <c r="S5" s="2"/>
      <c r="T5" s="2"/>
      <c r="U5" s="2"/>
    </row>
    <row r="6" spans="1:21" s="5" customFormat="1" ht="38.25">
      <c r="A6" s="6" t="s">
        <v>2</v>
      </c>
      <c r="B6" s="6"/>
      <c r="C6" s="6" t="s">
        <v>3</v>
      </c>
      <c r="D6" s="6"/>
      <c r="E6" s="6" t="s">
        <v>4</v>
      </c>
      <c r="F6" s="6"/>
      <c r="G6" s="7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  <c r="O6" s="8" t="s">
        <v>13</v>
      </c>
      <c r="P6" s="8" t="s">
        <v>14</v>
      </c>
      <c r="Q6" s="2"/>
      <c r="R6" s="2"/>
      <c r="S6" s="2"/>
      <c r="T6" s="2"/>
      <c r="U6" s="2"/>
    </row>
    <row r="7" spans="3:21" ht="15.75">
      <c r="C7" s="9" t="s">
        <v>15</v>
      </c>
      <c r="E7" s="9" t="s">
        <v>16</v>
      </c>
      <c r="G7" s="9" t="s">
        <v>17</v>
      </c>
      <c r="H7" s="9" t="s">
        <v>18</v>
      </c>
      <c r="I7" s="9" t="s">
        <v>19</v>
      </c>
      <c r="J7" s="10" t="s">
        <v>555</v>
      </c>
      <c r="K7" s="10" t="s">
        <v>20</v>
      </c>
      <c r="L7" s="10" t="s">
        <v>21</v>
      </c>
      <c r="M7" s="10" t="s">
        <v>89</v>
      </c>
      <c r="N7" s="10" t="s">
        <v>90</v>
      </c>
      <c r="O7" s="10" t="s">
        <v>22</v>
      </c>
      <c r="P7" s="10" t="s">
        <v>23</v>
      </c>
      <c r="Q7" s="2"/>
      <c r="R7" s="2"/>
      <c r="S7" s="2"/>
      <c r="T7" s="2"/>
      <c r="U7" s="2"/>
    </row>
    <row r="8" spans="1:21" ht="15.75">
      <c r="A8" s="11"/>
      <c r="Q8" s="2"/>
      <c r="R8" s="2"/>
      <c r="S8" s="2"/>
      <c r="T8" s="2"/>
      <c r="U8" s="2"/>
    </row>
    <row r="9" spans="1:21" ht="15.75">
      <c r="A9" s="12">
        <v>1</v>
      </c>
      <c r="C9" s="13" t="s">
        <v>26</v>
      </c>
      <c r="Q9" s="2"/>
      <c r="R9" s="2"/>
      <c r="S9" s="2"/>
      <c r="T9" s="2"/>
      <c r="U9" s="2"/>
    </row>
    <row r="10" spans="1:21" ht="15.75">
      <c r="A10" s="12">
        <f aca="true" t="shared" si="0" ref="A10:A41">+A9+1</f>
        <v>2</v>
      </c>
      <c r="C10" s="14" t="s">
        <v>27</v>
      </c>
      <c r="E10" s="14">
        <f>SUM(G10:P10)</f>
        <v>6699437657.000001</v>
      </c>
      <c r="F10" s="14"/>
      <c r="G10" s="14">
        <v>3934988225.0958037</v>
      </c>
      <c r="H10" s="14">
        <v>802173206.8837932</v>
      </c>
      <c r="I10" s="14">
        <v>786357521.2990543</v>
      </c>
      <c r="J10" s="14">
        <v>464810288.7571305</v>
      </c>
      <c r="K10" s="14">
        <v>355011361.81342494</v>
      </c>
      <c r="L10" s="14">
        <v>135925603.83211893</v>
      </c>
      <c r="M10" s="14">
        <v>95703506.48555383</v>
      </c>
      <c r="N10" s="14">
        <v>59372243.37914293</v>
      </c>
      <c r="O10" s="14">
        <v>58275852.433259115</v>
      </c>
      <c r="P10" s="14">
        <v>6819847.020719083</v>
      </c>
      <c r="Q10" s="2"/>
      <c r="R10" s="2"/>
      <c r="S10" s="2"/>
      <c r="T10" s="2"/>
      <c r="U10" s="2"/>
    </row>
    <row r="11" spans="1:21" ht="15.75">
      <c r="A11" s="12">
        <f t="shared" si="0"/>
        <v>3</v>
      </c>
      <c r="C11" s="14" t="s">
        <v>28</v>
      </c>
      <c r="E11" s="14">
        <f>SUM(G11:P11)</f>
        <v>-2596670252.0000005</v>
      </c>
      <c r="F11" s="14"/>
      <c r="G11" s="14">
        <v>-1531743705.1235447</v>
      </c>
      <c r="H11" s="14">
        <v>-306543849.33693</v>
      </c>
      <c r="I11" s="14">
        <v>-301756842.933519</v>
      </c>
      <c r="J11" s="14">
        <v>-179785835.8863218</v>
      </c>
      <c r="K11" s="14">
        <v>-135900615.97475237</v>
      </c>
      <c r="L11" s="14">
        <v>-53460229.66863028</v>
      </c>
      <c r="M11" s="14">
        <v>-37948805.41228025</v>
      </c>
      <c r="N11" s="14">
        <v>-22542265.618200894</v>
      </c>
      <c r="O11" s="14">
        <v>-24489835.252870623</v>
      </c>
      <c r="P11" s="14">
        <v>-2498266.7929503955</v>
      </c>
      <c r="Q11" s="2"/>
      <c r="R11" s="2"/>
      <c r="S11" s="2"/>
      <c r="T11" s="2"/>
      <c r="U11" s="2"/>
    </row>
    <row r="12" spans="1:21" ht="15.75">
      <c r="A12" s="12">
        <f t="shared" si="0"/>
        <v>4</v>
      </c>
      <c r="C12" s="15" t="s">
        <v>29</v>
      </c>
      <c r="E12" s="14">
        <f>SUM(G12:P12)</f>
        <v>-331622058.9999999</v>
      </c>
      <c r="F12" s="14"/>
      <c r="G12" s="14">
        <v>-215682363.57901895</v>
      </c>
      <c r="H12" s="14">
        <v>-47009662.022039026</v>
      </c>
      <c r="I12" s="14">
        <v>-28637545.0001093</v>
      </c>
      <c r="J12" s="14">
        <v>-15209822.530620182</v>
      </c>
      <c r="K12" s="14">
        <v>-12330678.251734745</v>
      </c>
      <c r="L12" s="14">
        <v>-4300694.3844292555</v>
      </c>
      <c r="M12" s="14">
        <v>-2795518.169970967</v>
      </c>
      <c r="N12" s="14">
        <v>-2863173.5455160704</v>
      </c>
      <c r="O12" s="14">
        <v>-2490897.1442568055</v>
      </c>
      <c r="P12" s="14">
        <v>-301704.3723045868</v>
      </c>
      <c r="Q12" s="2"/>
      <c r="R12" s="2"/>
      <c r="S12" s="2"/>
      <c r="T12" s="2"/>
      <c r="U12" s="2"/>
    </row>
    <row r="13" spans="1:21" ht="16.5" thickBot="1">
      <c r="A13" s="12">
        <f t="shared" si="0"/>
        <v>5</v>
      </c>
      <c r="C13" s="16" t="s">
        <v>30</v>
      </c>
      <c r="D13" s="16"/>
      <c r="E13" s="16">
        <f>SUM(E10:E12)</f>
        <v>3771145346.0000005</v>
      </c>
      <c r="F13" s="16"/>
      <c r="G13" s="16">
        <f aca="true" t="shared" si="1" ref="G13:P13">SUM(G10:G12)</f>
        <v>2187562156.39324</v>
      </c>
      <c r="H13" s="16">
        <f t="shared" si="1"/>
        <v>448619695.52482426</v>
      </c>
      <c r="I13" s="16">
        <f t="shared" si="1"/>
        <v>455963133.36542594</v>
      </c>
      <c r="J13" s="16">
        <f t="shared" si="1"/>
        <v>269814630.34018856</v>
      </c>
      <c r="K13" s="16">
        <f t="shared" si="1"/>
        <v>206780067.58693784</v>
      </c>
      <c r="L13" s="16">
        <f t="shared" si="1"/>
        <v>78164679.7790594</v>
      </c>
      <c r="M13" s="16">
        <f t="shared" si="1"/>
        <v>54959182.90330262</v>
      </c>
      <c r="N13" s="16">
        <f t="shared" si="1"/>
        <v>33966804.21542597</v>
      </c>
      <c r="O13" s="16">
        <f t="shared" si="1"/>
        <v>31295120.03613169</v>
      </c>
      <c r="P13" s="16">
        <f t="shared" si="1"/>
        <v>4019875.855464101</v>
      </c>
      <c r="Q13" s="2"/>
      <c r="R13" s="2"/>
      <c r="S13" s="2"/>
      <c r="T13" s="2"/>
      <c r="U13" s="2"/>
    </row>
    <row r="14" spans="1:21" ht="16.5" thickTop="1">
      <c r="A14" s="12">
        <f t="shared" si="0"/>
        <v>6</v>
      </c>
      <c r="Q14" s="2"/>
      <c r="R14" s="2"/>
      <c r="S14" s="2"/>
      <c r="T14" s="2"/>
      <c r="U14" s="2"/>
    </row>
    <row r="15" spans="1:21" ht="15.75">
      <c r="A15" s="12">
        <f t="shared" si="0"/>
        <v>7</v>
      </c>
      <c r="C15" s="17" t="s">
        <v>268</v>
      </c>
      <c r="Q15" s="2"/>
      <c r="R15" s="2"/>
      <c r="S15" s="2"/>
      <c r="T15" s="2"/>
      <c r="U15" s="2"/>
    </row>
    <row r="16" spans="1:21" ht="15.75">
      <c r="A16" s="12">
        <f t="shared" si="0"/>
        <v>8</v>
      </c>
      <c r="B16" s="13"/>
      <c r="C16" s="18" t="s">
        <v>31</v>
      </c>
      <c r="E16" s="14">
        <f>SUM(G16:P16)</f>
        <v>2003744274.0000002</v>
      </c>
      <c r="G16" s="14">
        <v>1086009285.087757</v>
      </c>
      <c r="H16" s="14">
        <v>251380615.25190324</v>
      </c>
      <c r="I16" s="14">
        <v>274490508.27505755</v>
      </c>
      <c r="J16" s="14">
        <v>167558420.16792</v>
      </c>
      <c r="K16" s="14">
        <v>120099328.12035611</v>
      </c>
      <c r="L16" s="14">
        <v>44871350.04497547</v>
      </c>
      <c r="M16" s="14">
        <v>35350468.03543788</v>
      </c>
      <c r="N16" s="14">
        <v>6161090</v>
      </c>
      <c r="O16" s="14">
        <v>16499336.016592633</v>
      </c>
      <c r="P16" s="14">
        <v>1323873</v>
      </c>
      <c r="Q16" s="2"/>
      <c r="R16" s="2"/>
      <c r="S16" s="2"/>
      <c r="T16" s="2"/>
      <c r="U16" s="2"/>
    </row>
    <row r="17" spans="1:21" ht="15.75">
      <c r="A17" s="12">
        <f t="shared" si="0"/>
        <v>9</v>
      </c>
      <c r="B17" s="13"/>
      <c r="C17" s="18" t="s">
        <v>32</v>
      </c>
      <c r="E17" s="14">
        <f>SUM(G17:P17)</f>
        <v>14813966.000000002</v>
      </c>
      <c r="G17" s="14">
        <v>7897499.215499564</v>
      </c>
      <c r="H17" s="14">
        <v>1793477.730677639</v>
      </c>
      <c r="I17" s="14">
        <v>2045792.1269189587</v>
      </c>
      <c r="J17" s="14">
        <v>1370482.0784111496</v>
      </c>
      <c r="K17" s="14">
        <v>899285.7607808603</v>
      </c>
      <c r="L17" s="14">
        <v>414166.0477402388</v>
      </c>
      <c r="M17" s="14">
        <v>332711.7909290169</v>
      </c>
      <c r="N17" s="14">
        <v>0</v>
      </c>
      <c r="O17" s="14">
        <v>55391.788322290326</v>
      </c>
      <c r="P17" s="14">
        <v>5159.460720283273</v>
      </c>
      <c r="Q17" s="2"/>
      <c r="R17" s="2"/>
      <c r="S17" s="2"/>
      <c r="T17" s="2"/>
      <c r="U17" s="2"/>
    </row>
    <row r="18" spans="1:21" ht="15.75">
      <c r="A18" s="12">
        <f t="shared" si="0"/>
        <v>10</v>
      </c>
      <c r="B18" s="13"/>
      <c r="C18" s="15" t="s">
        <v>33</v>
      </c>
      <c r="E18" s="14">
        <f>SUM(G18:P18)</f>
        <v>38881588.999999985</v>
      </c>
      <c r="G18" s="14">
        <v>25225479.67986668</v>
      </c>
      <c r="H18" s="14">
        <v>3864259.1561740073</v>
      </c>
      <c r="I18" s="14">
        <v>2765708.1619366384</v>
      </c>
      <c r="J18" s="14">
        <v>1577647.8017708666</v>
      </c>
      <c r="K18" s="14">
        <v>1666248.987670656</v>
      </c>
      <c r="L18" s="14">
        <v>494411.0583727021</v>
      </c>
      <c r="M18" s="14">
        <v>1761409.8691609832</v>
      </c>
      <c r="N18" s="14">
        <v>1353388.6222990758</v>
      </c>
      <c r="O18" s="14">
        <v>140634.50217790197</v>
      </c>
      <c r="P18" s="14">
        <v>32401.160570490567</v>
      </c>
      <c r="Q18" s="2"/>
      <c r="R18" s="2"/>
      <c r="S18" s="2"/>
      <c r="T18" s="2"/>
      <c r="U18" s="2"/>
    </row>
    <row r="19" spans="1:21" ht="16.5" thickBot="1">
      <c r="A19" s="12">
        <f t="shared" si="0"/>
        <v>11</v>
      </c>
      <c r="C19" s="19" t="s">
        <v>269</v>
      </c>
      <c r="D19" s="16"/>
      <c r="E19" s="16">
        <f>SUM(E16:E18)</f>
        <v>2057439829.0000002</v>
      </c>
      <c r="F19" s="16"/>
      <c r="G19" s="16">
        <f aca="true" t="shared" si="2" ref="G19:P19">SUM(G16:G18)</f>
        <v>1119132263.9831235</v>
      </c>
      <c r="H19" s="16">
        <f t="shared" si="2"/>
        <v>257038352.13875487</v>
      </c>
      <c r="I19" s="16">
        <f t="shared" si="2"/>
        <v>279302008.56391317</v>
      </c>
      <c r="J19" s="16">
        <f t="shared" si="2"/>
        <v>170506550.04810202</v>
      </c>
      <c r="K19" s="16">
        <f t="shared" si="2"/>
        <v>122664862.86880763</v>
      </c>
      <c r="L19" s="16">
        <f t="shared" si="2"/>
        <v>45779927.1510884</v>
      </c>
      <c r="M19" s="16">
        <f t="shared" si="2"/>
        <v>37444589.69552788</v>
      </c>
      <c r="N19" s="16">
        <f t="shared" si="2"/>
        <v>7514478.622299076</v>
      </c>
      <c r="O19" s="16">
        <f t="shared" si="2"/>
        <v>16695362.307092825</v>
      </c>
      <c r="P19" s="16">
        <f t="shared" si="2"/>
        <v>1361433.6212907739</v>
      </c>
      <c r="Q19" s="2"/>
      <c r="R19" s="2"/>
      <c r="S19" s="2"/>
      <c r="T19" s="2"/>
      <c r="U19" s="2"/>
    </row>
    <row r="20" spans="1:21" ht="16.5" thickTop="1">
      <c r="A20" s="12">
        <f t="shared" si="0"/>
        <v>12</v>
      </c>
      <c r="B20" s="13"/>
      <c r="E20" s="20"/>
      <c r="Q20" s="2"/>
      <c r="R20" s="2"/>
      <c r="S20" s="2"/>
      <c r="T20" s="2"/>
      <c r="U20" s="2"/>
    </row>
    <row r="21" spans="1:21" ht="15.75">
      <c r="A21" s="12">
        <f t="shared" si="0"/>
        <v>13</v>
      </c>
      <c r="C21" s="5" t="s">
        <v>34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"/>
      <c r="R21" s="2"/>
      <c r="S21" s="2"/>
      <c r="T21" s="2"/>
      <c r="U21" s="2"/>
    </row>
    <row r="22" spans="1:21" ht="15.75">
      <c r="A22" s="12">
        <f t="shared" si="0"/>
        <v>14</v>
      </c>
      <c r="B22" s="13"/>
      <c r="C22" s="14" t="s">
        <v>35</v>
      </c>
      <c r="E22" s="14">
        <f>SUM(G22:P22)</f>
        <v>1398697813.9999995</v>
      </c>
      <c r="F22" s="14"/>
      <c r="G22" s="14">
        <v>770029472.5851723</v>
      </c>
      <c r="H22" s="14">
        <v>168591909.18838423</v>
      </c>
      <c r="I22" s="14">
        <v>182138750.59079027</v>
      </c>
      <c r="J22" s="14">
        <v>119696177.58260879</v>
      </c>
      <c r="K22" s="14">
        <v>81223166.58495925</v>
      </c>
      <c r="L22" s="14">
        <v>35982173.697176576</v>
      </c>
      <c r="M22" s="14">
        <v>28501093.893488135</v>
      </c>
      <c r="N22" s="14">
        <v>1666962.0270992033</v>
      </c>
      <c r="O22" s="14">
        <v>10086044.899233103</v>
      </c>
      <c r="P22" s="14">
        <v>782062.9510880134</v>
      </c>
      <c r="Q22" s="2"/>
      <c r="R22" s="2"/>
      <c r="S22" s="2"/>
      <c r="T22" s="2"/>
      <c r="U22" s="2"/>
    </row>
    <row r="23" spans="1:21" ht="15.75">
      <c r="A23" s="12">
        <f t="shared" si="0"/>
        <v>15</v>
      </c>
      <c r="B23" s="13"/>
      <c r="C23" s="14" t="s">
        <v>36</v>
      </c>
      <c r="E23" s="14">
        <f>SUM(G23:P23)</f>
        <v>235322647.00000003</v>
      </c>
      <c r="F23" s="14"/>
      <c r="G23" s="14">
        <v>139777091.86219722</v>
      </c>
      <c r="H23" s="14">
        <v>28118209.67293944</v>
      </c>
      <c r="I23" s="14">
        <v>26978919.60305651</v>
      </c>
      <c r="J23" s="14">
        <v>15794108.252663244</v>
      </c>
      <c r="K23" s="14">
        <v>12181279.038687913</v>
      </c>
      <c r="L23" s="14">
        <v>4626751.121491749</v>
      </c>
      <c r="M23" s="14">
        <v>3218813.4766464205</v>
      </c>
      <c r="N23" s="14">
        <v>2190486.696891449</v>
      </c>
      <c r="O23" s="14">
        <v>2190953.4888770273</v>
      </c>
      <c r="P23" s="14">
        <v>246033.7865490047</v>
      </c>
      <c r="Q23" s="2"/>
      <c r="R23" s="2"/>
      <c r="S23" s="2"/>
      <c r="T23" s="2"/>
      <c r="U23" s="2"/>
    </row>
    <row r="24" spans="1:21" ht="15.75">
      <c r="A24" s="12">
        <f t="shared" si="0"/>
        <v>16</v>
      </c>
      <c r="B24" s="13"/>
      <c r="C24" s="14" t="s">
        <v>37</v>
      </c>
      <c r="E24" s="14">
        <f>SUM(G24:P24)</f>
        <v>123255634.00000001</v>
      </c>
      <c r="F24" s="14"/>
      <c r="G24" s="14">
        <v>70234970.05878083</v>
      </c>
      <c r="H24" s="14">
        <v>14790111.287372733</v>
      </c>
      <c r="I24" s="14">
        <v>15209276.544748276</v>
      </c>
      <c r="J24" s="14">
        <v>9506452.113404034</v>
      </c>
      <c r="K24" s="14">
        <v>6827393.052130837</v>
      </c>
      <c r="L24" s="14">
        <v>2825127.696712405</v>
      </c>
      <c r="M24" s="14">
        <v>2123993.076062314</v>
      </c>
      <c r="N24" s="14">
        <v>647425.7391280647</v>
      </c>
      <c r="O24" s="14">
        <v>991980.0932257713</v>
      </c>
      <c r="P24" s="14">
        <v>98904.3384347235</v>
      </c>
      <c r="Q24" s="2"/>
      <c r="R24" s="2"/>
      <c r="S24" s="2"/>
      <c r="T24" s="2"/>
      <c r="U24" s="2"/>
    </row>
    <row r="25" spans="1:21" ht="15.75">
      <c r="A25" s="12">
        <f t="shared" si="0"/>
        <v>17</v>
      </c>
      <c r="B25" s="13"/>
      <c r="C25" s="14" t="s">
        <v>38</v>
      </c>
      <c r="E25" s="14">
        <f>SUM(G25:P25)</f>
        <v>69576249</v>
      </c>
      <c r="F25" s="14"/>
      <c r="G25" s="14">
        <v>40359719.748704955</v>
      </c>
      <c r="H25" s="14">
        <v>8276868.9027716275</v>
      </c>
      <c r="I25" s="14">
        <v>8412352.638569739</v>
      </c>
      <c r="J25" s="14">
        <v>4977981.006301928</v>
      </c>
      <c r="K25" s="14">
        <v>3815016.4341784604</v>
      </c>
      <c r="L25" s="14">
        <v>1442109.6840198797</v>
      </c>
      <c r="M25" s="14">
        <v>1013976.7746084441</v>
      </c>
      <c r="N25" s="14">
        <v>626675.0843569122</v>
      </c>
      <c r="O25" s="14">
        <v>577383.4907817385</v>
      </c>
      <c r="P25" s="14">
        <v>74165.23570631378</v>
      </c>
      <c r="Q25" s="2"/>
      <c r="R25" s="2"/>
      <c r="S25" s="2"/>
      <c r="T25" s="2"/>
      <c r="U25" s="2"/>
    </row>
    <row r="26" spans="1:21" ht="16.5" thickBot="1">
      <c r="A26" s="12">
        <f t="shared" si="0"/>
        <v>18</v>
      </c>
      <c r="C26" s="19" t="s">
        <v>270</v>
      </c>
      <c r="D26" s="21"/>
      <c r="E26" s="21">
        <f>SUM(E22:E25)</f>
        <v>1826852343.9999995</v>
      </c>
      <c r="F26" s="21"/>
      <c r="G26" s="21">
        <f aca="true" t="shared" si="3" ref="G26:P26">SUM(G22:G25)</f>
        <v>1020401254.2548553</v>
      </c>
      <c r="H26" s="21">
        <f t="shared" si="3"/>
        <v>219777099.05146804</v>
      </c>
      <c r="I26" s="21">
        <f t="shared" si="3"/>
        <v>232739299.3771648</v>
      </c>
      <c r="J26" s="21">
        <f t="shared" si="3"/>
        <v>149974718.95497802</v>
      </c>
      <c r="K26" s="21">
        <f t="shared" si="3"/>
        <v>104046855.10995646</v>
      </c>
      <c r="L26" s="21">
        <f t="shared" si="3"/>
        <v>44876162.199400604</v>
      </c>
      <c r="M26" s="21">
        <f t="shared" si="3"/>
        <v>34857877.22080531</v>
      </c>
      <c r="N26" s="21">
        <f t="shared" si="3"/>
        <v>5131549.5474756295</v>
      </c>
      <c r="O26" s="21">
        <f t="shared" si="3"/>
        <v>13846361.972117642</v>
      </c>
      <c r="P26" s="21">
        <f t="shared" si="3"/>
        <v>1201166.3117780553</v>
      </c>
      <c r="Q26" s="2"/>
      <c r="R26" s="2"/>
      <c r="S26" s="2"/>
      <c r="T26" s="2"/>
      <c r="U26" s="2"/>
    </row>
    <row r="27" spans="1:21" ht="16.5" thickTop="1">
      <c r="A27" s="12">
        <f t="shared" si="0"/>
        <v>19</v>
      </c>
      <c r="E27" s="20"/>
      <c r="G27" s="20"/>
      <c r="H27" s="20"/>
      <c r="I27" s="20"/>
      <c r="J27" s="20"/>
      <c r="K27" s="20"/>
      <c r="L27" s="20"/>
      <c r="M27" s="20"/>
      <c r="N27" s="20"/>
      <c r="O27" s="2"/>
      <c r="P27" s="2"/>
      <c r="Q27" s="2"/>
      <c r="R27" s="2"/>
      <c r="S27" s="2"/>
      <c r="T27" s="2"/>
      <c r="U27" s="2"/>
    </row>
    <row r="28" spans="1:21" ht="15.75">
      <c r="A28" s="12">
        <f t="shared" si="0"/>
        <v>20</v>
      </c>
      <c r="B28" s="5"/>
      <c r="C28" s="14" t="s">
        <v>271</v>
      </c>
      <c r="D28" s="22"/>
      <c r="E28" s="14">
        <f>SUM(G28:P28)</f>
        <v>230587485.00000033</v>
      </c>
      <c r="F28" s="14"/>
      <c r="G28" s="14">
        <f aca="true" t="shared" si="4" ref="G28:P28">G19-G26</f>
        <v>98731009.72826827</v>
      </c>
      <c r="H28" s="14">
        <f t="shared" si="4"/>
        <v>37261253.08728683</v>
      </c>
      <c r="I28" s="14">
        <f t="shared" si="4"/>
        <v>46562709.186748356</v>
      </c>
      <c r="J28" s="14">
        <f t="shared" si="4"/>
        <v>20531831.093124002</v>
      </c>
      <c r="K28" s="14">
        <f t="shared" si="4"/>
        <v>18618007.75885117</v>
      </c>
      <c r="L28" s="14">
        <f t="shared" si="4"/>
        <v>903764.9516877979</v>
      </c>
      <c r="M28" s="14">
        <f t="shared" si="4"/>
        <v>2586712.4747225717</v>
      </c>
      <c r="N28" s="14">
        <f t="shared" si="4"/>
        <v>2382929.0748234466</v>
      </c>
      <c r="O28" s="14">
        <f t="shared" si="4"/>
        <v>2849000.334975183</v>
      </c>
      <c r="P28" s="14">
        <f t="shared" si="4"/>
        <v>160267.30951271858</v>
      </c>
      <c r="Q28" s="2"/>
      <c r="R28" s="2"/>
      <c r="S28" s="2"/>
      <c r="T28" s="2"/>
      <c r="U28" s="2"/>
    </row>
    <row r="29" spans="1:21" ht="16.5" thickBot="1">
      <c r="A29" s="12">
        <f t="shared" si="0"/>
        <v>21</v>
      </c>
      <c r="B29" s="5"/>
      <c r="C29" s="23" t="s">
        <v>272</v>
      </c>
      <c r="D29" s="24"/>
      <c r="E29" s="25">
        <f>IF(E13=0,0,E28/E13)</f>
        <v>0.06114521288461638</v>
      </c>
      <c r="F29" s="26"/>
      <c r="G29" s="25">
        <f aca="true" t="shared" si="5" ref="G29:P29">IF(G13=0,0,G28/G13)</f>
        <v>0.045132893453894714</v>
      </c>
      <c r="H29" s="25">
        <f t="shared" si="5"/>
        <v>0.0830575506581275</v>
      </c>
      <c r="I29" s="25">
        <f t="shared" si="5"/>
        <v>0.10211946049908219</v>
      </c>
      <c r="J29" s="25">
        <f t="shared" si="5"/>
        <v>0.07609606294231336</v>
      </c>
      <c r="K29" s="25">
        <f t="shared" si="5"/>
        <v>0.09003772934266735</v>
      </c>
      <c r="L29" s="25">
        <f t="shared" si="5"/>
        <v>0.01156231886630104</v>
      </c>
      <c r="M29" s="25">
        <f t="shared" si="5"/>
        <v>0.04706606499724963</v>
      </c>
      <c r="N29" s="25">
        <f t="shared" si="5"/>
        <v>0.07015464450851232</v>
      </c>
      <c r="O29" s="25">
        <f t="shared" si="5"/>
        <v>0.09103656837506544</v>
      </c>
      <c r="P29" s="25">
        <f t="shared" si="5"/>
        <v>0.03986872114343329</v>
      </c>
      <c r="Q29" s="2"/>
      <c r="R29" s="2"/>
      <c r="S29" s="2"/>
      <c r="T29" s="2"/>
      <c r="U29" s="2"/>
    </row>
    <row r="30" spans="1:21" ht="16.5" thickTop="1">
      <c r="A30" s="12">
        <f t="shared" si="0"/>
        <v>22</v>
      </c>
      <c r="B30" s="5"/>
      <c r="C30" s="14"/>
      <c r="D30" s="22"/>
      <c r="E30" s="27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"/>
      <c r="R30" s="2"/>
      <c r="S30" s="2"/>
      <c r="T30" s="2"/>
      <c r="U30" s="2"/>
    </row>
    <row r="31" spans="1:21" ht="15.75">
      <c r="A31" s="12">
        <f t="shared" si="0"/>
        <v>23</v>
      </c>
      <c r="B31" s="5"/>
      <c r="C31" s="29" t="s">
        <v>39</v>
      </c>
      <c r="D31" s="29"/>
      <c r="E31" s="29"/>
      <c r="F31" s="29"/>
      <c r="G31" s="29"/>
      <c r="H31" s="29"/>
      <c r="I31" s="14"/>
      <c r="J31" s="14"/>
      <c r="K31" s="14"/>
      <c r="L31" s="14"/>
      <c r="M31" s="14"/>
      <c r="N31" s="14"/>
      <c r="O31" s="14"/>
      <c r="P31" s="14"/>
      <c r="Q31" s="2"/>
      <c r="R31" s="2"/>
      <c r="S31" s="2"/>
      <c r="T31" s="2"/>
      <c r="U31" s="2"/>
    </row>
    <row r="32" spans="1:21" ht="15.75">
      <c r="A32" s="12">
        <f t="shared" si="0"/>
        <v>24</v>
      </c>
      <c r="B32" s="5"/>
      <c r="C32" s="14" t="s">
        <v>40</v>
      </c>
      <c r="D32" s="22"/>
      <c r="E32" s="30">
        <v>0.08560000000000001</v>
      </c>
      <c r="F32" s="30"/>
      <c r="G32" s="30">
        <v>0.08560000000000001</v>
      </c>
      <c r="H32" s="30">
        <v>0.08560000000000001</v>
      </c>
      <c r="I32" s="30">
        <v>0.08560000000000001</v>
      </c>
      <c r="J32" s="30">
        <v>0.08560000000000001</v>
      </c>
      <c r="K32" s="30">
        <v>0.08560000000000001</v>
      </c>
      <c r="L32" s="30">
        <v>0.08560000000000001</v>
      </c>
      <c r="M32" s="30">
        <v>0.08560000000000001</v>
      </c>
      <c r="N32" s="30">
        <v>0.08560000000000001</v>
      </c>
      <c r="O32" s="30">
        <v>0.08560000000000001</v>
      </c>
      <c r="P32" s="30">
        <v>0.08560000000000001</v>
      </c>
      <c r="Q32" s="2"/>
      <c r="R32" s="2"/>
      <c r="S32" s="2"/>
      <c r="T32" s="2"/>
      <c r="U32" s="2"/>
    </row>
    <row r="33" spans="1:21" ht="15.75">
      <c r="A33" s="12">
        <f t="shared" si="0"/>
        <v>25</v>
      </c>
      <c r="B33" s="5"/>
      <c r="C33" s="14" t="s">
        <v>41</v>
      </c>
      <c r="D33" s="22"/>
      <c r="E33" s="14">
        <f>SUM(G33:P33)</f>
        <v>322810041.6176001</v>
      </c>
      <c r="F33" s="14"/>
      <c r="G33" s="14">
        <f aca="true" t="shared" si="6" ref="G33:P33">G32*G13</f>
        <v>187255320.58726135</v>
      </c>
      <c r="H33" s="14">
        <f t="shared" si="6"/>
        <v>38401845.936924964</v>
      </c>
      <c r="I33" s="14">
        <f t="shared" si="6"/>
        <v>39030444.216080464</v>
      </c>
      <c r="J33" s="14">
        <f t="shared" si="6"/>
        <v>23096132.357120145</v>
      </c>
      <c r="K33" s="14">
        <f t="shared" si="6"/>
        <v>17700373.785441883</v>
      </c>
      <c r="L33" s="14">
        <f t="shared" si="6"/>
        <v>6690896.589087485</v>
      </c>
      <c r="M33" s="14">
        <f t="shared" si="6"/>
        <v>4704506.056522705</v>
      </c>
      <c r="N33" s="14">
        <f t="shared" si="6"/>
        <v>2907558.440840463</v>
      </c>
      <c r="O33" s="14">
        <f t="shared" si="6"/>
        <v>2678862.2750928733</v>
      </c>
      <c r="P33" s="14">
        <f t="shared" si="6"/>
        <v>344101.3732277271</v>
      </c>
      <c r="Q33" s="2"/>
      <c r="R33" s="2"/>
      <c r="S33" s="2"/>
      <c r="T33" s="2"/>
      <c r="U33" s="2"/>
    </row>
    <row r="34" spans="1:21" ht="15.75">
      <c r="A34" s="12">
        <f t="shared" si="0"/>
        <v>26</v>
      </c>
      <c r="B34" s="5"/>
      <c r="C34" s="15" t="s">
        <v>42</v>
      </c>
      <c r="D34" s="22"/>
      <c r="E34" s="14">
        <f>SUM(G34:P34)</f>
        <v>92222556.61759971</v>
      </c>
      <c r="F34" s="14"/>
      <c r="G34" s="14">
        <f aca="true" t="shared" si="7" ref="G34:P34">G33-G28</f>
        <v>88524310.85899308</v>
      </c>
      <c r="H34" s="14">
        <f t="shared" si="7"/>
        <v>1140592.8496381342</v>
      </c>
      <c r="I34" s="14">
        <f t="shared" si="7"/>
        <v>-7532264.970667891</v>
      </c>
      <c r="J34" s="14">
        <f t="shared" si="7"/>
        <v>2564301.263996143</v>
      </c>
      <c r="K34" s="14">
        <f t="shared" si="7"/>
        <v>-917633.9734092876</v>
      </c>
      <c r="L34" s="14">
        <f t="shared" si="7"/>
        <v>5787131.637399687</v>
      </c>
      <c r="M34" s="14">
        <f t="shared" si="7"/>
        <v>2117793.581800133</v>
      </c>
      <c r="N34" s="14">
        <f t="shared" si="7"/>
        <v>524629.3660170166</v>
      </c>
      <c r="O34" s="14">
        <f t="shared" si="7"/>
        <v>-170138.05988230975</v>
      </c>
      <c r="P34" s="14">
        <f t="shared" si="7"/>
        <v>183834.0637150085</v>
      </c>
      <c r="Q34" s="2"/>
      <c r="R34" s="2"/>
      <c r="S34" s="2"/>
      <c r="T34" s="2"/>
      <c r="U34" s="2"/>
    </row>
    <row r="35" spans="1:21" ht="15.75">
      <c r="A35" s="12">
        <f t="shared" si="0"/>
        <v>27</v>
      </c>
      <c r="B35" s="5"/>
      <c r="C35" s="14" t="s">
        <v>43</v>
      </c>
      <c r="D35" s="22"/>
      <c r="E35" s="31">
        <f>+E34/E36</f>
        <v>0.621262</v>
      </c>
      <c r="F35" s="31"/>
      <c r="G35" s="31">
        <v>0.621262</v>
      </c>
      <c r="H35" s="31">
        <v>0.621262</v>
      </c>
      <c r="I35" s="31">
        <v>0.621262</v>
      </c>
      <c r="J35" s="31">
        <v>0.621262</v>
      </c>
      <c r="K35" s="31">
        <v>0.621262</v>
      </c>
      <c r="L35" s="31">
        <v>0.621262</v>
      </c>
      <c r="M35" s="31">
        <v>0.621262</v>
      </c>
      <c r="N35" s="31">
        <v>0.621262</v>
      </c>
      <c r="O35" s="31">
        <v>0.621262</v>
      </c>
      <c r="P35" s="31">
        <v>0.621262</v>
      </c>
      <c r="Q35" s="2"/>
      <c r="R35" s="2"/>
      <c r="S35" s="2"/>
      <c r="T35" s="2"/>
      <c r="U35" s="2"/>
    </row>
    <row r="36" spans="1:21" ht="15.75">
      <c r="A36" s="12">
        <f t="shared" si="0"/>
        <v>28</v>
      </c>
      <c r="B36" s="5"/>
      <c r="C36" s="32" t="s">
        <v>44</v>
      </c>
      <c r="D36" s="33"/>
      <c r="E36" s="34">
        <f>SUM(G36:P36)</f>
        <v>148443903.8885361</v>
      </c>
      <c r="F36" s="34"/>
      <c r="G36" s="34">
        <f aca="true" t="shared" si="8" ref="G36:P36">+G34/G35</f>
        <v>142491108.19427726</v>
      </c>
      <c r="H36" s="34">
        <f t="shared" si="8"/>
        <v>1835928.882883766</v>
      </c>
      <c r="I36" s="34">
        <f t="shared" si="8"/>
        <v>-12124135.98557113</v>
      </c>
      <c r="J36" s="34">
        <f t="shared" si="8"/>
        <v>4127568.182177798</v>
      </c>
      <c r="K36" s="34">
        <f t="shared" si="8"/>
        <v>-1477048.2878548626</v>
      </c>
      <c r="L36" s="34">
        <f t="shared" si="8"/>
        <v>9315122.5045145</v>
      </c>
      <c r="M36" s="34">
        <f t="shared" si="8"/>
        <v>3408857.425369865</v>
      </c>
      <c r="N36" s="34">
        <f t="shared" si="8"/>
        <v>844457.517145772</v>
      </c>
      <c r="O36" s="34">
        <f t="shared" si="8"/>
        <v>-273858.79046571295</v>
      </c>
      <c r="P36" s="34">
        <f t="shared" si="8"/>
        <v>295904.24605884234</v>
      </c>
      <c r="Q36" s="2"/>
      <c r="R36" s="2"/>
      <c r="S36" s="2"/>
      <c r="T36" s="2"/>
      <c r="U36" s="2"/>
    </row>
    <row r="37" spans="1:21" ht="15.75">
      <c r="A37" s="12">
        <f t="shared" si="0"/>
        <v>29</v>
      </c>
      <c r="B37" s="5"/>
      <c r="C37" s="35"/>
      <c r="D37" s="36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"/>
      <c r="R37" s="2"/>
      <c r="S37" s="2"/>
      <c r="T37" s="2"/>
      <c r="U37" s="2"/>
    </row>
    <row r="38" spans="1:21" ht="15.75">
      <c r="A38" s="12">
        <f t="shared" si="0"/>
        <v>30</v>
      </c>
      <c r="B38" s="5"/>
      <c r="C38" s="14" t="s">
        <v>45</v>
      </c>
      <c r="D38" s="22"/>
      <c r="E38" s="14">
        <f>SUM(G38:P38)</f>
        <v>2205883732.8885365</v>
      </c>
      <c r="F38" s="14"/>
      <c r="G38" s="14">
        <f aca="true" t="shared" si="9" ref="G38:P38">G36+G19</f>
        <v>1261623372.1774008</v>
      </c>
      <c r="H38" s="14">
        <f t="shared" si="9"/>
        <v>258874281.02163863</v>
      </c>
      <c r="I38" s="14">
        <f t="shared" si="9"/>
        <v>267177872.57834205</v>
      </c>
      <c r="J38" s="14">
        <f t="shared" si="9"/>
        <v>174634118.23027983</v>
      </c>
      <c r="K38" s="14">
        <f t="shared" si="9"/>
        <v>121187814.58095276</v>
      </c>
      <c r="L38" s="14">
        <f t="shared" si="9"/>
        <v>55095049.6556029</v>
      </c>
      <c r="M38" s="14">
        <f t="shared" si="9"/>
        <v>40853447.12089775</v>
      </c>
      <c r="N38" s="14">
        <f t="shared" si="9"/>
        <v>8358936.1394448485</v>
      </c>
      <c r="O38" s="14">
        <f t="shared" si="9"/>
        <v>16421503.516627112</v>
      </c>
      <c r="P38" s="14">
        <f t="shared" si="9"/>
        <v>1657337.8673496163</v>
      </c>
      <c r="Q38" s="2"/>
      <c r="R38" s="2"/>
      <c r="S38" s="2"/>
      <c r="T38" s="2"/>
      <c r="U38" s="2"/>
    </row>
    <row r="39" spans="1:21" ht="15.75">
      <c r="A39" s="12">
        <f t="shared" si="0"/>
        <v>31</v>
      </c>
      <c r="B39" s="5"/>
      <c r="C39" s="14" t="s">
        <v>46</v>
      </c>
      <c r="D39" s="22"/>
      <c r="E39" s="14">
        <f>SUM(G39:P39)</f>
        <v>53695555</v>
      </c>
      <c r="F39" s="14"/>
      <c r="G39" s="14">
        <f aca="true" t="shared" si="10" ref="G39:P39">SUM(G17:G18)</f>
        <v>33122978.895366244</v>
      </c>
      <c r="H39" s="14">
        <f t="shared" si="10"/>
        <v>5657736.886851646</v>
      </c>
      <c r="I39" s="14">
        <f t="shared" si="10"/>
        <v>4811500.288855597</v>
      </c>
      <c r="J39" s="14">
        <f t="shared" si="10"/>
        <v>2948129.880182016</v>
      </c>
      <c r="K39" s="14">
        <f t="shared" si="10"/>
        <v>2565534.7484515165</v>
      </c>
      <c r="L39" s="14">
        <f t="shared" si="10"/>
        <v>908577.1061129409</v>
      </c>
      <c r="M39" s="14">
        <f t="shared" si="10"/>
        <v>2094121.6600900001</v>
      </c>
      <c r="N39" s="14">
        <f t="shared" si="10"/>
        <v>1353388.6222990758</v>
      </c>
      <c r="O39" s="14">
        <f t="shared" si="10"/>
        <v>196026.2905001923</v>
      </c>
      <c r="P39" s="14">
        <f t="shared" si="10"/>
        <v>37560.62129077384</v>
      </c>
      <c r="Q39" s="2"/>
      <c r="R39" s="2"/>
      <c r="S39" s="2"/>
      <c r="T39" s="2"/>
      <c r="U39" s="2"/>
    </row>
    <row r="40" spans="1:21" ht="15.75">
      <c r="A40" s="12">
        <f t="shared" si="0"/>
        <v>32</v>
      </c>
      <c r="B40" s="5"/>
      <c r="C40" s="34" t="s">
        <v>47</v>
      </c>
      <c r="D40" s="33"/>
      <c r="E40" s="34">
        <f>SUM(G40:P40)</f>
        <v>2152188177.888537</v>
      </c>
      <c r="F40" s="34"/>
      <c r="G40" s="34">
        <f aca="true" t="shared" si="11" ref="G40:P40">G38-G39</f>
        <v>1228500393.2820346</v>
      </c>
      <c r="H40" s="34">
        <f t="shared" si="11"/>
        <v>253216544.134787</v>
      </c>
      <c r="I40" s="34">
        <f t="shared" si="11"/>
        <v>262366372.28948647</v>
      </c>
      <c r="J40" s="34">
        <f t="shared" si="11"/>
        <v>171685988.3500978</v>
      </c>
      <c r="K40" s="34">
        <f t="shared" si="11"/>
        <v>118622279.83250125</v>
      </c>
      <c r="L40" s="34">
        <f t="shared" si="11"/>
        <v>54186472.54948996</v>
      </c>
      <c r="M40" s="34">
        <f t="shared" si="11"/>
        <v>38759325.46080775</v>
      </c>
      <c r="N40" s="34">
        <f t="shared" si="11"/>
        <v>7005547.517145772</v>
      </c>
      <c r="O40" s="34">
        <f t="shared" si="11"/>
        <v>16225477.22612692</v>
      </c>
      <c r="P40" s="34">
        <f t="shared" si="11"/>
        <v>1619777.2460588424</v>
      </c>
      <c r="Q40" s="2"/>
      <c r="R40" s="2"/>
      <c r="S40" s="2"/>
      <c r="T40" s="2"/>
      <c r="U40" s="2"/>
    </row>
    <row r="41" spans="1:21" ht="15.75">
      <c r="A41" s="12">
        <f t="shared" si="0"/>
        <v>33</v>
      </c>
      <c r="B41" s="5"/>
      <c r="C41" s="14" t="s">
        <v>48</v>
      </c>
      <c r="D41" s="22"/>
      <c r="E41" s="30">
        <f>IF(E16=0,0,(E40/E16)-1)</f>
        <v>0.07408325793600579</v>
      </c>
      <c r="F41" s="30"/>
      <c r="G41" s="30">
        <f aca="true" t="shared" si="12" ref="G41:P41">IF(G16=0,0,(G40/G16)-1)</f>
        <v>0.13120616015982156</v>
      </c>
      <c r="H41" s="30">
        <f t="shared" si="12"/>
        <v>0.007303382884332743</v>
      </c>
      <c r="I41" s="30">
        <f t="shared" si="12"/>
        <v>-0.04416960011390236</v>
      </c>
      <c r="J41" s="30">
        <f t="shared" si="12"/>
        <v>0.024633606464189217</v>
      </c>
      <c r="K41" s="30">
        <f t="shared" si="12"/>
        <v>-0.012298555795205224</v>
      </c>
      <c r="L41" s="30">
        <f t="shared" si="12"/>
        <v>0.20759621663216632</v>
      </c>
      <c r="M41" s="30">
        <f t="shared" si="12"/>
        <v>0.09643033359424202</v>
      </c>
      <c r="N41" s="30">
        <f t="shared" si="12"/>
        <v>0.13706300624496182</v>
      </c>
      <c r="O41" s="30">
        <f t="shared" si="12"/>
        <v>-0.016598170386390443</v>
      </c>
      <c r="P41" s="30">
        <f t="shared" si="12"/>
        <v>0.22351407276894575</v>
      </c>
      <c r="Q41" s="2"/>
      <c r="R41" s="2"/>
      <c r="S41" s="2"/>
      <c r="T41" s="2"/>
      <c r="U41" s="2"/>
    </row>
    <row r="42" spans="1:21" ht="15.75">
      <c r="A42" s="12">
        <f aca="true" t="shared" si="13" ref="A42:A58">+A41+1</f>
        <v>34</v>
      </c>
      <c r="B42" s="5"/>
      <c r="C42" s="14"/>
      <c r="D42" s="2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"/>
      <c r="R42" s="2"/>
      <c r="S42" s="2"/>
      <c r="T42" s="2"/>
      <c r="U42" s="2"/>
    </row>
    <row r="43" spans="1:21" ht="15.75">
      <c r="A43" s="12">
        <f t="shared" si="13"/>
        <v>35</v>
      </c>
      <c r="B43" s="5"/>
      <c r="C43" s="5" t="s">
        <v>49</v>
      </c>
      <c r="D43" s="22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"/>
      <c r="R43" s="2"/>
      <c r="S43" s="2"/>
      <c r="T43" s="2"/>
      <c r="U43" s="2"/>
    </row>
    <row r="44" spans="1:21" ht="15.75">
      <c r="A44" s="12">
        <f t="shared" si="13"/>
        <v>36</v>
      </c>
      <c r="B44" s="5"/>
      <c r="C44" s="14" t="s">
        <v>35</v>
      </c>
      <c r="D44" s="22"/>
      <c r="E44" s="14">
        <f>SUM(G44:P44)</f>
        <v>1398697813.9999995</v>
      </c>
      <c r="F44" s="30"/>
      <c r="G44" s="14">
        <f aca="true" t="shared" si="14" ref="G44:P44">+G22+G209+G210</f>
        <v>770029472.5851723</v>
      </c>
      <c r="H44" s="14">
        <f t="shared" si="14"/>
        <v>168591909.18838423</v>
      </c>
      <c r="I44" s="14">
        <f t="shared" si="14"/>
        <v>182138750.59079027</v>
      </c>
      <c r="J44" s="14">
        <f t="shared" si="14"/>
        <v>119696177.58260879</v>
      </c>
      <c r="K44" s="14">
        <f t="shared" si="14"/>
        <v>81223166.58495925</v>
      </c>
      <c r="L44" s="14">
        <f t="shared" si="14"/>
        <v>35982173.697176576</v>
      </c>
      <c r="M44" s="14">
        <f t="shared" si="14"/>
        <v>28501093.893488135</v>
      </c>
      <c r="N44" s="14">
        <f t="shared" si="14"/>
        <v>1666962.0270992033</v>
      </c>
      <c r="O44" s="14">
        <f t="shared" si="14"/>
        <v>10086044.899233103</v>
      </c>
      <c r="P44" s="14">
        <f t="shared" si="14"/>
        <v>782062.9510880134</v>
      </c>
      <c r="Q44" s="2"/>
      <c r="R44" s="2"/>
      <c r="S44" s="2"/>
      <c r="T44" s="2"/>
      <c r="U44" s="2"/>
    </row>
    <row r="45" spans="1:21" ht="15.75">
      <c r="A45" s="12">
        <f t="shared" si="13"/>
        <v>37</v>
      </c>
      <c r="B45" s="5"/>
      <c r="C45" s="14" t="s">
        <v>36</v>
      </c>
      <c r="D45" s="22"/>
      <c r="E45" s="14">
        <f>SUM(G45:P45)</f>
        <v>235322647.00000003</v>
      </c>
      <c r="F45" s="14"/>
      <c r="G45" s="14">
        <f aca="true" t="shared" si="15" ref="G45:P45">+G23</f>
        <v>139777091.86219722</v>
      </c>
      <c r="H45" s="14">
        <f t="shared" si="15"/>
        <v>28118209.67293944</v>
      </c>
      <c r="I45" s="14">
        <f t="shared" si="15"/>
        <v>26978919.60305651</v>
      </c>
      <c r="J45" s="14">
        <f t="shared" si="15"/>
        <v>15794108.252663244</v>
      </c>
      <c r="K45" s="14">
        <f t="shared" si="15"/>
        <v>12181279.038687913</v>
      </c>
      <c r="L45" s="14">
        <f t="shared" si="15"/>
        <v>4626751.121491749</v>
      </c>
      <c r="M45" s="14">
        <f t="shared" si="15"/>
        <v>3218813.4766464205</v>
      </c>
      <c r="N45" s="14">
        <f t="shared" si="15"/>
        <v>2190486.696891449</v>
      </c>
      <c r="O45" s="14">
        <f t="shared" si="15"/>
        <v>2190953.4888770273</v>
      </c>
      <c r="P45" s="14">
        <f t="shared" si="15"/>
        <v>246033.7865490047</v>
      </c>
      <c r="Q45" s="2"/>
      <c r="R45" s="2"/>
      <c r="S45" s="2"/>
      <c r="T45" s="2"/>
      <c r="U45" s="2"/>
    </row>
    <row r="46" spans="1:21" ht="15.75">
      <c r="A46" s="12">
        <f t="shared" si="13"/>
        <v>38</v>
      </c>
      <c r="B46" s="5"/>
      <c r="C46" s="14" t="s">
        <v>37</v>
      </c>
      <c r="D46" s="22"/>
      <c r="E46" s="14">
        <f>SUM(G46:P46)</f>
        <v>123255634.00000001</v>
      </c>
      <c r="F46" s="14"/>
      <c r="G46" s="14">
        <f aca="true" t="shared" si="16" ref="G46:P46">+G24+G211</f>
        <v>70234970.05878083</v>
      </c>
      <c r="H46" s="14">
        <f t="shared" si="16"/>
        <v>14790111.287372733</v>
      </c>
      <c r="I46" s="14">
        <f t="shared" si="16"/>
        <v>15209276.544748276</v>
      </c>
      <c r="J46" s="14">
        <f t="shared" si="16"/>
        <v>9506452.113404034</v>
      </c>
      <c r="K46" s="14">
        <f t="shared" si="16"/>
        <v>6827393.052130837</v>
      </c>
      <c r="L46" s="14">
        <f t="shared" si="16"/>
        <v>2825127.696712405</v>
      </c>
      <c r="M46" s="14">
        <f t="shared" si="16"/>
        <v>2123993.076062314</v>
      </c>
      <c r="N46" s="14">
        <f t="shared" si="16"/>
        <v>647425.7391280647</v>
      </c>
      <c r="O46" s="14">
        <f t="shared" si="16"/>
        <v>991980.0932257713</v>
      </c>
      <c r="P46" s="14">
        <f t="shared" si="16"/>
        <v>98904.3384347235</v>
      </c>
      <c r="Q46" s="2"/>
      <c r="R46" s="2"/>
      <c r="S46" s="2"/>
      <c r="T46" s="2"/>
      <c r="U46" s="2"/>
    </row>
    <row r="47" spans="1:21" ht="15.75">
      <c r="A47" s="12">
        <f t="shared" si="13"/>
        <v>39</v>
      </c>
      <c r="B47" s="5"/>
      <c r="C47" s="14" t="s">
        <v>38</v>
      </c>
      <c r="D47" s="22"/>
      <c r="E47" s="14">
        <f>SUM(G47:P47)</f>
        <v>69576249</v>
      </c>
      <c r="F47" s="14"/>
      <c r="G47" s="14">
        <f aca="true" t="shared" si="17" ref="G47:P47">+G25+G212</f>
        <v>40359719.748704955</v>
      </c>
      <c r="H47" s="14">
        <f t="shared" si="17"/>
        <v>8276868.9027716275</v>
      </c>
      <c r="I47" s="14">
        <f t="shared" si="17"/>
        <v>8412352.638569739</v>
      </c>
      <c r="J47" s="14">
        <f t="shared" si="17"/>
        <v>4977981.006301928</v>
      </c>
      <c r="K47" s="14">
        <f t="shared" si="17"/>
        <v>3815016.4341784604</v>
      </c>
      <c r="L47" s="14">
        <f t="shared" si="17"/>
        <v>1442109.6840198797</v>
      </c>
      <c r="M47" s="14">
        <f t="shared" si="17"/>
        <v>1013976.7746084441</v>
      </c>
      <c r="N47" s="14">
        <f t="shared" si="17"/>
        <v>626675.0843569122</v>
      </c>
      <c r="O47" s="14">
        <f t="shared" si="17"/>
        <v>577383.4907817385</v>
      </c>
      <c r="P47" s="14">
        <f t="shared" si="17"/>
        <v>74165.23570631378</v>
      </c>
      <c r="Q47" s="2"/>
      <c r="R47" s="2"/>
      <c r="S47" s="2"/>
      <c r="T47" s="2"/>
      <c r="U47" s="2"/>
    </row>
    <row r="48" spans="1:21" ht="16.5" thickBot="1">
      <c r="A48" s="12">
        <f t="shared" si="13"/>
        <v>40</v>
      </c>
      <c r="B48" s="5"/>
      <c r="C48" s="37" t="s">
        <v>50</v>
      </c>
      <c r="D48" s="22"/>
      <c r="E48" s="23">
        <f>SUM(E44:E47)</f>
        <v>1826852343.9999995</v>
      </c>
      <c r="F48" s="14"/>
      <c r="G48" s="23">
        <f aca="true" t="shared" si="18" ref="G48:P48">SUM(G44:G47)</f>
        <v>1020401254.2548553</v>
      </c>
      <c r="H48" s="23">
        <f t="shared" si="18"/>
        <v>219777099.05146804</v>
      </c>
      <c r="I48" s="23">
        <f t="shared" si="18"/>
        <v>232739299.3771648</v>
      </c>
      <c r="J48" s="23">
        <f t="shared" si="18"/>
        <v>149974718.95497802</v>
      </c>
      <c r="K48" s="23">
        <f t="shared" si="18"/>
        <v>104046855.10995646</v>
      </c>
      <c r="L48" s="23">
        <f t="shared" si="18"/>
        <v>44876162.199400604</v>
      </c>
      <c r="M48" s="23">
        <f t="shared" si="18"/>
        <v>34857877.22080531</v>
      </c>
      <c r="N48" s="23">
        <f t="shared" si="18"/>
        <v>5131549.5474756295</v>
      </c>
      <c r="O48" s="23">
        <f t="shared" si="18"/>
        <v>13846361.972117642</v>
      </c>
      <c r="P48" s="23">
        <f t="shared" si="18"/>
        <v>1201166.3117780553</v>
      </c>
      <c r="Q48" s="2"/>
      <c r="R48" s="2"/>
      <c r="S48" s="2"/>
      <c r="T48" s="2"/>
      <c r="U48" s="2"/>
    </row>
    <row r="49" spans="1:21" ht="16.5" thickTop="1">
      <c r="A49" s="12">
        <f t="shared" si="13"/>
        <v>41</v>
      </c>
      <c r="B49" s="5"/>
      <c r="C49" s="38"/>
      <c r="D49" s="22"/>
      <c r="E49" s="28"/>
      <c r="F49" s="14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"/>
      <c r="R49" s="2"/>
      <c r="S49" s="2"/>
      <c r="T49" s="2"/>
      <c r="U49" s="2"/>
    </row>
    <row r="50" spans="1:21" ht="15.75">
      <c r="A50" s="12">
        <f t="shared" si="13"/>
        <v>42</v>
      </c>
      <c r="B50" s="5"/>
      <c r="C50" s="39" t="s">
        <v>51</v>
      </c>
      <c r="D50" s="22"/>
      <c r="E50" s="14">
        <f>SUM(G50:P50)</f>
        <v>2152188177.9999995</v>
      </c>
      <c r="F50" s="14"/>
      <c r="G50" s="28">
        <f aca="true" t="shared" si="19" ref="G50:P50">+G16+G214</f>
        <v>1176914956.7187464</v>
      </c>
      <c r="H50" s="28">
        <f t="shared" si="19"/>
        <v>267162195.53604612</v>
      </c>
      <c r="I50" s="28">
        <f t="shared" si="19"/>
        <v>285978782.0681124</v>
      </c>
      <c r="J50" s="28">
        <f t="shared" si="19"/>
        <v>181584092.77821118</v>
      </c>
      <c r="K50" s="28">
        <f t="shared" si="19"/>
        <v>127639118.70510046</v>
      </c>
      <c r="L50" s="28">
        <f t="shared" si="19"/>
        <v>48767765.67482547</v>
      </c>
      <c r="M50" s="28">
        <f t="shared" si="19"/>
        <v>38309520.14448152</v>
      </c>
      <c r="N50" s="28">
        <f t="shared" si="19"/>
        <v>6676811.261759118</v>
      </c>
      <c r="O50" s="28">
        <f t="shared" si="19"/>
        <v>17535158.11271724</v>
      </c>
      <c r="P50" s="28">
        <f t="shared" si="19"/>
        <v>1619777</v>
      </c>
      <c r="Q50" s="2"/>
      <c r="R50" s="2"/>
      <c r="S50" s="2"/>
      <c r="T50" s="2"/>
      <c r="U50" s="2"/>
    </row>
    <row r="51" spans="1:21" ht="15.75">
      <c r="A51" s="12">
        <f t="shared" si="13"/>
        <v>43</v>
      </c>
      <c r="B51" s="5"/>
      <c r="C51" s="28" t="s">
        <v>52</v>
      </c>
      <c r="D51" s="22"/>
      <c r="E51" s="14">
        <f>SUM(G51:P51)</f>
        <v>53695555</v>
      </c>
      <c r="F51" s="14"/>
      <c r="G51" s="28">
        <f aca="true" t="shared" si="20" ref="G51:P51">+G39</f>
        <v>33122978.895366244</v>
      </c>
      <c r="H51" s="28">
        <f t="shared" si="20"/>
        <v>5657736.886851646</v>
      </c>
      <c r="I51" s="28">
        <f t="shared" si="20"/>
        <v>4811500.288855597</v>
      </c>
      <c r="J51" s="28">
        <f t="shared" si="20"/>
        <v>2948129.880182016</v>
      </c>
      <c r="K51" s="28">
        <f t="shared" si="20"/>
        <v>2565534.7484515165</v>
      </c>
      <c r="L51" s="28">
        <f t="shared" si="20"/>
        <v>908577.1061129409</v>
      </c>
      <c r="M51" s="28">
        <f t="shared" si="20"/>
        <v>2094121.6600900001</v>
      </c>
      <c r="N51" s="28">
        <f t="shared" si="20"/>
        <v>1353388.6222990758</v>
      </c>
      <c r="O51" s="28">
        <f t="shared" si="20"/>
        <v>196026.2905001923</v>
      </c>
      <c r="P51" s="28">
        <f t="shared" si="20"/>
        <v>37560.62129077384</v>
      </c>
      <c r="Q51" s="2"/>
      <c r="R51" s="2"/>
      <c r="S51" s="2"/>
      <c r="T51" s="2"/>
      <c r="U51" s="2"/>
    </row>
    <row r="52" spans="1:21" ht="15.75">
      <c r="A52" s="12">
        <f t="shared" si="13"/>
        <v>44</v>
      </c>
      <c r="B52" s="5"/>
      <c r="C52" s="40" t="s">
        <v>53</v>
      </c>
      <c r="D52" s="33"/>
      <c r="E52" s="41">
        <f>SUM(E50:E51)</f>
        <v>2205883732.9999995</v>
      </c>
      <c r="F52" s="42"/>
      <c r="G52" s="41">
        <f aca="true" t="shared" si="21" ref="G52:P52">SUM(G50:G51)</f>
        <v>1210037935.6141126</v>
      </c>
      <c r="H52" s="41">
        <f t="shared" si="21"/>
        <v>272819932.42289776</v>
      </c>
      <c r="I52" s="41">
        <f t="shared" si="21"/>
        <v>290790282.356968</v>
      </c>
      <c r="J52" s="41">
        <f t="shared" si="21"/>
        <v>184532222.6583932</v>
      </c>
      <c r="K52" s="41">
        <f t="shared" si="21"/>
        <v>130204653.45355198</v>
      </c>
      <c r="L52" s="41">
        <f t="shared" si="21"/>
        <v>49676342.78093841</v>
      </c>
      <c r="M52" s="41">
        <f t="shared" si="21"/>
        <v>40403641.80457152</v>
      </c>
      <c r="N52" s="41">
        <f t="shared" si="21"/>
        <v>8030199.884058194</v>
      </c>
      <c r="O52" s="41">
        <f t="shared" si="21"/>
        <v>17731184.403217435</v>
      </c>
      <c r="P52" s="41">
        <f t="shared" si="21"/>
        <v>1657337.6212907739</v>
      </c>
      <c r="Q52" s="2"/>
      <c r="R52" s="2"/>
      <c r="S52" s="2"/>
      <c r="T52" s="2"/>
      <c r="U52" s="2"/>
    </row>
    <row r="53" spans="1:21" ht="16.5" thickBot="1">
      <c r="A53" s="12">
        <f t="shared" si="13"/>
        <v>45</v>
      </c>
      <c r="B53" s="5"/>
      <c r="C53" s="43" t="s">
        <v>54</v>
      </c>
      <c r="D53" s="44"/>
      <c r="E53" s="45">
        <f>SUM(G53:P53)</f>
        <v>148443903.9999997</v>
      </c>
      <c r="F53" s="46"/>
      <c r="G53" s="45">
        <f aca="true" t="shared" si="22" ref="G53:P53">+G52-G19</f>
        <v>90905671.63098907</v>
      </c>
      <c r="H53" s="45">
        <f t="shared" si="22"/>
        <v>15781580.284142882</v>
      </c>
      <c r="I53" s="45">
        <f t="shared" si="22"/>
        <v>11488273.79305482</v>
      </c>
      <c r="J53" s="45">
        <f t="shared" si="22"/>
        <v>14025672.610291183</v>
      </c>
      <c r="K53" s="45">
        <f t="shared" si="22"/>
        <v>7539790.584744349</v>
      </c>
      <c r="L53" s="45">
        <f t="shared" si="22"/>
        <v>3896415.6298500076</v>
      </c>
      <c r="M53" s="45">
        <f t="shared" si="22"/>
        <v>2959052.1090436354</v>
      </c>
      <c r="N53" s="45">
        <f t="shared" si="22"/>
        <v>515721.2617591182</v>
      </c>
      <c r="O53" s="45">
        <f t="shared" si="22"/>
        <v>1035822.0961246099</v>
      </c>
      <c r="P53" s="45">
        <f t="shared" si="22"/>
        <v>295904</v>
      </c>
      <c r="Q53" s="2"/>
      <c r="R53" s="2"/>
      <c r="S53" s="2"/>
      <c r="T53" s="2"/>
      <c r="U53" s="2"/>
    </row>
    <row r="54" spans="1:21" ht="17.25" thickBot="1" thickTop="1">
      <c r="A54" s="12">
        <f t="shared" si="13"/>
        <v>46</v>
      </c>
      <c r="B54" s="5"/>
      <c r="C54" s="43" t="s">
        <v>55</v>
      </c>
      <c r="D54" s="44"/>
      <c r="E54" s="45">
        <f>SUM(G54:P54)</f>
        <v>0.11146358802216128</v>
      </c>
      <c r="F54" s="46"/>
      <c r="G54" s="45">
        <f aca="true" t="shared" si="23" ref="G54:P54">+G53-G36</f>
        <v>-51585436.56328818</v>
      </c>
      <c r="H54" s="45">
        <f t="shared" si="23"/>
        <v>13945651.401259115</v>
      </c>
      <c r="I54" s="45">
        <f t="shared" si="23"/>
        <v>23612409.77862595</v>
      </c>
      <c r="J54" s="45">
        <f t="shared" si="23"/>
        <v>9898104.428113386</v>
      </c>
      <c r="K54" s="45">
        <f t="shared" si="23"/>
        <v>9016838.872599212</v>
      </c>
      <c r="L54" s="45">
        <f t="shared" si="23"/>
        <v>-5418706.874664493</v>
      </c>
      <c r="M54" s="45">
        <f t="shared" si="23"/>
        <v>-449805.31632622937</v>
      </c>
      <c r="N54" s="45">
        <f t="shared" si="23"/>
        <v>-328736.2553866538</v>
      </c>
      <c r="O54" s="45">
        <f t="shared" si="23"/>
        <v>1309680.886590323</v>
      </c>
      <c r="P54" s="45">
        <f t="shared" si="23"/>
        <v>-0.24605884234188125</v>
      </c>
      <c r="Q54" s="2"/>
      <c r="R54" s="2"/>
      <c r="S54" s="2"/>
      <c r="T54" s="2"/>
      <c r="U54" s="2"/>
    </row>
    <row r="55" spans="1:21" ht="16.5" thickTop="1">
      <c r="A55" s="12">
        <f t="shared" si="13"/>
        <v>47</v>
      </c>
      <c r="B55" s="5"/>
      <c r="C55" s="38"/>
      <c r="D55" s="36"/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2"/>
      <c r="R55" s="2"/>
      <c r="S55" s="2"/>
      <c r="T55" s="2"/>
      <c r="U55" s="2"/>
    </row>
    <row r="56" spans="1:21" ht="15.75">
      <c r="A56" s="12">
        <f t="shared" si="13"/>
        <v>48</v>
      </c>
      <c r="B56" s="5"/>
      <c r="C56" s="14" t="s">
        <v>56</v>
      </c>
      <c r="D56" s="22"/>
      <c r="E56" s="49">
        <f>+E16/E40</f>
        <v>0.9310265220236589</v>
      </c>
      <c r="F56" s="49"/>
      <c r="G56" s="49">
        <f aca="true" t="shared" si="24" ref="G56:P56">+G16/G40</f>
        <v>0.8840121590733875</v>
      </c>
      <c r="H56" s="49">
        <f t="shared" si="24"/>
        <v>0.9927495697836137</v>
      </c>
      <c r="I56" s="49">
        <f t="shared" si="24"/>
        <v>1.0462107086353036</v>
      </c>
      <c r="J56" s="49">
        <f t="shared" si="24"/>
        <v>0.9759586194433003</v>
      </c>
      <c r="K56" s="49">
        <f t="shared" si="24"/>
        <v>1.0124516936442336</v>
      </c>
      <c r="L56" s="49">
        <f t="shared" si="24"/>
        <v>0.8280913654970483</v>
      </c>
      <c r="M56" s="49">
        <f t="shared" si="24"/>
        <v>0.9120506514279564</v>
      </c>
      <c r="N56" s="49">
        <f t="shared" si="24"/>
        <v>0.8794587410792661</v>
      </c>
      <c r="O56" s="49">
        <f t="shared" si="24"/>
        <v>1.016878319611132</v>
      </c>
      <c r="P56" s="49">
        <f t="shared" si="24"/>
        <v>0.8173179387605171</v>
      </c>
      <c r="Q56" s="2"/>
      <c r="R56" s="2"/>
      <c r="S56" s="2"/>
      <c r="T56" s="2"/>
      <c r="U56" s="2"/>
    </row>
    <row r="57" spans="1:21" s="13" customFormat="1" ht="15.75">
      <c r="A57" s="12">
        <f t="shared" si="13"/>
        <v>49</v>
      </c>
      <c r="B57" s="5"/>
      <c r="C57" s="50" t="s">
        <v>57</v>
      </c>
      <c r="D57" s="51"/>
      <c r="E57" s="52">
        <f>+E56/$E$56</f>
        <v>1</v>
      </c>
      <c r="F57" s="52"/>
      <c r="G57" s="52">
        <f aca="true" t="shared" si="25" ref="G57:P57">+G56/$E$56</f>
        <v>0.9495026598725866</v>
      </c>
      <c r="H57" s="52">
        <f t="shared" si="25"/>
        <v>1.066295692227752</v>
      </c>
      <c r="I57" s="52">
        <f t="shared" si="25"/>
        <v>1.1237174064185442</v>
      </c>
      <c r="J57" s="52">
        <f t="shared" si="25"/>
        <v>1.0482608135823865</v>
      </c>
      <c r="K57" s="52">
        <f t="shared" si="25"/>
        <v>1.0874574136122253</v>
      </c>
      <c r="L57" s="52">
        <f t="shared" si="25"/>
        <v>0.8894390717217454</v>
      </c>
      <c r="M57" s="52">
        <f t="shared" si="25"/>
        <v>0.9796183350883958</v>
      </c>
      <c r="N57" s="53">
        <f t="shared" si="25"/>
        <v>0.9446119098387163</v>
      </c>
      <c r="O57" s="52">
        <f t="shared" si="25"/>
        <v>1.0922119784524156</v>
      </c>
      <c r="P57" s="52">
        <f t="shared" si="25"/>
        <v>0.877867514433437</v>
      </c>
      <c r="Q57" s="2"/>
      <c r="R57" s="2"/>
      <c r="S57" s="2"/>
      <c r="T57" s="2"/>
      <c r="U57" s="2"/>
    </row>
    <row r="58" spans="1:21" ht="16.5" thickBot="1">
      <c r="A58" s="12">
        <f t="shared" si="13"/>
        <v>50</v>
      </c>
      <c r="B58" s="5"/>
      <c r="C58" s="23" t="s">
        <v>58</v>
      </c>
      <c r="D58" s="24"/>
      <c r="E58" s="54">
        <f>+E52/E38</f>
        <v>1.0000000000505298</v>
      </c>
      <c r="F58" s="54"/>
      <c r="G58" s="54">
        <f aca="true" t="shared" si="26" ref="G58:P58">+G52/G38</f>
        <v>0.9591118572302142</v>
      </c>
      <c r="H58" s="54">
        <f t="shared" si="26"/>
        <v>1.053870362657206</v>
      </c>
      <c r="I58" s="54">
        <f t="shared" si="26"/>
        <v>1.0883771157796844</v>
      </c>
      <c r="J58" s="54">
        <f t="shared" si="26"/>
        <v>1.0566790987260652</v>
      </c>
      <c r="K58" s="54">
        <f t="shared" si="26"/>
        <v>1.074403840879365</v>
      </c>
      <c r="L58" s="54">
        <f t="shared" si="26"/>
        <v>0.9016480263011536</v>
      </c>
      <c r="M58" s="54">
        <f t="shared" si="26"/>
        <v>0.9889897830409483</v>
      </c>
      <c r="N58" s="54">
        <f t="shared" si="26"/>
        <v>0.9606724767479218</v>
      </c>
      <c r="O58" s="54">
        <f t="shared" si="26"/>
        <v>1.0797540179718772</v>
      </c>
      <c r="P58" s="54">
        <f t="shared" si="26"/>
        <v>0.9999998515336871</v>
      </c>
      <c r="Q58" s="2"/>
      <c r="R58" s="2"/>
      <c r="S58" s="2"/>
      <c r="T58" s="2"/>
      <c r="U58" s="2"/>
    </row>
    <row r="59" spans="2:21" ht="16.5" thickTop="1">
      <c r="B59" s="2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2"/>
      <c r="R59" s="2"/>
      <c r="S59" s="2"/>
      <c r="T59" s="2"/>
      <c r="U59" s="2"/>
    </row>
    <row r="60" spans="1:16" s="2" customFormat="1" ht="15.75">
      <c r="A60" s="1" t="str">
        <f>A1</f>
        <v>Puget Sound Energy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2" customFormat="1" ht="15.75">
      <c r="A61" s="1" t="str">
        <f>A2</f>
        <v>ELECTRIC COST OF SERVICE SUMMARY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1" ht="15.75">
      <c r="A62" s="1" t="s">
        <v>267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  <c r="R62" s="2"/>
      <c r="S62" s="2"/>
      <c r="T62" s="2"/>
      <c r="U62" s="2"/>
    </row>
    <row r="63" spans="1:21" ht="15.75">
      <c r="A63" s="1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2"/>
      <c r="S63" s="2"/>
      <c r="T63" s="2"/>
      <c r="U63" s="2"/>
    </row>
    <row r="64" spans="1:21" ht="18.75">
      <c r="A64" s="55"/>
      <c r="Q64" s="2"/>
      <c r="R64" s="2"/>
      <c r="S64" s="2"/>
      <c r="T64" s="2"/>
      <c r="U64" s="2"/>
    </row>
    <row r="65" spans="1:21" ht="38.25">
      <c r="A65" s="42"/>
      <c r="B65" s="6"/>
      <c r="C65" s="6"/>
      <c r="D65" s="6"/>
      <c r="E65" s="6" t="s">
        <v>60</v>
      </c>
      <c r="F65" s="6"/>
      <c r="G65" s="56" t="str">
        <f aca="true" t="shared" si="27" ref="G65:P65">+G6</f>
        <v>Residential
Sch 7</v>
      </c>
      <c r="H65" s="56" t="str">
        <f t="shared" si="27"/>
        <v>Sec Volt
Sch 24
(kW&lt; 50)</v>
      </c>
      <c r="I65" s="56" t="str">
        <f t="shared" si="27"/>
        <v>Sec Volt
Sch 25
(kW &gt; 50 &amp; &lt; 350)</v>
      </c>
      <c r="J65" s="56" t="str">
        <f t="shared" si="27"/>
        <v>Sec Volt
Sch 26
(kW &gt; 350)</v>
      </c>
      <c r="K65" s="56" t="str">
        <f t="shared" si="27"/>
        <v>Pri Volt
Sch 31/35/43</v>
      </c>
      <c r="L65" s="56" t="str">
        <f t="shared" si="27"/>
        <v>Campus
Sch 40</v>
      </c>
      <c r="M65" s="56" t="str">
        <f t="shared" si="27"/>
        <v>High Volt
Sch 46/49</v>
      </c>
      <c r="N65" s="56" t="str">
        <f t="shared" si="27"/>
        <v>Choice /
Retail Wheeling
Sch 448/449</v>
      </c>
      <c r="O65" s="56" t="str">
        <f t="shared" si="27"/>
        <v>Lighting
Sch 50-59</v>
      </c>
      <c r="P65" s="56" t="str">
        <f t="shared" si="27"/>
        <v>Firm Resale /
Special Contract</v>
      </c>
      <c r="Q65" s="2"/>
      <c r="R65" s="2"/>
      <c r="S65" s="2"/>
      <c r="T65" s="2"/>
      <c r="U65" s="2"/>
    </row>
    <row r="66" spans="3:21" ht="15.75">
      <c r="C66" s="9" t="s">
        <v>15</v>
      </c>
      <c r="E66" s="9" t="s">
        <v>16</v>
      </c>
      <c r="G66" s="9" t="s">
        <v>17</v>
      </c>
      <c r="H66" s="9" t="s">
        <v>18</v>
      </c>
      <c r="I66" s="9" t="s">
        <v>19</v>
      </c>
      <c r="J66" s="10" t="s">
        <v>555</v>
      </c>
      <c r="K66" s="10" t="s">
        <v>20</v>
      </c>
      <c r="L66" s="10" t="s">
        <v>21</v>
      </c>
      <c r="M66" s="10" t="s">
        <v>89</v>
      </c>
      <c r="N66" s="10" t="s">
        <v>90</v>
      </c>
      <c r="O66" s="10" t="s">
        <v>22</v>
      </c>
      <c r="P66" s="10" t="s">
        <v>23</v>
      </c>
      <c r="Q66" s="2"/>
      <c r="R66" s="2"/>
      <c r="S66" s="2"/>
      <c r="T66" s="2"/>
      <c r="U66" s="2"/>
    </row>
    <row r="67" spans="1:16" ht="12.75">
      <c r="A67" s="12">
        <v>1</v>
      </c>
      <c r="C67" s="57" t="s">
        <v>273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2">
        <f aca="true" t="shared" si="28" ref="A68:A92">+A67+1</f>
        <v>2</v>
      </c>
      <c r="B68" s="3">
        <f>IF(OR((C67="~"),(C68="~")),"~","")</f>
      </c>
      <c r="C68" s="58" t="s">
        <v>274</v>
      </c>
      <c r="E68" s="14">
        <f aca="true" t="shared" si="29" ref="E68:E73">SUM(G68:P68)</f>
        <v>351796486.964344</v>
      </c>
      <c r="F68" s="14"/>
      <c r="G68" s="14">
        <v>224152805.4790703</v>
      </c>
      <c r="H68" s="14">
        <v>38427414.315120995</v>
      </c>
      <c r="I68" s="14">
        <v>40304418.05138176</v>
      </c>
      <c r="J68" s="14">
        <v>24089333.99595118</v>
      </c>
      <c r="K68" s="14">
        <v>12496633.378586475</v>
      </c>
      <c r="L68" s="14">
        <v>6364271.350752412</v>
      </c>
      <c r="M68" s="14">
        <v>4810360.364547223</v>
      </c>
      <c r="N68" s="14">
        <v>0</v>
      </c>
      <c r="O68" s="14">
        <v>1017793.5224910524</v>
      </c>
      <c r="P68" s="14">
        <v>133456.50644261992</v>
      </c>
    </row>
    <row r="69" spans="1:16" ht="12.75">
      <c r="A69" s="12">
        <f t="shared" si="28"/>
        <v>3</v>
      </c>
      <c r="B69" s="3">
        <f>IF(OR((C67="~"),(C69="~")),"~","")</f>
      </c>
      <c r="C69" s="58" t="s">
        <v>275</v>
      </c>
      <c r="E69" s="14">
        <f t="shared" si="29"/>
        <v>1323424879.5325327</v>
      </c>
      <c r="F69" s="14"/>
      <c r="G69" s="14">
        <v>668927374.919426</v>
      </c>
      <c r="H69" s="14">
        <v>164386080.38086462</v>
      </c>
      <c r="I69" s="14">
        <v>191041777.99265733</v>
      </c>
      <c r="J69" s="14">
        <v>130890153.61428134</v>
      </c>
      <c r="K69" s="14">
        <v>89198126.89334178</v>
      </c>
      <c r="L69" s="14">
        <v>40471249.43092168</v>
      </c>
      <c r="M69" s="14">
        <v>32813993.64367251</v>
      </c>
      <c r="N69" s="14">
        <v>0</v>
      </c>
      <c r="O69" s="14">
        <v>5246127.1133449515</v>
      </c>
      <c r="P69" s="14">
        <v>449995.544022455</v>
      </c>
    </row>
    <row r="70" spans="1:16" ht="12.75">
      <c r="A70" s="12">
        <f t="shared" si="28"/>
        <v>4</v>
      </c>
      <c r="B70" s="3">
        <f>IF(OR((C67="~"),(C70="~")),"~","")</f>
      </c>
      <c r="C70" s="58" t="s">
        <v>276</v>
      </c>
      <c r="E70" s="14">
        <f t="shared" si="29"/>
        <v>0</v>
      </c>
      <c r="F70" s="14"/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</row>
    <row r="71" spans="1:16" ht="12.75">
      <c r="A71" s="12">
        <f t="shared" si="28"/>
        <v>5</v>
      </c>
      <c r="B71" s="3" t="str">
        <f>IF(OR((C67="~"),(C71="~")),"~","")</f>
        <v>~</v>
      </c>
      <c r="C71" s="58" t="s">
        <v>277</v>
      </c>
      <c r="E71" s="14">
        <f t="shared" si="29"/>
        <v>0</v>
      </c>
      <c r="F71" s="14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1:16" ht="12.75">
      <c r="A72" s="12">
        <f t="shared" si="28"/>
        <v>6</v>
      </c>
      <c r="B72" s="3" t="str">
        <f>IF(OR((C67="~"),(C72="~")),"~","")</f>
        <v>~</v>
      </c>
      <c r="C72" s="58" t="s">
        <v>277</v>
      </c>
      <c r="E72" s="14">
        <f t="shared" si="29"/>
        <v>0</v>
      </c>
      <c r="F72" s="14"/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</row>
    <row r="73" spans="1:16" ht="12.75">
      <c r="A73" s="12">
        <f t="shared" si="28"/>
        <v>7</v>
      </c>
      <c r="B73" s="3" t="str">
        <f>IF(OR((C67="~"),(C73="~")),"~","")</f>
        <v>~</v>
      </c>
      <c r="C73" s="58" t="s">
        <v>277</v>
      </c>
      <c r="E73" s="14">
        <f t="shared" si="29"/>
        <v>0</v>
      </c>
      <c r="F73" s="14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1:16" ht="12.75">
      <c r="A74" s="12">
        <f t="shared" si="28"/>
        <v>8</v>
      </c>
      <c r="B74" s="3">
        <f>IF(OR((C67="~"),(C74="~")),"~","")</f>
      </c>
      <c r="C74" s="59" t="str">
        <f>IF(C67="~","~","Sub-total")</f>
        <v>Sub-total</v>
      </c>
      <c r="D74" s="59"/>
      <c r="E74" s="59">
        <f>SUM(E68:E73)</f>
        <v>1675221366.4968767</v>
      </c>
      <c r="F74" s="59"/>
      <c r="G74" s="59">
        <f aca="true" t="shared" si="30" ref="G74:P74">SUM(G68:G73)</f>
        <v>893080180.3984963</v>
      </c>
      <c r="H74" s="59">
        <f t="shared" si="30"/>
        <v>202813494.69598562</v>
      </c>
      <c r="I74" s="59">
        <f t="shared" si="30"/>
        <v>231346196.0440391</v>
      </c>
      <c r="J74" s="59">
        <f t="shared" si="30"/>
        <v>154979487.61023253</v>
      </c>
      <c r="K74" s="59">
        <f t="shared" si="30"/>
        <v>101694760.27192825</v>
      </c>
      <c r="L74" s="59">
        <f t="shared" si="30"/>
        <v>46835520.781674094</v>
      </c>
      <c r="M74" s="59">
        <f t="shared" si="30"/>
        <v>37624354.008219734</v>
      </c>
      <c r="N74" s="59">
        <f t="shared" si="30"/>
        <v>0</v>
      </c>
      <c r="O74" s="59">
        <f t="shared" si="30"/>
        <v>6263920.635836004</v>
      </c>
      <c r="P74" s="59">
        <f t="shared" si="30"/>
        <v>583452.050465075</v>
      </c>
    </row>
    <row r="75" spans="1:16" ht="12.75">
      <c r="A75" s="12">
        <f t="shared" si="28"/>
        <v>9</v>
      </c>
      <c r="B75" s="3">
        <f>IF(OR((C67="~"),(C75="~")),"~","")</f>
      </c>
      <c r="C75" s="60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.75">
      <c r="A76" s="12">
        <f t="shared" si="28"/>
        <v>10</v>
      </c>
      <c r="C76" s="57" t="s">
        <v>278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2">
        <f t="shared" si="28"/>
        <v>11</v>
      </c>
      <c r="B77" s="3">
        <f>IF(OR((C76="~"),(C77="~")),"~","")</f>
      </c>
      <c r="C77" s="58" t="s">
        <v>274</v>
      </c>
      <c r="E77" s="14">
        <f aca="true" t="shared" si="31" ref="E77:E82">SUM(G77:P77)</f>
        <v>50629872.10213077</v>
      </c>
      <c r="F77" s="14"/>
      <c r="G77" s="14">
        <v>31600767.523392804</v>
      </c>
      <c r="H77" s="14">
        <v>5417446.298304844</v>
      </c>
      <c r="I77" s="14">
        <v>5682063.814839361</v>
      </c>
      <c r="J77" s="14">
        <v>3396082.6043307995</v>
      </c>
      <c r="K77" s="14">
        <v>1761758.9277001268</v>
      </c>
      <c r="L77" s="14">
        <v>897226.5994221284</v>
      </c>
      <c r="M77" s="14">
        <v>678158.2735889223</v>
      </c>
      <c r="N77" s="14">
        <v>964196.4098382524</v>
      </c>
      <c r="O77" s="14">
        <v>143487.1913483945</v>
      </c>
      <c r="P77" s="14">
        <v>88684.4593651351</v>
      </c>
    </row>
    <row r="78" spans="1:16" ht="12.75">
      <c r="A78" s="12">
        <f t="shared" si="28"/>
        <v>12</v>
      </c>
      <c r="B78" s="3">
        <f>IF(OR((C76="~"),(C78="~")),"~","")</f>
      </c>
      <c r="C78" s="58" t="s">
        <v>275</v>
      </c>
      <c r="E78" s="14">
        <f t="shared" si="31"/>
        <v>190464756.95563483</v>
      </c>
      <c r="F78" s="14"/>
      <c r="G78" s="14">
        <v>93139197.19002153</v>
      </c>
      <c r="H78" s="14">
        <v>22888564.782884397</v>
      </c>
      <c r="I78" s="14">
        <v>26600014.439734504</v>
      </c>
      <c r="J78" s="14">
        <v>18224704.63132294</v>
      </c>
      <c r="K78" s="14">
        <v>12419647.096518101</v>
      </c>
      <c r="L78" s="14">
        <v>5635080.6120428275</v>
      </c>
      <c r="M78" s="14">
        <v>4568910.077776773</v>
      </c>
      <c r="N78" s="14">
        <v>5776238.524533005</v>
      </c>
      <c r="O78" s="14">
        <v>730453.0895489354</v>
      </c>
      <c r="P78" s="14">
        <v>481946.51125180605</v>
      </c>
    </row>
    <row r="79" spans="1:16" ht="12.75">
      <c r="A79" s="12">
        <f t="shared" si="28"/>
        <v>13</v>
      </c>
      <c r="B79" s="3">
        <f>IF(OR((C76="~"),(C79="~")),"~","")</f>
      </c>
      <c r="C79" s="58" t="s">
        <v>276</v>
      </c>
      <c r="E79" s="14">
        <f t="shared" si="31"/>
        <v>0</v>
      </c>
      <c r="F79" s="14"/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</row>
    <row r="80" spans="1:16" ht="12.75">
      <c r="A80" s="12">
        <f t="shared" si="28"/>
        <v>14</v>
      </c>
      <c r="B80" s="3" t="str">
        <f>IF(OR((C76="~"),(C80="~")),"~","")</f>
        <v>~</v>
      </c>
      <c r="C80" s="58" t="s">
        <v>277</v>
      </c>
      <c r="E80" s="14">
        <f t="shared" si="31"/>
        <v>0</v>
      </c>
      <c r="F80" s="14"/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</row>
    <row r="81" spans="1:16" ht="12.75">
      <c r="A81" s="12">
        <f t="shared" si="28"/>
        <v>15</v>
      </c>
      <c r="B81" s="3" t="str">
        <f>IF(OR((C76="~"),(C81="~")),"~","")</f>
        <v>~</v>
      </c>
      <c r="C81" s="58" t="s">
        <v>277</v>
      </c>
      <c r="E81" s="14">
        <f t="shared" si="31"/>
        <v>0</v>
      </c>
      <c r="F81" s="14"/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2.75">
      <c r="A82" s="12">
        <f t="shared" si="28"/>
        <v>16</v>
      </c>
      <c r="B82" s="3" t="str">
        <f>IF(OR((C76="~"),(C82="~")),"~","")</f>
        <v>~</v>
      </c>
      <c r="C82" s="58" t="s">
        <v>277</v>
      </c>
      <c r="E82" s="14">
        <f t="shared" si="31"/>
        <v>0</v>
      </c>
      <c r="F82" s="14"/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</row>
    <row r="83" spans="1:16" ht="12.75">
      <c r="A83" s="12">
        <f t="shared" si="28"/>
        <v>17</v>
      </c>
      <c r="B83" s="3">
        <f>IF(OR((C76="~"),(C83="~")),"~","")</f>
      </c>
      <c r="C83" s="59" t="str">
        <f>IF(C76="~","~","Sub-total")</f>
        <v>Sub-total</v>
      </c>
      <c r="D83" s="59"/>
      <c r="E83" s="59">
        <f>SUM(E77:E82)</f>
        <v>241094629.0577656</v>
      </c>
      <c r="F83" s="59"/>
      <c r="G83" s="59">
        <f aca="true" t="shared" si="32" ref="G83:P83">SUM(G77:G82)</f>
        <v>124739964.71341434</v>
      </c>
      <c r="H83" s="59">
        <f t="shared" si="32"/>
        <v>28306011.08118924</v>
      </c>
      <c r="I83" s="59">
        <f t="shared" si="32"/>
        <v>32282078.254573867</v>
      </c>
      <c r="J83" s="59">
        <f t="shared" si="32"/>
        <v>21620787.23565374</v>
      </c>
      <c r="K83" s="59">
        <f t="shared" si="32"/>
        <v>14181406.024218228</v>
      </c>
      <c r="L83" s="59">
        <f t="shared" si="32"/>
        <v>6532307.211464956</v>
      </c>
      <c r="M83" s="59">
        <f t="shared" si="32"/>
        <v>5247068.351365695</v>
      </c>
      <c r="N83" s="59">
        <f t="shared" si="32"/>
        <v>6740434.934371258</v>
      </c>
      <c r="O83" s="59">
        <f t="shared" si="32"/>
        <v>873940.2808973299</v>
      </c>
      <c r="P83" s="59">
        <f t="shared" si="32"/>
        <v>570630.9706169411</v>
      </c>
    </row>
    <row r="84" spans="1:16" ht="12.75">
      <c r="A84" s="12">
        <f t="shared" si="28"/>
        <v>18</v>
      </c>
      <c r="B84" s="3">
        <f>IF(OR((C76="~"),(C84="~")),"~","")</f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>
      <c r="A85" s="12">
        <f t="shared" si="28"/>
        <v>19</v>
      </c>
      <c r="C85" s="57" t="s">
        <v>279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 s="12">
        <f t="shared" si="28"/>
        <v>20</v>
      </c>
      <c r="B86" s="3">
        <f>IF(OR((C85="~"),(C86="~")),"~","")</f>
      </c>
      <c r="C86" s="58" t="s">
        <v>274</v>
      </c>
      <c r="E86" s="14">
        <f aca="true" t="shared" si="33" ref="E86:E91">SUM(G86:P86)</f>
        <v>1252756643.484016</v>
      </c>
      <c r="F86" s="14"/>
      <c r="G86" s="14">
        <v>817205788.0637953</v>
      </c>
      <c r="H86" s="14">
        <v>141354255.98817152</v>
      </c>
      <c r="I86" s="14">
        <v>128856480.76443109</v>
      </c>
      <c r="J86" s="14">
        <v>64954033.4538326</v>
      </c>
      <c r="K86" s="14">
        <v>64245684.40638686</v>
      </c>
      <c r="L86" s="14">
        <v>15380550.874693602</v>
      </c>
      <c r="M86" s="14">
        <v>6228876.252037762</v>
      </c>
      <c r="N86" s="14">
        <v>7264622.670730932</v>
      </c>
      <c r="O86" s="14">
        <v>6064810.746096613</v>
      </c>
      <c r="P86" s="14">
        <v>1201540.2638396868</v>
      </c>
    </row>
    <row r="87" spans="1:16" ht="12.75">
      <c r="A87" s="12">
        <f t="shared" si="28"/>
        <v>21</v>
      </c>
      <c r="B87" s="3">
        <f>IF(OR((C85="~"),(C87="~")),"~","")</f>
      </c>
      <c r="C87" s="58" t="s">
        <v>275</v>
      </c>
      <c r="E87" s="14">
        <f t="shared" si="33"/>
        <v>239884534.09114528</v>
      </c>
      <c r="F87" s="14"/>
      <c r="G87" s="14">
        <v>110557222.07013074</v>
      </c>
      <c r="H87" s="14">
        <v>27168970.915706247</v>
      </c>
      <c r="I87" s="14">
        <v>31574501.30778534</v>
      </c>
      <c r="J87" s="14">
        <v>21632919.091808252</v>
      </c>
      <c r="K87" s="14">
        <v>14742253.782594457</v>
      </c>
      <c r="L87" s="14">
        <v>6688900.886032675</v>
      </c>
      <c r="M87" s="14">
        <v>5423345.071964413</v>
      </c>
      <c r="N87" s="14">
        <v>19723300.037703447</v>
      </c>
      <c r="O87" s="14">
        <v>867055.6207212686</v>
      </c>
      <c r="P87" s="14">
        <v>1506065.3066984403</v>
      </c>
    </row>
    <row r="88" spans="1:16" ht="12.75">
      <c r="A88" s="12">
        <f t="shared" si="28"/>
        <v>22</v>
      </c>
      <c r="B88" s="3">
        <f>IF(OR((C85="~"),(C88="~")),"~","")</f>
      </c>
      <c r="C88" s="58" t="s">
        <v>276</v>
      </c>
      <c r="E88" s="14">
        <f t="shared" si="33"/>
        <v>362188172.8701965</v>
      </c>
      <c r="F88" s="14"/>
      <c r="G88" s="14">
        <v>241979001.1474031</v>
      </c>
      <c r="H88" s="14">
        <v>48976962.84377152</v>
      </c>
      <c r="I88" s="14">
        <v>31903876.994596608</v>
      </c>
      <c r="J88" s="14">
        <v>6627402.948661471</v>
      </c>
      <c r="K88" s="14">
        <v>11915963.101810075</v>
      </c>
      <c r="L88" s="14">
        <v>2727400.0251940507</v>
      </c>
      <c r="M88" s="14">
        <v>435539.2197150088</v>
      </c>
      <c r="N88" s="14">
        <v>238446.57262033282</v>
      </c>
      <c r="O88" s="14">
        <v>17225392.752580475</v>
      </c>
      <c r="P88" s="14">
        <v>158187.2638439567</v>
      </c>
    </row>
    <row r="89" spans="1:16" ht="12.75">
      <c r="A89" s="12">
        <f t="shared" si="28"/>
        <v>23</v>
      </c>
      <c r="B89" s="3" t="str">
        <f>IF(OR((C85="~"),(C89="~")),"~","")</f>
        <v>~</v>
      </c>
      <c r="C89" s="58" t="s">
        <v>277</v>
      </c>
      <c r="E89" s="14">
        <f t="shared" si="33"/>
        <v>0</v>
      </c>
      <c r="F89" s="14"/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</row>
    <row r="90" spans="1:16" ht="12.75">
      <c r="A90" s="12">
        <f t="shared" si="28"/>
        <v>24</v>
      </c>
      <c r="B90" s="3" t="str">
        <f>IF(OR((C85="~"),(C90="~")),"~","")</f>
        <v>~</v>
      </c>
      <c r="C90" s="58" t="s">
        <v>277</v>
      </c>
      <c r="E90" s="14">
        <f t="shared" si="33"/>
        <v>0</v>
      </c>
      <c r="F90" s="14"/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</row>
    <row r="91" spans="1:16" ht="12.75">
      <c r="A91" s="12">
        <f t="shared" si="28"/>
        <v>25</v>
      </c>
      <c r="B91" s="3" t="str">
        <f>IF(OR((C85="~"),(C91="~")),"~","")</f>
        <v>~</v>
      </c>
      <c r="C91" s="58" t="s">
        <v>277</v>
      </c>
      <c r="E91" s="14">
        <f t="shared" si="33"/>
        <v>0</v>
      </c>
      <c r="F91" s="14"/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</row>
    <row r="92" spans="1:16" ht="12.75">
      <c r="A92" s="12">
        <f t="shared" si="28"/>
        <v>26</v>
      </c>
      <c r="B92" s="3">
        <f>IF(OR((C85="~"),(C92="~")),"~","")</f>
      </c>
      <c r="C92" s="59" t="str">
        <f>IF(C85="~","~","Sub-total")</f>
        <v>Sub-total</v>
      </c>
      <c r="D92" s="59"/>
      <c r="E92" s="59">
        <f>SUM(E86:E91)</f>
        <v>1854829350.4453578</v>
      </c>
      <c r="F92" s="59"/>
      <c r="G92" s="59">
        <f aca="true" t="shared" si="34" ref="G92:P92">SUM(G86:G91)</f>
        <v>1169742011.2813292</v>
      </c>
      <c r="H92" s="59">
        <f t="shared" si="34"/>
        <v>217500189.74764928</v>
      </c>
      <c r="I92" s="59">
        <f t="shared" si="34"/>
        <v>192334859.06681302</v>
      </c>
      <c r="J92" s="59">
        <f t="shared" si="34"/>
        <v>93214355.49430233</v>
      </c>
      <c r="K92" s="59">
        <f t="shared" si="34"/>
        <v>90903901.29079139</v>
      </c>
      <c r="L92" s="59">
        <f t="shared" si="34"/>
        <v>24796851.78592033</v>
      </c>
      <c r="M92" s="59">
        <f t="shared" si="34"/>
        <v>12087760.543717183</v>
      </c>
      <c r="N92" s="59">
        <f t="shared" si="34"/>
        <v>27226369.281054713</v>
      </c>
      <c r="O92" s="59">
        <f t="shared" si="34"/>
        <v>24157259.119398355</v>
      </c>
      <c r="P92" s="59">
        <f t="shared" si="34"/>
        <v>2865792.8343820837</v>
      </c>
    </row>
    <row r="93" spans="1:16" ht="12.75">
      <c r="A93" s="12">
        <f>+A92+1</f>
        <v>27</v>
      </c>
      <c r="B93" s="57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 s="12">
        <f aca="true" t="shared" si="35" ref="A94:A103">+A93+1</f>
        <v>28</v>
      </c>
      <c r="C94" s="13" t="s">
        <v>61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2">
        <f t="shared" si="35"/>
        <v>29</v>
      </c>
      <c r="B95" s="3">
        <f>IF(OR((C94="~"),(C95="~")),"~","")</f>
      </c>
      <c r="C95" s="58" t="s">
        <v>274</v>
      </c>
      <c r="E95" s="14">
        <f aca="true" t="shared" si="36" ref="E95:E100">SUM(G95:P95)</f>
        <v>1655183002.5504909</v>
      </c>
      <c r="F95" s="14"/>
      <c r="G95" s="14">
        <v>1072959361.0662584</v>
      </c>
      <c r="H95" s="14">
        <v>185199116.60159737</v>
      </c>
      <c r="I95" s="14">
        <v>174842962.63065222</v>
      </c>
      <c r="J95" s="14">
        <v>92439450.05411458</v>
      </c>
      <c r="K95" s="14">
        <v>78504076.71267346</v>
      </c>
      <c r="L95" s="14">
        <v>22642048.824868143</v>
      </c>
      <c r="M95" s="14">
        <v>11717394.890173906</v>
      </c>
      <c r="N95" s="14">
        <v>8228819.080569185</v>
      </c>
      <c r="O95" s="14">
        <v>7226091.45993606</v>
      </c>
      <c r="P95" s="14">
        <v>1423681.2296474418</v>
      </c>
    </row>
    <row r="96" spans="1:16" ht="12.75">
      <c r="A96" s="12">
        <f t="shared" si="35"/>
        <v>30</v>
      </c>
      <c r="B96" s="3">
        <f>IF(OR((C94="~"),(C96="~")),"~","")</f>
      </c>
      <c r="C96" s="58" t="s">
        <v>275</v>
      </c>
      <c r="E96" s="14">
        <f t="shared" si="36"/>
        <v>1753774170.5793128</v>
      </c>
      <c r="F96" s="14"/>
      <c r="G96" s="14">
        <v>872623794.1795782</v>
      </c>
      <c r="H96" s="14">
        <v>214443616.07945526</v>
      </c>
      <c r="I96" s="14">
        <v>249216293.74017715</v>
      </c>
      <c r="J96" s="14">
        <v>170747777.33741254</v>
      </c>
      <c r="K96" s="14">
        <v>116360027.77245435</v>
      </c>
      <c r="L96" s="14">
        <v>52795230.92899719</v>
      </c>
      <c r="M96" s="14">
        <v>42806248.7934137</v>
      </c>
      <c r="N96" s="14">
        <v>25499538.562236458</v>
      </c>
      <c r="O96" s="14">
        <v>6843635.823615155</v>
      </c>
      <c r="P96" s="14">
        <v>2438007.3619727013</v>
      </c>
    </row>
    <row r="97" spans="1:16" ht="12.75">
      <c r="A97" s="12">
        <f t="shared" si="35"/>
        <v>31</v>
      </c>
      <c r="B97" s="3">
        <f>IF(OR((C94="~"),(C97="~")),"~","")</f>
      </c>
      <c r="C97" s="58" t="s">
        <v>276</v>
      </c>
      <c r="E97" s="14">
        <f t="shared" si="36"/>
        <v>362188172.8701965</v>
      </c>
      <c r="F97" s="14"/>
      <c r="G97" s="14">
        <v>241979001.1474031</v>
      </c>
      <c r="H97" s="14">
        <v>48976962.84377152</v>
      </c>
      <c r="I97" s="14">
        <v>31903876.994596608</v>
      </c>
      <c r="J97" s="14">
        <v>6627402.948661471</v>
      </c>
      <c r="K97" s="14">
        <v>11915963.101810075</v>
      </c>
      <c r="L97" s="14">
        <v>2727400.0251940507</v>
      </c>
      <c r="M97" s="14">
        <v>435539.2197150088</v>
      </c>
      <c r="N97" s="14">
        <v>238446.57262033282</v>
      </c>
      <c r="O97" s="14">
        <v>17225392.752580475</v>
      </c>
      <c r="P97" s="14">
        <v>158187.2638439567</v>
      </c>
    </row>
    <row r="98" spans="1:16" ht="12.75">
      <c r="A98" s="12">
        <f t="shared" si="35"/>
        <v>32</v>
      </c>
      <c r="B98" s="3" t="str">
        <f>IF(OR((C94="~"),(C98="~")),"~","")</f>
        <v>~</v>
      </c>
      <c r="C98" s="58" t="s">
        <v>277</v>
      </c>
      <c r="E98" s="14">
        <f t="shared" si="36"/>
        <v>0</v>
      </c>
      <c r="F98" s="14"/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</row>
    <row r="99" spans="1:16" ht="12.75">
      <c r="A99" s="12">
        <f t="shared" si="35"/>
        <v>33</v>
      </c>
      <c r="B99" s="3" t="str">
        <f>IF(OR((C94="~"),(C99="~")),"~","")</f>
        <v>~</v>
      </c>
      <c r="C99" s="58" t="s">
        <v>277</v>
      </c>
      <c r="E99" s="14">
        <f t="shared" si="36"/>
        <v>0</v>
      </c>
      <c r="F99" s="14"/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</row>
    <row r="100" spans="1:16" ht="12.75">
      <c r="A100" s="12">
        <f t="shared" si="35"/>
        <v>34</v>
      </c>
      <c r="B100" s="3" t="str">
        <f>IF(OR((C94="~"),(C100="~")),"~","")</f>
        <v>~</v>
      </c>
      <c r="C100" s="58" t="s">
        <v>277</v>
      </c>
      <c r="E100" s="14">
        <f t="shared" si="36"/>
        <v>0</v>
      </c>
      <c r="F100" s="14"/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</row>
    <row r="101" spans="1:16" s="48" customFormat="1" ht="12.75">
      <c r="A101" s="12">
        <f t="shared" si="35"/>
        <v>35</v>
      </c>
      <c r="C101" s="61"/>
      <c r="D101" s="61"/>
      <c r="E101" s="59">
        <f>SUM(E95:E100)</f>
        <v>3771145346</v>
      </c>
      <c r="F101" s="59"/>
      <c r="G101" s="59">
        <f aca="true" t="shared" si="37" ref="G101:P101">SUM(G95:G100)</f>
        <v>2187562156.39324</v>
      </c>
      <c r="H101" s="59">
        <f t="shared" si="37"/>
        <v>448619695.52482414</v>
      </c>
      <c r="I101" s="59">
        <f t="shared" si="37"/>
        <v>455963133.36542594</v>
      </c>
      <c r="J101" s="59">
        <f t="shared" si="37"/>
        <v>269814630.34018856</v>
      </c>
      <c r="K101" s="59">
        <f t="shared" si="37"/>
        <v>206780067.58693787</v>
      </c>
      <c r="L101" s="59">
        <f t="shared" si="37"/>
        <v>78164679.77905938</v>
      </c>
      <c r="M101" s="59">
        <f t="shared" si="37"/>
        <v>54959182.90330261</v>
      </c>
      <c r="N101" s="59">
        <f t="shared" si="37"/>
        <v>33966804.215425976</v>
      </c>
      <c r="O101" s="59">
        <f t="shared" si="37"/>
        <v>31295120.03613169</v>
      </c>
      <c r="P101" s="59">
        <f t="shared" si="37"/>
        <v>4019875.8554641</v>
      </c>
    </row>
    <row r="102" spans="1:2" ht="12.75">
      <c r="A102" s="12">
        <f t="shared" si="35"/>
        <v>36</v>
      </c>
      <c r="B102" s="48">
        <f>IF(OR((C94="~"),(C102="~")),"~","")</f>
      </c>
    </row>
    <row r="103" spans="1:16" ht="13.5" thickBot="1">
      <c r="A103" s="12">
        <f t="shared" si="35"/>
        <v>37</v>
      </c>
      <c r="C103" s="62" t="s">
        <v>30</v>
      </c>
      <c r="D103" s="16"/>
      <c r="E103" s="16">
        <f>SUM(G103:P103)</f>
        <v>3771145346.0000005</v>
      </c>
      <c r="F103" s="16"/>
      <c r="G103" s="16">
        <f aca="true" t="shared" si="38" ref="G103:P103">SUM(G95:G100)</f>
        <v>2187562156.39324</v>
      </c>
      <c r="H103" s="16">
        <f t="shared" si="38"/>
        <v>448619695.52482414</v>
      </c>
      <c r="I103" s="16">
        <f t="shared" si="38"/>
        <v>455963133.36542594</v>
      </c>
      <c r="J103" s="16">
        <f t="shared" si="38"/>
        <v>269814630.34018856</v>
      </c>
      <c r="K103" s="16">
        <f t="shared" si="38"/>
        <v>206780067.58693787</v>
      </c>
      <c r="L103" s="16">
        <f t="shared" si="38"/>
        <v>78164679.77905938</v>
      </c>
      <c r="M103" s="16">
        <f t="shared" si="38"/>
        <v>54959182.90330261</v>
      </c>
      <c r="N103" s="16">
        <f t="shared" si="38"/>
        <v>33966804.215425976</v>
      </c>
      <c r="O103" s="16">
        <f t="shared" si="38"/>
        <v>31295120.03613169</v>
      </c>
      <c r="P103" s="16">
        <f t="shared" si="38"/>
        <v>4019875.8554641</v>
      </c>
    </row>
    <row r="104" spans="1:16" ht="13.5" thickTop="1">
      <c r="A104" s="48"/>
      <c r="B104" s="4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2" customFormat="1" ht="15.75">
      <c r="A105" s="1" t="str">
        <f>A1</f>
        <v>Puget Sound Energy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s="2" customFormat="1" ht="15.75">
      <c r="A106" s="1" t="str">
        <f>A2</f>
        <v>ELECTRIC COST OF SERVICE SUMMARY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 t="s">
        <v>267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 t="s">
        <v>62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8.25">
      <c r="A110" s="42"/>
      <c r="B110" s="6"/>
      <c r="C110" s="6"/>
      <c r="D110" s="6"/>
      <c r="E110" s="6" t="s">
        <v>60</v>
      </c>
      <c r="F110" s="6"/>
      <c r="G110" s="56" t="str">
        <f aca="true" t="shared" si="39" ref="G110:P110">+G6</f>
        <v>Residential
Sch 7</v>
      </c>
      <c r="H110" s="56" t="str">
        <f t="shared" si="39"/>
        <v>Sec Volt
Sch 24
(kW&lt; 50)</v>
      </c>
      <c r="I110" s="56" t="str">
        <f t="shared" si="39"/>
        <v>Sec Volt
Sch 25
(kW &gt; 50 &amp; &lt; 350)</v>
      </c>
      <c r="J110" s="56" t="str">
        <f t="shared" si="39"/>
        <v>Sec Volt
Sch 26
(kW &gt; 350)</v>
      </c>
      <c r="K110" s="56" t="str">
        <f t="shared" si="39"/>
        <v>Pri Volt
Sch 31/35/43</v>
      </c>
      <c r="L110" s="56" t="str">
        <f t="shared" si="39"/>
        <v>Campus
Sch 40</v>
      </c>
      <c r="M110" s="56" t="str">
        <f t="shared" si="39"/>
        <v>High Volt
Sch 46/49</v>
      </c>
      <c r="N110" s="56" t="str">
        <f t="shared" si="39"/>
        <v>Choice /
Retail Wheeling
Sch 448/449</v>
      </c>
      <c r="O110" s="56" t="str">
        <f t="shared" si="39"/>
        <v>Lighting
Sch 50-59</v>
      </c>
      <c r="P110" s="56" t="str">
        <f t="shared" si="39"/>
        <v>Firm Resale /
Special Contract</v>
      </c>
    </row>
    <row r="111" spans="3:21" ht="15.75">
      <c r="C111" s="9" t="s">
        <v>15</v>
      </c>
      <c r="E111" s="9" t="s">
        <v>16</v>
      </c>
      <c r="G111" s="9" t="s">
        <v>17</v>
      </c>
      <c r="H111" s="9" t="s">
        <v>18</v>
      </c>
      <c r="I111" s="9" t="s">
        <v>19</v>
      </c>
      <c r="J111" s="10" t="s">
        <v>555</v>
      </c>
      <c r="K111" s="10" t="s">
        <v>20</v>
      </c>
      <c r="L111" s="10" t="s">
        <v>21</v>
      </c>
      <c r="M111" s="10" t="s">
        <v>89</v>
      </c>
      <c r="N111" s="10" t="s">
        <v>90</v>
      </c>
      <c r="O111" s="10" t="s">
        <v>22</v>
      </c>
      <c r="P111" s="10" t="s">
        <v>23</v>
      </c>
      <c r="Q111" s="2"/>
      <c r="R111" s="2"/>
      <c r="S111" s="2"/>
      <c r="T111" s="2"/>
      <c r="U111" s="2"/>
    </row>
    <row r="112" spans="1:3" ht="12.75">
      <c r="A112" s="12">
        <v>1</v>
      </c>
      <c r="C112" s="57" t="s">
        <v>273</v>
      </c>
    </row>
    <row r="113" spans="1:16" ht="12.75">
      <c r="A113" s="12">
        <f aca="true" t="shared" si="40" ref="A113:A137">+A112+1</f>
        <v>2</v>
      </c>
      <c r="B113" s="3">
        <f>IF(OR((C112="~"),(C113="~")),"~","")</f>
      </c>
      <c r="C113" s="58" t="s">
        <v>274</v>
      </c>
      <c r="E113" s="14">
        <v>326118170.9852073</v>
      </c>
      <c r="G113" s="14">
        <v>208312139.73738593</v>
      </c>
      <c r="H113" s="14">
        <v>35711785.46460506</v>
      </c>
      <c r="I113" s="14">
        <v>37456143.13061722</v>
      </c>
      <c r="J113" s="14">
        <v>22386963.655530497</v>
      </c>
      <c r="K113" s="14">
        <v>11613508.173780384</v>
      </c>
      <c r="L113" s="14">
        <v>5914514.342620473</v>
      </c>
      <c r="M113" s="14">
        <v>4470416.769065637</v>
      </c>
      <c r="N113" s="14">
        <v>-925756.1553176726</v>
      </c>
      <c r="O113" s="14">
        <v>945867.0215071614</v>
      </c>
      <c r="P113" s="14">
        <v>232588.845412587</v>
      </c>
    </row>
    <row r="114" spans="1:16" ht="12.75">
      <c r="A114" s="12">
        <f t="shared" si="40"/>
        <v>3</v>
      </c>
      <c r="B114" s="3">
        <f>IF(OR((C112="~"),(C114="~")),"~","")</f>
      </c>
      <c r="C114" s="58" t="s">
        <v>275</v>
      </c>
      <c r="E114" s="14">
        <v>1231246916.784993</v>
      </c>
      <c r="G114" s="14">
        <v>622274920.0177432</v>
      </c>
      <c r="H114" s="14">
        <v>152921436.40160394</v>
      </c>
      <c r="I114" s="14">
        <v>177718107.49223375</v>
      </c>
      <c r="J114" s="14">
        <v>121761588.66461082</v>
      </c>
      <c r="K114" s="14">
        <v>82977254.87011588</v>
      </c>
      <c r="L114" s="14">
        <v>37648696.17673881</v>
      </c>
      <c r="M114" s="14">
        <v>30525474.11823085</v>
      </c>
      <c r="N114" s="14">
        <v>112416.24253423524</v>
      </c>
      <c r="O114" s="14">
        <v>4880250.760036343</v>
      </c>
      <c r="P114" s="14">
        <v>426772.0411453129</v>
      </c>
    </row>
    <row r="115" spans="1:16" ht="12.75">
      <c r="A115" s="12">
        <f t="shared" si="40"/>
        <v>4</v>
      </c>
      <c r="B115" s="3">
        <f>IF(OR((C112="~"),(C115="~")),"~","")</f>
      </c>
      <c r="C115" s="58" t="s">
        <v>276</v>
      </c>
      <c r="E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</row>
    <row r="116" spans="1:16" ht="12.75">
      <c r="A116" s="12">
        <f t="shared" si="40"/>
        <v>5</v>
      </c>
      <c r="B116" s="3" t="str">
        <f>IF(OR((C112="~"),(C116="~")),"~","")</f>
        <v>~</v>
      </c>
      <c r="C116" s="58" t="s">
        <v>277</v>
      </c>
      <c r="E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</row>
    <row r="117" spans="1:16" ht="12.75">
      <c r="A117" s="12">
        <f t="shared" si="40"/>
        <v>6</v>
      </c>
      <c r="B117" s="3" t="str">
        <f>IF(OR((C112="~"),(C117="~")),"~","")</f>
        <v>~</v>
      </c>
      <c r="C117" s="58" t="s">
        <v>277</v>
      </c>
      <c r="E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</row>
    <row r="118" spans="1:16" ht="12.75">
      <c r="A118" s="12">
        <f t="shared" si="40"/>
        <v>7</v>
      </c>
      <c r="B118" s="3" t="str">
        <f>IF(OR((C112="~"),(C118="~")),"~","")</f>
        <v>~</v>
      </c>
      <c r="C118" s="58" t="s">
        <v>277</v>
      </c>
      <c r="E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</row>
    <row r="119" spans="1:16" ht="12.75">
      <c r="A119" s="12">
        <f t="shared" si="40"/>
        <v>8</v>
      </c>
      <c r="B119" s="3">
        <f>IF(OR((C112="~"),(C119="~")),"~","")</f>
      </c>
      <c r="C119" s="59" t="str">
        <f>IF(C112="~","~","Sub-total")</f>
        <v>Sub-total</v>
      </c>
      <c r="D119" s="59"/>
      <c r="E119" s="59">
        <f>SUM(E113:E118)</f>
        <v>1557365087.7702003</v>
      </c>
      <c r="F119" s="59"/>
      <c r="G119" s="59">
        <f aca="true" t="shared" si="41" ref="G119:P119">SUM(G113:G118)</f>
        <v>830587059.7551291</v>
      </c>
      <c r="H119" s="59">
        <f t="shared" si="41"/>
        <v>188633221.866209</v>
      </c>
      <c r="I119" s="59">
        <f t="shared" si="41"/>
        <v>215174250.62285098</v>
      </c>
      <c r="J119" s="59">
        <f t="shared" si="41"/>
        <v>144148552.32014132</v>
      </c>
      <c r="K119" s="59">
        <f t="shared" si="41"/>
        <v>94590763.04389626</v>
      </c>
      <c r="L119" s="59">
        <f t="shared" si="41"/>
        <v>43563210.51935929</v>
      </c>
      <c r="M119" s="59">
        <f t="shared" si="41"/>
        <v>34995890.88729648</v>
      </c>
      <c r="N119" s="59">
        <f t="shared" si="41"/>
        <v>-813339.9127834374</v>
      </c>
      <c r="O119" s="59">
        <f t="shared" si="41"/>
        <v>5826117.781543504</v>
      </c>
      <c r="P119" s="59">
        <f t="shared" si="41"/>
        <v>659360.8865578999</v>
      </c>
    </row>
    <row r="120" spans="1:3" ht="12.75">
      <c r="A120" s="12">
        <f t="shared" si="40"/>
        <v>9</v>
      </c>
      <c r="B120" s="3">
        <f>IF(OR((C112="~"),(C120="~")),"~","")</f>
      </c>
      <c r="C120" s="60"/>
    </row>
    <row r="121" spans="1:3" ht="12.75">
      <c r="A121" s="12">
        <f t="shared" si="40"/>
        <v>10</v>
      </c>
      <c r="C121" s="57" t="s">
        <v>278</v>
      </c>
    </row>
    <row r="122" spans="1:16" ht="12.75">
      <c r="A122" s="12">
        <f t="shared" si="40"/>
        <v>11</v>
      </c>
      <c r="B122" s="3">
        <f>IF(OR((C121="~"),(C122="~")),"~","")</f>
      </c>
      <c r="C122" s="58" t="s">
        <v>274</v>
      </c>
      <c r="E122" s="14">
        <v>13839956.912858322</v>
      </c>
      <c r="G122" s="14">
        <v>8541998.204311773</v>
      </c>
      <c r="H122" s="14">
        <v>1464389.0041658864</v>
      </c>
      <c r="I122" s="14">
        <v>1535917.720868456</v>
      </c>
      <c r="J122" s="14">
        <v>917994.5216212319</v>
      </c>
      <c r="K122" s="14">
        <v>476220.7615278838</v>
      </c>
      <c r="L122" s="14">
        <v>242529.1722504088</v>
      </c>
      <c r="M122" s="14">
        <v>183312.84967946663</v>
      </c>
      <c r="N122" s="14">
        <v>405795.6229868481</v>
      </c>
      <c r="O122" s="14">
        <v>38785.99873061662</v>
      </c>
      <c r="P122" s="14">
        <v>33013.05671575016</v>
      </c>
    </row>
    <row r="123" spans="1:16" ht="12.75">
      <c r="A123" s="12">
        <f t="shared" si="40"/>
        <v>12</v>
      </c>
      <c r="B123" s="3">
        <f>IF(OR((C121="~"),(C123="~")),"~","")</f>
      </c>
      <c r="C123" s="58" t="s">
        <v>275</v>
      </c>
      <c r="E123" s="14">
        <v>51471743.612259924</v>
      </c>
      <c r="G123" s="14">
        <v>25180261.128683224</v>
      </c>
      <c r="H123" s="14">
        <v>6187942.944343502</v>
      </c>
      <c r="I123" s="14">
        <v>7191336.513806861</v>
      </c>
      <c r="J123" s="14">
        <v>4927064.388085565</v>
      </c>
      <c r="K123" s="14">
        <v>3357662.1492494736</v>
      </c>
      <c r="L123" s="14">
        <v>1523448.8332869182</v>
      </c>
      <c r="M123" s="14">
        <v>1235208.7231026404</v>
      </c>
      <c r="N123" s="14">
        <v>1542437.4547593887</v>
      </c>
      <c r="O123" s="14">
        <v>197478.61364502035</v>
      </c>
      <c r="P123" s="14">
        <v>128902.86329732712</v>
      </c>
    </row>
    <row r="124" spans="1:16" ht="12.75">
      <c r="A124" s="12">
        <f t="shared" si="40"/>
        <v>13</v>
      </c>
      <c r="B124" s="3">
        <f>IF(OR((C121="~"),(C124="~")),"~","")</f>
      </c>
      <c r="C124" s="58" t="s">
        <v>276</v>
      </c>
      <c r="E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</row>
    <row r="125" spans="1:16" ht="12.75">
      <c r="A125" s="12">
        <f t="shared" si="40"/>
        <v>14</v>
      </c>
      <c r="B125" s="3" t="str">
        <f>IF(OR((C121="~"),(C125="~")),"~","")</f>
        <v>~</v>
      </c>
      <c r="C125" s="58" t="s">
        <v>277</v>
      </c>
      <c r="E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</row>
    <row r="126" spans="1:16" ht="12.75">
      <c r="A126" s="12">
        <f t="shared" si="40"/>
        <v>15</v>
      </c>
      <c r="B126" s="3" t="str">
        <f>IF(OR((C121="~"),(C126="~")),"~","")</f>
        <v>~</v>
      </c>
      <c r="C126" s="58" t="s">
        <v>277</v>
      </c>
      <c r="E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</row>
    <row r="127" spans="1:16" ht="12.75">
      <c r="A127" s="12">
        <f t="shared" si="40"/>
        <v>16</v>
      </c>
      <c r="B127" s="3" t="str">
        <f>IF(OR((C121="~"),(C127="~")),"~","")</f>
        <v>~</v>
      </c>
      <c r="C127" s="58" t="s">
        <v>277</v>
      </c>
      <c r="E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</row>
    <row r="128" spans="1:16" ht="12.75">
      <c r="A128" s="12">
        <f t="shared" si="40"/>
        <v>17</v>
      </c>
      <c r="B128" s="3">
        <f>IF(OR((C121="~"),(C128="~")),"~","")</f>
      </c>
      <c r="C128" s="59" t="str">
        <f>IF(C121="~","~","Sub-total")</f>
        <v>Sub-total</v>
      </c>
      <c r="D128" s="59"/>
      <c r="E128" s="59">
        <f>SUM(E122:E127)</f>
        <v>65311700.52511825</v>
      </c>
      <c r="F128" s="59"/>
      <c r="G128" s="59">
        <f aca="true" t="shared" si="42" ref="G128:P128">SUM(G122:G127)</f>
        <v>33722259.332995</v>
      </c>
      <c r="H128" s="59">
        <f t="shared" si="42"/>
        <v>7652331.948509388</v>
      </c>
      <c r="I128" s="59">
        <f t="shared" si="42"/>
        <v>8727254.234675316</v>
      </c>
      <c r="J128" s="59">
        <f t="shared" si="42"/>
        <v>5845058.9097067965</v>
      </c>
      <c r="K128" s="59">
        <f t="shared" si="42"/>
        <v>3833882.9107773574</v>
      </c>
      <c r="L128" s="59">
        <f t="shared" si="42"/>
        <v>1765978.005537327</v>
      </c>
      <c r="M128" s="59">
        <f t="shared" si="42"/>
        <v>1418521.572782107</v>
      </c>
      <c r="N128" s="59">
        <f t="shared" si="42"/>
        <v>1948233.0777462367</v>
      </c>
      <c r="O128" s="59">
        <f t="shared" si="42"/>
        <v>236264.61237563696</v>
      </c>
      <c r="P128" s="59">
        <f t="shared" si="42"/>
        <v>161915.92001307727</v>
      </c>
    </row>
    <row r="129" spans="1:2" ht="12.75">
      <c r="A129" s="12">
        <f t="shared" si="40"/>
        <v>18</v>
      </c>
      <c r="B129" s="3">
        <f>IF(OR((C121="~"),(C129="~")),"~","")</f>
      </c>
    </row>
    <row r="130" spans="1:3" ht="12.75">
      <c r="A130" s="12">
        <f t="shared" si="40"/>
        <v>19</v>
      </c>
      <c r="C130" s="57" t="s">
        <v>279</v>
      </c>
    </row>
    <row r="131" spans="1:16" ht="12.75">
      <c r="A131" s="12">
        <f t="shared" si="40"/>
        <v>20</v>
      </c>
      <c r="B131" s="3">
        <f>IF(OR((C130="~"),(C131="~")),"~","")</f>
      </c>
      <c r="C131" s="58" t="s">
        <v>274</v>
      </c>
      <c r="E131" s="14">
        <v>305373580.37840444</v>
      </c>
      <c r="G131" s="14">
        <v>199734954.28581548</v>
      </c>
      <c r="H131" s="14">
        <v>34479610.076254785</v>
      </c>
      <c r="I131" s="14">
        <v>31353550.85433147</v>
      </c>
      <c r="J131" s="14">
        <v>15698025.884122966</v>
      </c>
      <c r="K131" s="14">
        <v>15681288.63927741</v>
      </c>
      <c r="L131" s="14">
        <v>3477761.4324165513</v>
      </c>
      <c r="M131" s="14">
        <v>1415644.8540117529</v>
      </c>
      <c r="N131" s="14">
        <v>1801177.9848876514</v>
      </c>
      <c r="O131" s="14">
        <v>1439649.4865823032</v>
      </c>
      <c r="P131" s="14">
        <v>291916.8807041065</v>
      </c>
    </row>
    <row r="132" spans="1:16" ht="12.75">
      <c r="A132" s="12">
        <f t="shared" si="40"/>
        <v>21</v>
      </c>
      <c r="B132" s="3">
        <f>IF(OR((C130="~"),(C132="~")),"~","")</f>
      </c>
      <c r="C132" s="58" t="s">
        <v>275</v>
      </c>
      <c r="E132" s="14">
        <v>61422974.98204483</v>
      </c>
      <c r="G132" s="14">
        <v>28383709.73631483</v>
      </c>
      <c r="H132" s="14">
        <v>6975176.925272341</v>
      </c>
      <c r="I132" s="14">
        <v>8106222.853723449</v>
      </c>
      <c r="J132" s="14">
        <v>5553888.608575662</v>
      </c>
      <c r="K132" s="14">
        <v>3784826.032973385</v>
      </c>
      <c r="L132" s="14">
        <v>1717262.9489885124</v>
      </c>
      <c r="M132" s="14">
        <v>1392352.7512735862</v>
      </c>
      <c r="N132" s="14">
        <v>4911331.102567451</v>
      </c>
      <c r="O132" s="14">
        <v>222601.96668275123</v>
      </c>
      <c r="P132" s="14">
        <v>375602.0556728571</v>
      </c>
    </row>
    <row r="133" spans="1:16" ht="12.75">
      <c r="A133" s="12">
        <f t="shared" si="40"/>
        <v>22</v>
      </c>
      <c r="B133" s="3">
        <f>IF(OR((C130="~"),(C133="~")),"~","")</f>
      </c>
      <c r="C133" s="58" t="s">
        <v>276</v>
      </c>
      <c r="E133" s="14">
        <v>160189041.96183196</v>
      </c>
      <c r="G133" s="14">
        <v>115228591.73186229</v>
      </c>
      <c r="H133" s="14">
        <v>20438604.17214748</v>
      </c>
      <c r="I133" s="14">
        <v>8408465.027664024</v>
      </c>
      <c r="J133" s="14">
        <v>1825325.589551407</v>
      </c>
      <c r="K133" s="14">
        <v>3856468.268473934</v>
      </c>
      <c r="L133" s="14">
        <v>1042845.8821864099</v>
      </c>
      <c r="M133" s="14">
        <v>339973.2119640826</v>
      </c>
      <c r="N133" s="14">
        <v>191705.73589819047</v>
      </c>
      <c r="O133" s="14">
        <v>8800590.400026318</v>
      </c>
      <c r="P133" s="14">
        <v>56471.94205784166</v>
      </c>
    </row>
    <row r="134" spans="1:16" ht="12.75">
      <c r="A134" s="12">
        <f t="shared" si="40"/>
        <v>23</v>
      </c>
      <c r="B134" s="3" t="str">
        <f>IF(OR((C130="~"),(C134="~")),"~","")</f>
        <v>~</v>
      </c>
      <c r="C134" s="58" t="s">
        <v>277</v>
      </c>
      <c r="E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</row>
    <row r="135" spans="1:16" ht="12.75">
      <c r="A135" s="12">
        <f t="shared" si="40"/>
        <v>24</v>
      </c>
      <c r="B135" s="3" t="str">
        <f>IF(OR((C130="~"),(C135="~")),"~","")</f>
        <v>~</v>
      </c>
      <c r="C135" s="58" t="s">
        <v>277</v>
      </c>
      <c r="E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</row>
    <row r="136" spans="1:16" ht="12.75">
      <c r="A136" s="12">
        <f t="shared" si="40"/>
        <v>25</v>
      </c>
      <c r="B136" s="3" t="str">
        <f>IF(OR((C130="~"),(C136="~")),"~","")</f>
        <v>~</v>
      </c>
      <c r="C136" s="58" t="s">
        <v>277</v>
      </c>
      <c r="E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</row>
    <row r="137" spans="1:16" ht="12.75">
      <c r="A137" s="12">
        <f t="shared" si="40"/>
        <v>26</v>
      </c>
      <c r="B137" s="3">
        <f>IF(OR((C130="~"),(C137="~")),"~","")</f>
      </c>
      <c r="C137" s="59" t="str">
        <f>IF(C130="~","~","Sub-total")</f>
        <v>Sub-total</v>
      </c>
      <c r="D137" s="59"/>
      <c r="E137" s="59">
        <f>SUM(E131:E136)</f>
        <v>526985597.32228124</v>
      </c>
      <c r="F137" s="59"/>
      <c r="G137" s="59">
        <f aca="true" t="shared" si="43" ref="G137:P137">SUM(G131:G136)</f>
        <v>343347255.7539926</v>
      </c>
      <c r="H137" s="59">
        <f t="shared" si="43"/>
        <v>61893391.1736746</v>
      </c>
      <c r="I137" s="59">
        <f t="shared" si="43"/>
        <v>47868238.73571895</v>
      </c>
      <c r="J137" s="59">
        <f t="shared" si="43"/>
        <v>23077240.082250036</v>
      </c>
      <c r="K137" s="59">
        <f t="shared" si="43"/>
        <v>23322582.94072473</v>
      </c>
      <c r="L137" s="59">
        <f t="shared" si="43"/>
        <v>6237870.263591474</v>
      </c>
      <c r="M137" s="59">
        <f t="shared" si="43"/>
        <v>3147970.8172494215</v>
      </c>
      <c r="N137" s="59">
        <f t="shared" si="43"/>
        <v>6904214.823353292</v>
      </c>
      <c r="O137" s="59">
        <f t="shared" si="43"/>
        <v>10462841.853291372</v>
      </c>
      <c r="P137" s="59">
        <f t="shared" si="43"/>
        <v>723990.8784348052</v>
      </c>
    </row>
    <row r="138" ht="12.75">
      <c r="A138" s="12">
        <f>+A137+1</f>
        <v>27</v>
      </c>
    </row>
    <row r="139" spans="1:3" ht="12.75">
      <c r="A139" s="12">
        <f aca="true" t="shared" si="44" ref="A139:A146">+A138+1</f>
        <v>28</v>
      </c>
      <c r="C139" s="13" t="s">
        <v>61</v>
      </c>
    </row>
    <row r="140" spans="1:16" ht="12.75">
      <c r="A140" s="12">
        <f t="shared" si="44"/>
        <v>29</v>
      </c>
      <c r="B140" s="3">
        <f>IF(OR((C139="~"),(C140="~")),"~","")</f>
      </c>
      <c r="C140" s="58" t="s">
        <v>274</v>
      </c>
      <c r="E140" s="14">
        <v>645331708.27647</v>
      </c>
      <c r="G140" s="14">
        <v>416589092.2275132</v>
      </c>
      <c r="H140" s="14">
        <v>71655784.54502575</v>
      </c>
      <c r="I140" s="14">
        <v>70345611.70581715</v>
      </c>
      <c r="J140" s="14">
        <v>39002984.06127469</v>
      </c>
      <c r="K140" s="14">
        <v>27771017.57458568</v>
      </c>
      <c r="L140" s="14">
        <v>9634804.947287435</v>
      </c>
      <c r="M140" s="14">
        <v>6069374.472756857</v>
      </c>
      <c r="N140" s="14">
        <v>1281217.4525568266</v>
      </c>
      <c r="O140" s="14">
        <v>2424302.5068200813</v>
      </c>
      <c r="P140" s="14">
        <v>557518.7828324436</v>
      </c>
    </row>
    <row r="141" spans="1:16" ht="12.75">
      <c r="A141" s="12">
        <f t="shared" si="44"/>
        <v>30</v>
      </c>
      <c r="B141" s="3">
        <f>IF(OR((C139="~"),(C141="~")),"~","")</f>
      </c>
      <c r="C141" s="58" t="s">
        <v>275</v>
      </c>
      <c r="E141" s="14">
        <v>1344141635.3792982</v>
      </c>
      <c r="G141" s="14">
        <v>675838890.8827413</v>
      </c>
      <c r="H141" s="14">
        <v>166084556.27121973</v>
      </c>
      <c r="I141" s="14">
        <v>193015666.8597641</v>
      </c>
      <c r="J141" s="14">
        <v>132242541.66127203</v>
      </c>
      <c r="K141" s="14">
        <v>90119743.05233876</v>
      </c>
      <c r="L141" s="14">
        <v>40889407.95901425</v>
      </c>
      <c r="M141" s="14">
        <v>33153035.592607077</v>
      </c>
      <c r="N141" s="14">
        <v>6566184.799861075</v>
      </c>
      <c r="O141" s="14">
        <v>5300331.340364113</v>
      </c>
      <c r="P141" s="14">
        <v>931276.960115497</v>
      </c>
    </row>
    <row r="142" spans="1:16" ht="12.75">
      <c r="A142" s="12">
        <f t="shared" si="44"/>
        <v>31</v>
      </c>
      <c r="B142" s="3">
        <f>IF(OR((C139="~"),(C142="~")),"~","")</f>
      </c>
      <c r="C142" s="58" t="s">
        <v>276</v>
      </c>
      <c r="E142" s="14">
        <v>160189041.96183196</v>
      </c>
      <c r="G142" s="14">
        <v>115228591.73186229</v>
      </c>
      <c r="H142" s="14">
        <v>20438604.17214748</v>
      </c>
      <c r="I142" s="14">
        <v>8408465.027664024</v>
      </c>
      <c r="J142" s="14">
        <v>1825325.589551407</v>
      </c>
      <c r="K142" s="14">
        <v>3856468.268473934</v>
      </c>
      <c r="L142" s="14">
        <v>1042845.8821864099</v>
      </c>
      <c r="M142" s="14">
        <v>339973.2119640826</v>
      </c>
      <c r="N142" s="14">
        <v>191705.73589819047</v>
      </c>
      <c r="O142" s="14">
        <v>8800590.400026318</v>
      </c>
      <c r="P142" s="14">
        <v>56471.94205784166</v>
      </c>
    </row>
    <row r="143" spans="1:16" ht="12.75">
      <c r="A143" s="12">
        <f t="shared" si="44"/>
        <v>32</v>
      </c>
      <c r="B143" s="3" t="str">
        <f>IF(OR((C139="~"),(C143="~")),"~","")</f>
        <v>~</v>
      </c>
      <c r="C143" s="58" t="s">
        <v>277</v>
      </c>
      <c r="E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</row>
    <row r="144" spans="1:16" ht="12.75">
      <c r="A144" s="12">
        <f t="shared" si="44"/>
        <v>33</v>
      </c>
      <c r="B144" s="3" t="str">
        <f>IF(OR((C139="~"),(C144="~")),"~","")</f>
        <v>~</v>
      </c>
      <c r="C144" s="58" t="s">
        <v>277</v>
      </c>
      <c r="E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</row>
    <row r="145" spans="1:16" ht="12.75">
      <c r="A145" s="12">
        <f t="shared" si="44"/>
        <v>34</v>
      </c>
      <c r="B145" s="3" t="str">
        <f>IF(OR((C139="~"),(C145="~")),"~","")</f>
        <v>~</v>
      </c>
      <c r="C145" s="58" t="s">
        <v>277</v>
      </c>
      <c r="E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</row>
    <row r="146" spans="1:16" ht="13.5" thickBot="1">
      <c r="A146" s="12">
        <f t="shared" si="44"/>
        <v>35</v>
      </c>
      <c r="B146" s="38"/>
      <c r="C146" s="16" t="s">
        <v>63</v>
      </c>
      <c r="D146" s="16"/>
      <c r="E146" s="16">
        <f>SUM(G146:P146)</f>
        <v>2149662385.6176</v>
      </c>
      <c r="F146" s="16"/>
      <c r="G146" s="16">
        <f aca="true" t="shared" si="45" ref="G146:P146">SUM(G140:G145)</f>
        <v>1207656574.8421168</v>
      </c>
      <c r="H146" s="16">
        <f t="shared" si="45"/>
        <v>258178944.98839298</v>
      </c>
      <c r="I146" s="16">
        <f t="shared" si="45"/>
        <v>271769743.59324527</v>
      </c>
      <c r="J146" s="16">
        <f t="shared" si="45"/>
        <v>173070851.31209815</v>
      </c>
      <c r="K146" s="16">
        <f t="shared" si="45"/>
        <v>121747228.89539838</v>
      </c>
      <c r="L146" s="16">
        <f t="shared" si="45"/>
        <v>51567058.7884881</v>
      </c>
      <c r="M146" s="16">
        <f t="shared" si="45"/>
        <v>39562383.27732802</v>
      </c>
      <c r="N146" s="16">
        <f t="shared" si="45"/>
        <v>8039107.988316092</v>
      </c>
      <c r="O146" s="16">
        <f t="shared" si="45"/>
        <v>16525224.247210512</v>
      </c>
      <c r="P146" s="16">
        <f t="shared" si="45"/>
        <v>1545267.6850057824</v>
      </c>
    </row>
    <row r="147" spans="1:2" ht="13.5" thickTop="1">
      <c r="A147" s="12"/>
      <c r="B147" s="48"/>
    </row>
    <row r="148" spans="1:16" ht="15.75">
      <c r="A148" s="1" t="str">
        <f>A1</f>
        <v>Puget Sound Energy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 t="str">
        <f>A2</f>
        <v>ELECTRIC COST OF SERVICE SUMMARY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 t="s">
        <v>267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 t="s">
        <v>64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8.25">
      <c r="A153" s="42"/>
      <c r="B153" s="6"/>
      <c r="C153" s="6"/>
      <c r="D153" s="6"/>
      <c r="E153" s="6" t="s">
        <v>60</v>
      </c>
      <c r="F153" s="6"/>
      <c r="G153" s="56" t="str">
        <f aca="true" t="shared" si="46" ref="G153:P153">+G6</f>
        <v>Residential
Sch 7</v>
      </c>
      <c r="H153" s="56" t="str">
        <f t="shared" si="46"/>
        <v>Sec Volt
Sch 24
(kW&lt; 50)</v>
      </c>
      <c r="I153" s="56" t="str">
        <f t="shared" si="46"/>
        <v>Sec Volt
Sch 25
(kW &gt; 50 &amp; &lt; 350)</v>
      </c>
      <c r="J153" s="56" t="str">
        <f t="shared" si="46"/>
        <v>Sec Volt
Sch 26
(kW &gt; 350)</v>
      </c>
      <c r="K153" s="56" t="str">
        <f t="shared" si="46"/>
        <v>Pri Volt
Sch 31/35/43</v>
      </c>
      <c r="L153" s="56" t="str">
        <f t="shared" si="46"/>
        <v>Campus
Sch 40</v>
      </c>
      <c r="M153" s="56" t="str">
        <f t="shared" si="46"/>
        <v>High Volt
Sch 46/49</v>
      </c>
      <c r="N153" s="56" t="str">
        <f t="shared" si="46"/>
        <v>Choice /
Retail Wheeling
Sch 448/449</v>
      </c>
      <c r="O153" s="56" t="str">
        <f t="shared" si="46"/>
        <v>Lighting
Sch 50-59</v>
      </c>
      <c r="P153" s="56" t="str">
        <f t="shared" si="46"/>
        <v>Firm Resale /
Special Contract</v>
      </c>
    </row>
    <row r="154" spans="3:21" ht="15.75">
      <c r="C154" s="9" t="s">
        <v>15</v>
      </c>
      <c r="E154" s="9" t="s">
        <v>16</v>
      </c>
      <c r="G154" s="9" t="s">
        <v>17</v>
      </c>
      <c r="H154" s="9" t="s">
        <v>18</v>
      </c>
      <c r="I154" s="9" t="s">
        <v>19</v>
      </c>
      <c r="J154" s="10" t="s">
        <v>555</v>
      </c>
      <c r="K154" s="10" t="s">
        <v>20</v>
      </c>
      <c r="L154" s="10" t="s">
        <v>21</v>
      </c>
      <c r="M154" s="10" t="s">
        <v>89</v>
      </c>
      <c r="N154" s="10" t="s">
        <v>90</v>
      </c>
      <c r="O154" s="10" t="s">
        <v>22</v>
      </c>
      <c r="P154" s="10" t="s">
        <v>23</v>
      </c>
      <c r="Q154" s="2"/>
      <c r="R154" s="2"/>
      <c r="S154" s="2"/>
      <c r="T154" s="2"/>
      <c r="U154" s="2"/>
    </row>
    <row r="155" spans="1:3" ht="12.75">
      <c r="A155" s="12">
        <v>1</v>
      </c>
      <c r="C155" s="57" t="s">
        <v>273</v>
      </c>
    </row>
    <row r="156" spans="1:16" ht="12.75">
      <c r="A156" s="12">
        <f aca="true" t="shared" si="47" ref="A156:A180">+A155+1</f>
        <v>2</v>
      </c>
      <c r="B156" s="3">
        <f>IF(OR((C155="~"),(C156="~")),"~","")</f>
      </c>
      <c r="C156" s="58" t="s">
        <v>274</v>
      </c>
      <c r="E156" s="63">
        <f aca="true" t="shared" si="48" ref="E156:E162">ROUND(IF($C156=0,0,E113/E$191),6)</f>
        <v>0.012731</v>
      </c>
      <c r="F156" s="63"/>
      <c r="G156" s="63">
        <f aca="true" t="shared" si="49" ref="G156:P156">ROUND(IF($C156=0,0,G113/G$191),6)</f>
        <v>0.017645</v>
      </c>
      <c r="H156" s="63">
        <f t="shared" si="49"/>
        <v>0.012309</v>
      </c>
      <c r="I156" s="63">
        <f t="shared" si="49"/>
        <v>0.011109</v>
      </c>
      <c r="J156" s="63">
        <f t="shared" si="49"/>
        <v>0.009691</v>
      </c>
      <c r="K156" s="63">
        <f t="shared" si="49"/>
        <v>0.007377</v>
      </c>
      <c r="L156" s="63">
        <f t="shared" si="49"/>
        <v>0.008281</v>
      </c>
      <c r="M156" s="63">
        <f t="shared" si="49"/>
        <v>0.007719</v>
      </c>
      <c r="N156" s="63">
        <f t="shared" si="49"/>
        <v>-0.00044</v>
      </c>
      <c r="O156" s="63">
        <f t="shared" si="49"/>
        <v>0.010216</v>
      </c>
      <c r="P156" s="63">
        <f t="shared" si="49"/>
        <v>0.001446</v>
      </c>
    </row>
    <row r="157" spans="1:16" ht="12.75">
      <c r="A157" s="12">
        <f t="shared" si="47"/>
        <v>3</v>
      </c>
      <c r="B157" s="3">
        <f>IF(OR((C155="~"),(C157="~")),"~","")</f>
      </c>
      <c r="C157" s="58" t="s">
        <v>275</v>
      </c>
      <c r="E157" s="63">
        <f t="shared" si="48"/>
        <v>0.048066</v>
      </c>
      <c r="F157" s="63"/>
      <c r="G157" s="63">
        <f aca="true" t="shared" si="50" ref="G157:P157">ROUND(IF($C157=0,0,G114/G$191),6)</f>
        <v>0.05271</v>
      </c>
      <c r="H157" s="63">
        <f t="shared" si="50"/>
        <v>0.05271</v>
      </c>
      <c r="I157" s="63">
        <f t="shared" si="50"/>
        <v>0.05271</v>
      </c>
      <c r="J157" s="63">
        <f t="shared" si="50"/>
        <v>0.05271</v>
      </c>
      <c r="K157" s="63">
        <f t="shared" si="50"/>
        <v>0.05271</v>
      </c>
      <c r="L157" s="63">
        <f t="shared" si="50"/>
        <v>0.05271</v>
      </c>
      <c r="M157" s="63">
        <f t="shared" si="50"/>
        <v>0.05271</v>
      </c>
      <c r="N157" s="63">
        <f t="shared" si="50"/>
        <v>5.3E-05</v>
      </c>
      <c r="O157" s="63">
        <f t="shared" si="50"/>
        <v>0.05271</v>
      </c>
      <c r="P157" s="63">
        <f t="shared" si="50"/>
        <v>0.002654</v>
      </c>
    </row>
    <row r="158" spans="1:16" ht="12.75">
      <c r="A158" s="12">
        <f t="shared" si="47"/>
        <v>4</v>
      </c>
      <c r="B158" s="3">
        <f>IF(OR((C155="~"),(C158="~")),"~","")</f>
      </c>
      <c r="C158" s="58" t="s">
        <v>276</v>
      </c>
      <c r="D158" s="60"/>
      <c r="E158" s="63">
        <f t="shared" si="48"/>
        <v>0</v>
      </c>
      <c r="F158" s="63"/>
      <c r="G158" s="63">
        <f aca="true" t="shared" si="51" ref="G158:P158">ROUND(IF($C158=0,0,G115/G$191),6)</f>
        <v>0</v>
      </c>
      <c r="H158" s="63">
        <f t="shared" si="51"/>
        <v>0</v>
      </c>
      <c r="I158" s="63">
        <f t="shared" si="51"/>
        <v>0</v>
      </c>
      <c r="J158" s="63">
        <f t="shared" si="51"/>
        <v>0</v>
      </c>
      <c r="K158" s="63">
        <f t="shared" si="51"/>
        <v>0</v>
      </c>
      <c r="L158" s="63">
        <f t="shared" si="51"/>
        <v>0</v>
      </c>
      <c r="M158" s="63">
        <f t="shared" si="51"/>
        <v>0</v>
      </c>
      <c r="N158" s="63">
        <f t="shared" si="51"/>
        <v>0</v>
      </c>
      <c r="O158" s="63">
        <f t="shared" si="51"/>
        <v>0</v>
      </c>
      <c r="P158" s="63">
        <f t="shared" si="51"/>
        <v>0</v>
      </c>
    </row>
    <row r="159" spans="1:16" ht="12.75">
      <c r="A159" s="12">
        <f t="shared" si="47"/>
        <v>5</v>
      </c>
      <c r="B159" s="3" t="str">
        <f>IF(OR((C155="~"),(C159="~")),"~","")</f>
        <v>~</v>
      </c>
      <c r="C159" s="58" t="s">
        <v>277</v>
      </c>
      <c r="D159" s="60"/>
      <c r="E159" s="63">
        <f t="shared" si="48"/>
        <v>0</v>
      </c>
      <c r="F159" s="63"/>
      <c r="G159" s="63">
        <f aca="true" t="shared" si="52" ref="G159:P159">ROUND(IF($C159=0,0,G116/G$191),6)</f>
        <v>0</v>
      </c>
      <c r="H159" s="63">
        <f t="shared" si="52"/>
        <v>0</v>
      </c>
      <c r="I159" s="63">
        <f t="shared" si="52"/>
        <v>0</v>
      </c>
      <c r="J159" s="63">
        <f t="shared" si="52"/>
        <v>0</v>
      </c>
      <c r="K159" s="63">
        <f t="shared" si="52"/>
        <v>0</v>
      </c>
      <c r="L159" s="63">
        <f t="shared" si="52"/>
        <v>0</v>
      </c>
      <c r="M159" s="63">
        <f t="shared" si="52"/>
        <v>0</v>
      </c>
      <c r="N159" s="63">
        <f t="shared" si="52"/>
        <v>0</v>
      </c>
      <c r="O159" s="63">
        <f t="shared" si="52"/>
        <v>0</v>
      </c>
      <c r="P159" s="63">
        <f t="shared" si="52"/>
        <v>0</v>
      </c>
    </row>
    <row r="160" spans="1:16" ht="12.75">
      <c r="A160" s="12">
        <f t="shared" si="47"/>
        <v>6</v>
      </c>
      <c r="B160" s="3" t="str">
        <f>IF(OR((C155="~"),(C160="~")),"~","")</f>
        <v>~</v>
      </c>
      <c r="C160" s="58" t="s">
        <v>277</v>
      </c>
      <c r="D160" s="60"/>
      <c r="E160" s="63">
        <f t="shared" si="48"/>
        <v>0</v>
      </c>
      <c r="F160" s="63"/>
      <c r="G160" s="63">
        <f aca="true" t="shared" si="53" ref="G160:P160">ROUND(IF($C160=0,0,G117/G$191),6)</f>
        <v>0</v>
      </c>
      <c r="H160" s="63">
        <f t="shared" si="53"/>
        <v>0</v>
      </c>
      <c r="I160" s="63">
        <f t="shared" si="53"/>
        <v>0</v>
      </c>
      <c r="J160" s="63">
        <f t="shared" si="53"/>
        <v>0</v>
      </c>
      <c r="K160" s="63">
        <f t="shared" si="53"/>
        <v>0</v>
      </c>
      <c r="L160" s="63">
        <f t="shared" si="53"/>
        <v>0</v>
      </c>
      <c r="M160" s="63">
        <f t="shared" si="53"/>
        <v>0</v>
      </c>
      <c r="N160" s="63">
        <f t="shared" si="53"/>
        <v>0</v>
      </c>
      <c r="O160" s="63">
        <f t="shared" si="53"/>
        <v>0</v>
      </c>
      <c r="P160" s="63">
        <f t="shared" si="53"/>
        <v>0</v>
      </c>
    </row>
    <row r="161" spans="1:16" ht="12.75">
      <c r="A161" s="12">
        <f t="shared" si="47"/>
        <v>7</v>
      </c>
      <c r="B161" s="3" t="str">
        <f>IF(OR((C155="~"),(C161="~")),"~","")</f>
        <v>~</v>
      </c>
      <c r="C161" s="58" t="s">
        <v>277</v>
      </c>
      <c r="D161" s="60"/>
      <c r="E161" s="63">
        <f t="shared" si="48"/>
        <v>0</v>
      </c>
      <c r="F161" s="63"/>
      <c r="G161" s="63">
        <f aca="true" t="shared" si="54" ref="G161:P161">ROUND(IF($C161=0,0,G118/G$191),6)</f>
        <v>0</v>
      </c>
      <c r="H161" s="63">
        <f t="shared" si="54"/>
        <v>0</v>
      </c>
      <c r="I161" s="63">
        <f t="shared" si="54"/>
        <v>0</v>
      </c>
      <c r="J161" s="63">
        <f t="shared" si="54"/>
        <v>0</v>
      </c>
      <c r="K161" s="63">
        <f t="shared" si="54"/>
        <v>0</v>
      </c>
      <c r="L161" s="63">
        <f t="shared" si="54"/>
        <v>0</v>
      </c>
      <c r="M161" s="63">
        <f t="shared" si="54"/>
        <v>0</v>
      </c>
      <c r="N161" s="63">
        <f t="shared" si="54"/>
        <v>0</v>
      </c>
      <c r="O161" s="63">
        <f t="shared" si="54"/>
        <v>0</v>
      </c>
      <c r="P161" s="63">
        <f t="shared" si="54"/>
        <v>0</v>
      </c>
    </row>
    <row r="162" spans="1:16" ht="12.75">
      <c r="A162" s="12">
        <f t="shared" si="47"/>
        <v>8</v>
      </c>
      <c r="B162" s="3">
        <f>IF(OR((C155="~"),(C162="~")),"~","")</f>
      </c>
      <c r="C162" s="60" t="s">
        <v>65</v>
      </c>
      <c r="D162" s="60"/>
      <c r="E162" s="63">
        <f t="shared" si="48"/>
        <v>0.060798</v>
      </c>
      <c r="F162" s="63"/>
      <c r="G162" s="63">
        <f aca="true" t="shared" si="55" ref="G162:P162">ROUND(IF($C162=0,0,G119/G$191),6)</f>
        <v>0.070355</v>
      </c>
      <c r="H162" s="63">
        <f t="shared" si="55"/>
        <v>0.06502</v>
      </c>
      <c r="I162" s="63">
        <f t="shared" si="55"/>
        <v>0.063819</v>
      </c>
      <c r="J162" s="63">
        <f t="shared" si="55"/>
        <v>0.062401</v>
      </c>
      <c r="K162" s="63">
        <f t="shared" si="55"/>
        <v>0.060087</v>
      </c>
      <c r="L162" s="63">
        <f t="shared" si="55"/>
        <v>0.060991</v>
      </c>
      <c r="M162" s="63">
        <f t="shared" si="55"/>
        <v>0.06043</v>
      </c>
      <c r="N162" s="63">
        <f t="shared" si="55"/>
        <v>-0.000386</v>
      </c>
      <c r="O162" s="63">
        <f t="shared" si="55"/>
        <v>0.062926</v>
      </c>
      <c r="P162" s="63">
        <f t="shared" si="55"/>
        <v>0.0041</v>
      </c>
    </row>
    <row r="163" spans="1:16" ht="12.75">
      <c r="A163" s="12">
        <f t="shared" si="47"/>
        <v>9</v>
      </c>
      <c r="B163" s="3">
        <f>IF(OR((C155="~"),(C163="~")),"~","")</f>
      </c>
      <c r="C163" s="60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</row>
    <row r="164" spans="1:16" ht="12.75">
      <c r="A164" s="12">
        <f t="shared" si="47"/>
        <v>10</v>
      </c>
      <c r="C164" s="57" t="s">
        <v>278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</row>
    <row r="165" spans="1:16" ht="12.75">
      <c r="A165" s="12">
        <f t="shared" si="47"/>
        <v>11</v>
      </c>
      <c r="B165" s="3">
        <f>IF(OR((C164="~"),(C165="~")),"~","")</f>
      </c>
      <c r="C165" s="58" t="s">
        <v>274</v>
      </c>
      <c r="E165" s="63">
        <f aca="true" t="shared" si="56" ref="E165:E171">ROUND(IF($C165=0,0,E122/E$191),6)</f>
        <v>0.00054</v>
      </c>
      <c r="F165" s="63"/>
      <c r="G165" s="63">
        <f aca="true" t="shared" si="57" ref="G165:P165">ROUND(IF($C165=0,0,G122/G$191),6)</f>
        <v>0.000724</v>
      </c>
      <c r="H165" s="63">
        <f t="shared" si="57"/>
        <v>0.000505</v>
      </c>
      <c r="I165" s="63">
        <f t="shared" si="57"/>
        <v>0.000456</v>
      </c>
      <c r="J165" s="63">
        <f t="shared" si="57"/>
        <v>0.000397</v>
      </c>
      <c r="K165" s="63">
        <f t="shared" si="57"/>
        <v>0.000303</v>
      </c>
      <c r="L165" s="63">
        <f t="shared" si="57"/>
        <v>0.00034</v>
      </c>
      <c r="M165" s="63">
        <f t="shared" si="57"/>
        <v>0.000317</v>
      </c>
      <c r="N165" s="63">
        <f t="shared" si="57"/>
        <v>0.000193</v>
      </c>
      <c r="O165" s="63">
        <f t="shared" si="57"/>
        <v>0.000419</v>
      </c>
      <c r="P165" s="63">
        <f t="shared" si="57"/>
        <v>0.000205</v>
      </c>
    </row>
    <row r="166" spans="1:16" ht="12.75">
      <c r="A166" s="12">
        <f t="shared" si="47"/>
        <v>12</v>
      </c>
      <c r="B166" s="3">
        <f>IF(OR((C164="~"),(C166="~")),"~","")</f>
      </c>
      <c r="C166" s="58" t="s">
        <v>275</v>
      </c>
      <c r="E166" s="63">
        <f t="shared" si="56"/>
        <v>0.002009</v>
      </c>
      <c r="F166" s="63"/>
      <c r="G166" s="63">
        <f aca="true" t="shared" si="58" ref="G166:P166">ROUND(IF($C166=0,0,G123/G$191),6)</f>
        <v>0.002133</v>
      </c>
      <c r="H166" s="63">
        <f t="shared" si="58"/>
        <v>0.002133</v>
      </c>
      <c r="I166" s="63">
        <f t="shared" si="58"/>
        <v>0.002133</v>
      </c>
      <c r="J166" s="63">
        <f t="shared" si="58"/>
        <v>0.002133</v>
      </c>
      <c r="K166" s="63">
        <f t="shared" si="58"/>
        <v>0.002133</v>
      </c>
      <c r="L166" s="63">
        <f t="shared" si="58"/>
        <v>0.002133</v>
      </c>
      <c r="M166" s="63">
        <f t="shared" si="58"/>
        <v>0.002133</v>
      </c>
      <c r="N166" s="63">
        <f t="shared" si="58"/>
        <v>0.000732</v>
      </c>
      <c r="O166" s="63">
        <f t="shared" si="58"/>
        <v>0.002133</v>
      </c>
      <c r="P166" s="63">
        <f t="shared" si="58"/>
        <v>0.000802</v>
      </c>
    </row>
    <row r="167" spans="1:16" ht="12.75">
      <c r="A167" s="12">
        <f t="shared" si="47"/>
        <v>13</v>
      </c>
      <c r="B167" s="3">
        <f>IF(OR((C164="~"),(C167="~")),"~","")</f>
      </c>
      <c r="C167" s="58" t="s">
        <v>276</v>
      </c>
      <c r="D167" s="60"/>
      <c r="E167" s="63">
        <f t="shared" si="56"/>
        <v>0</v>
      </c>
      <c r="F167" s="63"/>
      <c r="G167" s="63">
        <f aca="true" t="shared" si="59" ref="G167:P167">ROUND(IF($C167=0,0,G124/G$191),6)</f>
        <v>0</v>
      </c>
      <c r="H167" s="63">
        <f t="shared" si="59"/>
        <v>0</v>
      </c>
      <c r="I167" s="63">
        <f t="shared" si="59"/>
        <v>0</v>
      </c>
      <c r="J167" s="63">
        <f t="shared" si="59"/>
        <v>0</v>
      </c>
      <c r="K167" s="63">
        <f t="shared" si="59"/>
        <v>0</v>
      </c>
      <c r="L167" s="63">
        <f t="shared" si="59"/>
        <v>0</v>
      </c>
      <c r="M167" s="63">
        <f t="shared" si="59"/>
        <v>0</v>
      </c>
      <c r="N167" s="63">
        <f t="shared" si="59"/>
        <v>0</v>
      </c>
      <c r="O167" s="63">
        <f t="shared" si="59"/>
        <v>0</v>
      </c>
      <c r="P167" s="63">
        <f t="shared" si="59"/>
        <v>0</v>
      </c>
    </row>
    <row r="168" spans="1:16" ht="12.75">
      <c r="A168" s="12">
        <f t="shared" si="47"/>
        <v>14</v>
      </c>
      <c r="B168" s="3" t="str">
        <f>IF(OR((C164="~"),(C168="~")),"~","")</f>
        <v>~</v>
      </c>
      <c r="C168" s="58" t="s">
        <v>277</v>
      </c>
      <c r="D168" s="60"/>
      <c r="E168" s="63">
        <f t="shared" si="56"/>
        <v>0</v>
      </c>
      <c r="F168" s="63"/>
      <c r="G168" s="63">
        <f aca="true" t="shared" si="60" ref="G168:P168">ROUND(IF($C168=0,0,G125/G$191),6)</f>
        <v>0</v>
      </c>
      <c r="H168" s="63">
        <f t="shared" si="60"/>
        <v>0</v>
      </c>
      <c r="I168" s="63">
        <f t="shared" si="60"/>
        <v>0</v>
      </c>
      <c r="J168" s="63">
        <f t="shared" si="60"/>
        <v>0</v>
      </c>
      <c r="K168" s="63">
        <f t="shared" si="60"/>
        <v>0</v>
      </c>
      <c r="L168" s="63">
        <f t="shared" si="60"/>
        <v>0</v>
      </c>
      <c r="M168" s="63">
        <f t="shared" si="60"/>
        <v>0</v>
      </c>
      <c r="N168" s="63">
        <f t="shared" si="60"/>
        <v>0</v>
      </c>
      <c r="O168" s="63">
        <f t="shared" si="60"/>
        <v>0</v>
      </c>
      <c r="P168" s="63">
        <f t="shared" si="60"/>
        <v>0</v>
      </c>
    </row>
    <row r="169" spans="1:16" ht="12.75">
      <c r="A169" s="12">
        <f t="shared" si="47"/>
        <v>15</v>
      </c>
      <c r="B169" s="3" t="str">
        <f>IF(OR((C164="~"),(C169="~")),"~","")</f>
        <v>~</v>
      </c>
      <c r="C169" s="58" t="s">
        <v>277</v>
      </c>
      <c r="D169" s="60"/>
      <c r="E169" s="63">
        <f t="shared" si="56"/>
        <v>0</v>
      </c>
      <c r="F169" s="63"/>
      <c r="G169" s="63">
        <f aca="true" t="shared" si="61" ref="G169:P169">ROUND(IF($C169=0,0,G126/G$191),6)</f>
        <v>0</v>
      </c>
      <c r="H169" s="63">
        <f t="shared" si="61"/>
        <v>0</v>
      </c>
      <c r="I169" s="63">
        <f t="shared" si="61"/>
        <v>0</v>
      </c>
      <c r="J169" s="63">
        <f t="shared" si="61"/>
        <v>0</v>
      </c>
      <c r="K169" s="63">
        <f t="shared" si="61"/>
        <v>0</v>
      </c>
      <c r="L169" s="63">
        <f t="shared" si="61"/>
        <v>0</v>
      </c>
      <c r="M169" s="63">
        <f t="shared" si="61"/>
        <v>0</v>
      </c>
      <c r="N169" s="63">
        <f t="shared" si="61"/>
        <v>0</v>
      </c>
      <c r="O169" s="63">
        <f t="shared" si="61"/>
        <v>0</v>
      </c>
      <c r="P169" s="63">
        <f t="shared" si="61"/>
        <v>0</v>
      </c>
    </row>
    <row r="170" spans="1:16" ht="12.75">
      <c r="A170" s="12">
        <f t="shared" si="47"/>
        <v>16</v>
      </c>
      <c r="B170" s="3" t="str">
        <f>IF(OR((C164="~"),(C170="~")),"~","")</f>
        <v>~</v>
      </c>
      <c r="C170" s="58" t="s">
        <v>277</v>
      </c>
      <c r="D170" s="60"/>
      <c r="E170" s="63">
        <f t="shared" si="56"/>
        <v>0</v>
      </c>
      <c r="F170" s="63"/>
      <c r="G170" s="63">
        <f aca="true" t="shared" si="62" ref="G170:P170">ROUND(IF($C170=0,0,G127/G$191),6)</f>
        <v>0</v>
      </c>
      <c r="H170" s="63">
        <f t="shared" si="62"/>
        <v>0</v>
      </c>
      <c r="I170" s="63">
        <f t="shared" si="62"/>
        <v>0</v>
      </c>
      <c r="J170" s="63">
        <f t="shared" si="62"/>
        <v>0</v>
      </c>
      <c r="K170" s="63">
        <f t="shared" si="62"/>
        <v>0</v>
      </c>
      <c r="L170" s="63">
        <f t="shared" si="62"/>
        <v>0</v>
      </c>
      <c r="M170" s="63">
        <f t="shared" si="62"/>
        <v>0</v>
      </c>
      <c r="N170" s="63">
        <f t="shared" si="62"/>
        <v>0</v>
      </c>
      <c r="O170" s="63">
        <f t="shared" si="62"/>
        <v>0</v>
      </c>
      <c r="P170" s="63">
        <f t="shared" si="62"/>
        <v>0</v>
      </c>
    </row>
    <row r="171" spans="1:16" ht="12.75">
      <c r="A171" s="12">
        <f t="shared" si="47"/>
        <v>17</v>
      </c>
      <c r="B171" s="3">
        <f>IF(OR((C164="~"),(C171="~")),"~","")</f>
      </c>
      <c r="C171" s="60" t="s">
        <v>65</v>
      </c>
      <c r="D171" s="60"/>
      <c r="E171" s="63">
        <f t="shared" si="56"/>
        <v>0.00255</v>
      </c>
      <c r="F171" s="63"/>
      <c r="G171" s="63">
        <f aca="true" t="shared" si="63" ref="G171:P171">ROUND(IF($C171=0,0,G128/G$191),6)</f>
        <v>0.002856</v>
      </c>
      <c r="H171" s="63">
        <f t="shared" si="63"/>
        <v>0.002638</v>
      </c>
      <c r="I171" s="63">
        <f t="shared" si="63"/>
        <v>0.002588</v>
      </c>
      <c r="J171" s="63">
        <f t="shared" si="63"/>
        <v>0.00253</v>
      </c>
      <c r="K171" s="63">
        <f t="shared" si="63"/>
        <v>0.002435</v>
      </c>
      <c r="L171" s="63">
        <f t="shared" si="63"/>
        <v>0.002472</v>
      </c>
      <c r="M171" s="63">
        <f t="shared" si="63"/>
        <v>0.002449</v>
      </c>
      <c r="N171" s="63">
        <f t="shared" si="63"/>
        <v>0.000925</v>
      </c>
      <c r="O171" s="63">
        <f t="shared" si="63"/>
        <v>0.002552</v>
      </c>
      <c r="P171" s="63">
        <f t="shared" si="63"/>
        <v>0.001007</v>
      </c>
    </row>
    <row r="172" spans="1:16" ht="12.75">
      <c r="A172" s="12">
        <f t="shared" si="47"/>
        <v>18</v>
      </c>
      <c r="B172" s="3">
        <f>IF(OR((C164="~"),(C172="~")),"~","")</f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</row>
    <row r="173" spans="1:16" ht="12.75">
      <c r="A173" s="12">
        <f t="shared" si="47"/>
        <v>19</v>
      </c>
      <c r="C173" s="57" t="s">
        <v>279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</row>
    <row r="174" spans="1:16" ht="12.75">
      <c r="A174" s="12">
        <f t="shared" si="47"/>
        <v>20</v>
      </c>
      <c r="B174" s="3">
        <f>IF(OR((C173="~"),(C174="~")),"~","")</f>
      </c>
      <c r="C174" s="58" t="s">
        <v>274</v>
      </c>
      <c r="E174" s="63">
        <f aca="true" t="shared" si="64" ref="E174:E180">ROUND(IF($C174=0,0,E131/E$191),6)</f>
        <v>0.011921</v>
      </c>
      <c r="F174" s="63"/>
      <c r="G174" s="63">
        <f aca="true" t="shared" si="65" ref="G174:P174">ROUND(IF($C174=0,0,G131/G$191),6)</f>
        <v>0.016919</v>
      </c>
      <c r="H174" s="63">
        <f t="shared" si="65"/>
        <v>0.011885</v>
      </c>
      <c r="I174" s="63">
        <f t="shared" si="65"/>
        <v>0.009299</v>
      </c>
      <c r="J174" s="63">
        <f t="shared" si="65"/>
        <v>0.006796</v>
      </c>
      <c r="K174" s="63">
        <f t="shared" si="65"/>
        <v>0.009961</v>
      </c>
      <c r="L174" s="63">
        <f t="shared" si="65"/>
        <v>0.004869</v>
      </c>
      <c r="M174" s="63">
        <f t="shared" si="65"/>
        <v>0.002444</v>
      </c>
      <c r="N174" s="63">
        <f t="shared" si="65"/>
        <v>0.000855</v>
      </c>
      <c r="O174" s="63">
        <f t="shared" si="65"/>
        <v>0.015549</v>
      </c>
      <c r="P174" s="63">
        <f t="shared" si="65"/>
        <v>0.001815</v>
      </c>
    </row>
    <row r="175" spans="1:16" ht="12.75">
      <c r="A175" s="12">
        <f t="shared" si="47"/>
        <v>21</v>
      </c>
      <c r="B175" s="3">
        <f>IF(OR((C173="~"),(C175="~")),"~","")</f>
      </c>
      <c r="C175" s="58" t="s">
        <v>275</v>
      </c>
      <c r="E175" s="63">
        <f t="shared" si="64"/>
        <v>0.002398</v>
      </c>
      <c r="F175" s="63"/>
      <c r="G175" s="63">
        <f aca="true" t="shared" si="66" ref="G175:P175">ROUND(IF($C175=0,0,G132/G$191),6)</f>
        <v>0.002404</v>
      </c>
      <c r="H175" s="63">
        <f t="shared" si="66"/>
        <v>0.002404</v>
      </c>
      <c r="I175" s="63">
        <f t="shared" si="66"/>
        <v>0.002404</v>
      </c>
      <c r="J175" s="63">
        <f t="shared" si="66"/>
        <v>0.002404</v>
      </c>
      <c r="K175" s="63">
        <f t="shared" si="66"/>
        <v>0.002404</v>
      </c>
      <c r="L175" s="63">
        <f t="shared" si="66"/>
        <v>0.002404</v>
      </c>
      <c r="M175" s="63">
        <f t="shared" si="66"/>
        <v>0.002404</v>
      </c>
      <c r="N175" s="63">
        <f t="shared" si="66"/>
        <v>0.002332</v>
      </c>
      <c r="O175" s="63">
        <f t="shared" si="66"/>
        <v>0.002404</v>
      </c>
      <c r="P175" s="63">
        <f t="shared" si="66"/>
        <v>0.002336</v>
      </c>
    </row>
    <row r="176" spans="1:16" ht="12.75">
      <c r="A176" s="12">
        <f t="shared" si="47"/>
        <v>22</v>
      </c>
      <c r="B176" s="3">
        <f>IF(OR((C173="~"),(C176="~")),"~","")</f>
      </c>
      <c r="C176" s="58" t="s">
        <v>276</v>
      </c>
      <c r="D176" s="60"/>
      <c r="E176" s="63">
        <f t="shared" si="64"/>
        <v>0.006254</v>
      </c>
      <c r="F176" s="63"/>
      <c r="G176" s="63">
        <f aca="true" t="shared" si="67" ref="G176:P176">ROUND(IF($C176=0,0,G133/G$191),6)</f>
        <v>0.009761</v>
      </c>
      <c r="H176" s="63">
        <f t="shared" si="67"/>
        <v>0.007045</v>
      </c>
      <c r="I176" s="63">
        <f t="shared" si="67"/>
        <v>0.002494</v>
      </c>
      <c r="J176" s="63">
        <f t="shared" si="67"/>
        <v>0.00079</v>
      </c>
      <c r="K176" s="63">
        <f t="shared" si="67"/>
        <v>0.00245</v>
      </c>
      <c r="L176" s="63">
        <f t="shared" si="67"/>
        <v>0.00146</v>
      </c>
      <c r="M176" s="63">
        <f t="shared" si="67"/>
        <v>0.000587</v>
      </c>
      <c r="N176" s="63">
        <f t="shared" si="67"/>
        <v>9.1E-05</v>
      </c>
      <c r="O176" s="63">
        <f t="shared" si="67"/>
        <v>0.095053</v>
      </c>
      <c r="P176" s="63">
        <f t="shared" si="67"/>
        <v>0.000351</v>
      </c>
    </row>
    <row r="177" spans="1:16" ht="12.75">
      <c r="A177" s="12">
        <f t="shared" si="47"/>
        <v>23</v>
      </c>
      <c r="B177" s="3" t="str">
        <f>IF(OR((C173="~"),(C177="~")),"~","")</f>
        <v>~</v>
      </c>
      <c r="C177" s="58" t="s">
        <v>277</v>
      </c>
      <c r="D177" s="60"/>
      <c r="E177" s="63">
        <f t="shared" si="64"/>
        <v>0</v>
      </c>
      <c r="F177" s="63"/>
      <c r="G177" s="63">
        <f aca="true" t="shared" si="68" ref="G177:P177">ROUND(IF($C177=0,0,G134/G$191),6)</f>
        <v>0</v>
      </c>
      <c r="H177" s="63">
        <f t="shared" si="68"/>
        <v>0</v>
      </c>
      <c r="I177" s="63">
        <f t="shared" si="68"/>
        <v>0</v>
      </c>
      <c r="J177" s="63">
        <f t="shared" si="68"/>
        <v>0</v>
      </c>
      <c r="K177" s="63">
        <f t="shared" si="68"/>
        <v>0</v>
      </c>
      <c r="L177" s="63">
        <f t="shared" si="68"/>
        <v>0</v>
      </c>
      <c r="M177" s="63">
        <f t="shared" si="68"/>
        <v>0</v>
      </c>
      <c r="N177" s="63">
        <f t="shared" si="68"/>
        <v>0</v>
      </c>
      <c r="O177" s="63">
        <f t="shared" si="68"/>
        <v>0</v>
      </c>
      <c r="P177" s="63">
        <f t="shared" si="68"/>
        <v>0</v>
      </c>
    </row>
    <row r="178" spans="1:16" ht="12.75">
      <c r="A178" s="12">
        <f t="shared" si="47"/>
        <v>24</v>
      </c>
      <c r="B178" s="3" t="str">
        <f>IF(OR((C173="~"),(C178="~")),"~","")</f>
        <v>~</v>
      </c>
      <c r="C178" s="58" t="s">
        <v>277</v>
      </c>
      <c r="D178" s="60"/>
      <c r="E178" s="63">
        <f t="shared" si="64"/>
        <v>0</v>
      </c>
      <c r="F178" s="63"/>
      <c r="G178" s="63">
        <f aca="true" t="shared" si="69" ref="G178:P178">ROUND(IF($C178=0,0,G135/G$191),6)</f>
        <v>0</v>
      </c>
      <c r="H178" s="63">
        <f t="shared" si="69"/>
        <v>0</v>
      </c>
      <c r="I178" s="63">
        <f t="shared" si="69"/>
        <v>0</v>
      </c>
      <c r="J178" s="63">
        <f t="shared" si="69"/>
        <v>0</v>
      </c>
      <c r="K178" s="63">
        <f t="shared" si="69"/>
        <v>0</v>
      </c>
      <c r="L178" s="63">
        <f t="shared" si="69"/>
        <v>0</v>
      </c>
      <c r="M178" s="63">
        <f t="shared" si="69"/>
        <v>0</v>
      </c>
      <c r="N178" s="63">
        <f t="shared" si="69"/>
        <v>0</v>
      </c>
      <c r="O178" s="63">
        <f t="shared" si="69"/>
        <v>0</v>
      </c>
      <c r="P178" s="63">
        <f t="shared" si="69"/>
        <v>0</v>
      </c>
    </row>
    <row r="179" spans="1:16" ht="12.75">
      <c r="A179" s="12">
        <f t="shared" si="47"/>
        <v>25</v>
      </c>
      <c r="B179" s="3" t="str">
        <f>IF(OR((C173="~"),(C179="~")),"~","")</f>
        <v>~</v>
      </c>
      <c r="C179" s="58" t="s">
        <v>277</v>
      </c>
      <c r="D179" s="60"/>
      <c r="E179" s="63">
        <f t="shared" si="64"/>
        <v>0</v>
      </c>
      <c r="F179" s="63"/>
      <c r="G179" s="63">
        <f aca="true" t="shared" si="70" ref="G179:P179">ROUND(IF($C179=0,0,G136/G$191),6)</f>
        <v>0</v>
      </c>
      <c r="H179" s="63">
        <f t="shared" si="70"/>
        <v>0</v>
      </c>
      <c r="I179" s="63">
        <f t="shared" si="70"/>
        <v>0</v>
      </c>
      <c r="J179" s="63">
        <f t="shared" si="70"/>
        <v>0</v>
      </c>
      <c r="K179" s="63">
        <f t="shared" si="70"/>
        <v>0</v>
      </c>
      <c r="L179" s="63">
        <f t="shared" si="70"/>
        <v>0</v>
      </c>
      <c r="M179" s="63">
        <f t="shared" si="70"/>
        <v>0</v>
      </c>
      <c r="N179" s="63">
        <f t="shared" si="70"/>
        <v>0</v>
      </c>
      <c r="O179" s="63">
        <f t="shared" si="70"/>
        <v>0</v>
      </c>
      <c r="P179" s="63">
        <f t="shared" si="70"/>
        <v>0</v>
      </c>
    </row>
    <row r="180" spans="1:16" ht="12.75">
      <c r="A180" s="12">
        <f t="shared" si="47"/>
        <v>26</v>
      </c>
      <c r="B180" s="3">
        <f>IF(OR((C173="~"),(C180="~")),"~","")</f>
      </c>
      <c r="C180" s="60" t="s">
        <v>65</v>
      </c>
      <c r="D180" s="60"/>
      <c r="E180" s="63">
        <f t="shared" si="64"/>
        <v>0.020573</v>
      </c>
      <c r="F180" s="63"/>
      <c r="G180" s="63">
        <f aca="true" t="shared" si="71" ref="G180:P180">ROUND(IF($C180=0,0,G137/G$191),6)</f>
        <v>0.029083</v>
      </c>
      <c r="H180" s="63">
        <f t="shared" si="71"/>
        <v>0.021334</v>
      </c>
      <c r="I180" s="63">
        <f t="shared" si="71"/>
        <v>0.014197</v>
      </c>
      <c r="J180" s="63">
        <f t="shared" si="71"/>
        <v>0.00999</v>
      </c>
      <c r="K180" s="63">
        <f t="shared" si="71"/>
        <v>0.014815</v>
      </c>
      <c r="L180" s="63">
        <f t="shared" si="71"/>
        <v>0.008733</v>
      </c>
      <c r="M180" s="63">
        <f t="shared" si="71"/>
        <v>0.005436</v>
      </c>
      <c r="N180" s="63">
        <f t="shared" si="71"/>
        <v>0.003278</v>
      </c>
      <c r="O180" s="63">
        <f t="shared" si="71"/>
        <v>0.113006</v>
      </c>
      <c r="P180" s="63">
        <f t="shared" si="71"/>
        <v>0.004502</v>
      </c>
    </row>
    <row r="181" spans="1:16" ht="12.75">
      <c r="A181" s="12">
        <f>+A180+1</f>
        <v>27</v>
      </c>
      <c r="B181" s="64"/>
      <c r="C181" s="48"/>
      <c r="D181" s="48"/>
      <c r="E181" s="65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</row>
    <row r="182" spans="1:16" ht="12.75">
      <c r="A182" s="12">
        <f aca="true" t="shared" si="72" ref="A182:A191">+A181+1</f>
        <v>28</v>
      </c>
      <c r="C182" s="13" t="s">
        <v>61</v>
      </c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</row>
    <row r="183" spans="1:16" ht="12.75">
      <c r="A183" s="12">
        <f t="shared" si="72"/>
        <v>29</v>
      </c>
      <c r="B183" s="3">
        <f>IF(OR((C182="~"),(C183="~")),"~","")</f>
      </c>
      <c r="C183" s="58" t="s">
        <v>274</v>
      </c>
      <c r="E183" s="63">
        <f aca="true" t="shared" si="73" ref="E183:E189">ROUND(IF($C183=0,0,E140/E$191),6)</f>
        <v>0.025193</v>
      </c>
      <c r="F183" s="63"/>
      <c r="G183" s="63">
        <f aca="true" t="shared" si="74" ref="G183:P183">ROUND(IF($C183=0,0,G140/G$191),6)</f>
        <v>0.035287</v>
      </c>
      <c r="H183" s="63">
        <f t="shared" si="74"/>
        <v>0.024699</v>
      </c>
      <c r="I183" s="63">
        <f t="shared" si="74"/>
        <v>0.020864</v>
      </c>
      <c r="J183" s="63">
        <f t="shared" si="74"/>
        <v>0.016884</v>
      </c>
      <c r="K183" s="63">
        <f t="shared" si="74"/>
        <v>0.017641</v>
      </c>
      <c r="L183" s="63">
        <f t="shared" si="74"/>
        <v>0.013489</v>
      </c>
      <c r="M183" s="63">
        <f t="shared" si="74"/>
        <v>0.01048</v>
      </c>
      <c r="N183" s="63">
        <f t="shared" si="74"/>
        <v>0.000608</v>
      </c>
      <c r="O183" s="63">
        <f t="shared" si="74"/>
        <v>0.026184</v>
      </c>
      <c r="P183" s="63">
        <f t="shared" si="74"/>
        <v>0.003467</v>
      </c>
    </row>
    <row r="184" spans="1:16" ht="12.75">
      <c r="A184" s="12">
        <f t="shared" si="72"/>
        <v>30</v>
      </c>
      <c r="B184" s="3">
        <f>IF(OR((C182="~"),(C184="~")),"~","")</f>
      </c>
      <c r="C184" s="58" t="s">
        <v>275</v>
      </c>
      <c r="E184" s="63">
        <f t="shared" si="73"/>
        <v>0.052474</v>
      </c>
      <c r="F184" s="63"/>
      <c r="G184" s="63">
        <f aca="true" t="shared" si="75" ref="G184:P184">ROUND(IF($C184=0,0,G141/G$191),6)</f>
        <v>0.057247</v>
      </c>
      <c r="H184" s="63">
        <f t="shared" si="75"/>
        <v>0.057247</v>
      </c>
      <c r="I184" s="63">
        <f t="shared" si="75"/>
        <v>0.057247</v>
      </c>
      <c r="J184" s="63">
        <f t="shared" si="75"/>
        <v>0.057247</v>
      </c>
      <c r="K184" s="63">
        <f t="shared" si="75"/>
        <v>0.057247</v>
      </c>
      <c r="L184" s="63">
        <f t="shared" si="75"/>
        <v>0.057247</v>
      </c>
      <c r="M184" s="63">
        <f t="shared" si="75"/>
        <v>0.057247</v>
      </c>
      <c r="N184" s="63">
        <f t="shared" si="75"/>
        <v>0.003118</v>
      </c>
      <c r="O184" s="63">
        <f t="shared" si="75"/>
        <v>0.057247</v>
      </c>
      <c r="P184" s="63">
        <f t="shared" si="75"/>
        <v>0.005791</v>
      </c>
    </row>
    <row r="185" spans="1:16" ht="12.75">
      <c r="A185" s="12">
        <f t="shared" si="72"/>
        <v>31</v>
      </c>
      <c r="B185" s="3">
        <f>IF(OR((C182="~"),(C185="~")),"~","")</f>
      </c>
      <c r="C185" s="58" t="s">
        <v>276</v>
      </c>
      <c r="E185" s="63">
        <f t="shared" si="73"/>
        <v>0.006254</v>
      </c>
      <c r="F185" s="63"/>
      <c r="G185" s="63">
        <f aca="true" t="shared" si="76" ref="G185:P185">ROUND(IF($C185=0,0,G142/G$191),6)</f>
        <v>0.009761</v>
      </c>
      <c r="H185" s="63">
        <f t="shared" si="76"/>
        <v>0.007045</v>
      </c>
      <c r="I185" s="63">
        <f t="shared" si="76"/>
        <v>0.002494</v>
      </c>
      <c r="J185" s="63">
        <f t="shared" si="76"/>
        <v>0.00079</v>
      </c>
      <c r="K185" s="63">
        <f t="shared" si="76"/>
        <v>0.00245</v>
      </c>
      <c r="L185" s="63">
        <f t="shared" si="76"/>
        <v>0.00146</v>
      </c>
      <c r="M185" s="63">
        <f t="shared" si="76"/>
        <v>0.000587</v>
      </c>
      <c r="N185" s="63">
        <f t="shared" si="76"/>
        <v>9.1E-05</v>
      </c>
      <c r="O185" s="63">
        <f t="shared" si="76"/>
        <v>0.095053</v>
      </c>
      <c r="P185" s="63">
        <f t="shared" si="76"/>
        <v>0.000351</v>
      </c>
    </row>
    <row r="186" spans="1:16" ht="12.75">
      <c r="A186" s="12">
        <f t="shared" si="72"/>
        <v>32</v>
      </c>
      <c r="B186" s="3" t="str">
        <f>IF(OR((C182="~"),(C186="~")),"~","")</f>
        <v>~</v>
      </c>
      <c r="C186" s="58" t="s">
        <v>277</v>
      </c>
      <c r="E186" s="63">
        <f t="shared" si="73"/>
        <v>0</v>
      </c>
      <c r="F186" s="63"/>
      <c r="G186" s="63">
        <f aca="true" t="shared" si="77" ref="G186:P186">ROUND(IF($C186=0,0,G143/G$191),6)</f>
        <v>0</v>
      </c>
      <c r="H186" s="63">
        <f t="shared" si="77"/>
        <v>0</v>
      </c>
      <c r="I186" s="63">
        <f t="shared" si="77"/>
        <v>0</v>
      </c>
      <c r="J186" s="63">
        <f t="shared" si="77"/>
        <v>0</v>
      </c>
      <c r="K186" s="63">
        <f t="shared" si="77"/>
        <v>0</v>
      </c>
      <c r="L186" s="63">
        <f t="shared" si="77"/>
        <v>0</v>
      </c>
      <c r="M186" s="63">
        <f t="shared" si="77"/>
        <v>0</v>
      </c>
      <c r="N186" s="63">
        <f t="shared" si="77"/>
        <v>0</v>
      </c>
      <c r="O186" s="63">
        <f t="shared" si="77"/>
        <v>0</v>
      </c>
      <c r="P186" s="63">
        <f t="shared" si="77"/>
        <v>0</v>
      </c>
    </row>
    <row r="187" spans="1:16" ht="12.75">
      <c r="A187" s="12">
        <f t="shared" si="72"/>
        <v>33</v>
      </c>
      <c r="B187" s="3" t="str">
        <f>IF(OR((C182="~"),(C187="~")),"~","")</f>
        <v>~</v>
      </c>
      <c r="C187" s="58" t="s">
        <v>277</v>
      </c>
      <c r="E187" s="63">
        <f t="shared" si="73"/>
        <v>0</v>
      </c>
      <c r="F187" s="63"/>
      <c r="G187" s="63">
        <f aca="true" t="shared" si="78" ref="G187:P187">ROUND(IF($C187=0,0,G144/G$191),6)</f>
        <v>0</v>
      </c>
      <c r="H187" s="63">
        <f t="shared" si="78"/>
        <v>0</v>
      </c>
      <c r="I187" s="63">
        <f t="shared" si="78"/>
        <v>0</v>
      </c>
      <c r="J187" s="63">
        <f t="shared" si="78"/>
        <v>0</v>
      </c>
      <c r="K187" s="63">
        <f t="shared" si="78"/>
        <v>0</v>
      </c>
      <c r="L187" s="63">
        <f t="shared" si="78"/>
        <v>0</v>
      </c>
      <c r="M187" s="63">
        <f t="shared" si="78"/>
        <v>0</v>
      </c>
      <c r="N187" s="63">
        <f t="shared" si="78"/>
        <v>0</v>
      </c>
      <c r="O187" s="63">
        <f t="shared" si="78"/>
        <v>0</v>
      </c>
      <c r="P187" s="63">
        <f t="shared" si="78"/>
        <v>0</v>
      </c>
    </row>
    <row r="188" spans="1:16" ht="12.75">
      <c r="A188" s="12">
        <f t="shared" si="72"/>
        <v>34</v>
      </c>
      <c r="B188" s="3" t="str">
        <f>IF(OR((C182="~"),(C188="~")),"~","")</f>
        <v>~</v>
      </c>
      <c r="C188" s="58" t="s">
        <v>277</v>
      </c>
      <c r="E188" s="63">
        <f t="shared" si="73"/>
        <v>0</v>
      </c>
      <c r="F188" s="63"/>
      <c r="G188" s="63">
        <f aca="true" t="shared" si="79" ref="G188:P188">ROUND(IF($C188=0,0,G145/G$191),6)</f>
        <v>0</v>
      </c>
      <c r="H188" s="63">
        <f t="shared" si="79"/>
        <v>0</v>
      </c>
      <c r="I188" s="63">
        <f t="shared" si="79"/>
        <v>0</v>
      </c>
      <c r="J188" s="63">
        <f t="shared" si="79"/>
        <v>0</v>
      </c>
      <c r="K188" s="63">
        <f t="shared" si="79"/>
        <v>0</v>
      </c>
      <c r="L188" s="63">
        <f t="shared" si="79"/>
        <v>0</v>
      </c>
      <c r="M188" s="63">
        <f t="shared" si="79"/>
        <v>0</v>
      </c>
      <c r="N188" s="63">
        <f t="shared" si="79"/>
        <v>0</v>
      </c>
      <c r="O188" s="63">
        <f t="shared" si="79"/>
        <v>0</v>
      </c>
      <c r="P188" s="63">
        <f t="shared" si="79"/>
        <v>0</v>
      </c>
    </row>
    <row r="189" spans="1:16" ht="12.75">
      <c r="A189" s="12">
        <f t="shared" si="72"/>
        <v>35</v>
      </c>
      <c r="B189" s="48"/>
      <c r="C189" s="60" t="s">
        <v>65</v>
      </c>
      <c r="E189" s="63">
        <f t="shared" si="73"/>
        <v>0.08392</v>
      </c>
      <c r="F189" s="63"/>
      <c r="G189" s="63">
        <f aca="true" t="shared" si="80" ref="G189:P189">ROUND(IF($C189=0,0,G146/G$191),6)</f>
        <v>0.102295</v>
      </c>
      <c r="H189" s="63">
        <f t="shared" si="80"/>
        <v>0.088991</v>
      </c>
      <c r="I189" s="63">
        <f t="shared" si="80"/>
        <v>0.080605</v>
      </c>
      <c r="J189" s="63">
        <f t="shared" si="80"/>
        <v>0.074922</v>
      </c>
      <c r="K189" s="63">
        <f t="shared" si="80"/>
        <v>0.077338</v>
      </c>
      <c r="L189" s="63">
        <f t="shared" si="80"/>
        <v>0.072197</v>
      </c>
      <c r="M189" s="63">
        <f t="shared" si="80"/>
        <v>0.068315</v>
      </c>
      <c r="N189" s="63">
        <f t="shared" si="80"/>
        <v>0.003817</v>
      </c>
      <c r="O189" s="63">
        <f t="shared" si="80"/>
        <v>0.178484</v>
      </c>
      <c r="P189" s="63">
        <f t="shared" si="80"/>
        <v>0.009609</v>
      </c>
    </row>
    <row r="190" spans="1:16" ht="12.75">
      <c r="A190" s="12">
        <f t="shared" si="72"/>
        <v>36</v>
      </c>
      <c r="B190" s="48">
        <f>IF(OR((C182="~"),(C190="~")),"~","")</f>
      </c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</row>
    <row r="191" spans="1:16" ht="12.75">
      <c r="A191" s="12">
        <f t="shared" si="72"/>
        <v>37</v>
      </c>
      <c r="B191" s="38"/>
      <c r="C191" s="40" t="s">
        <v>66</v>
      </c>
      <c r="D191" s="40"/>
      <c r="E191" s="67">
        <f>SUM(G191:P191)</f>
        <v>25615511258</v>
      </c>
      <c r="F191" s="68"/>
      <c r="G191" s="67">
        <v>11805595460</v>
      </c>
      <c r="H191" s="67">
        <v>2901175280</v>
      </c>
      <c r="I191" s="67">
        <v>3371609582</v>
      </c>
      <c r="J191" s="67">
        <v>2310020880</v>
      </c>
      <c r="K191" s="67">
        <v>1574217234</v>
      </c>
      <c r="L191" s="67">
        <v>714258702</v>
      </c>
      <c r="M191" s="67">
        <v>579119272</v>
      </c>
      <c r="N191" s="67">
        <v>2106106657</v>
      </c>
      <c r="O191" s="67">
        <v>92586515</v>
      </c>
      <c r="P191" s="67">
        <v>160821676</v>
      </c>
    </row>
    <row r="196" ht="12.75">
      <c r="C196" s="69" t="s">
        <v>67</v>
      </c>
    </row>
    <row r="197" spans="3:5" ht="12.75">
      <c r="C197" s="70" t="s">
        <v>68</v>
      </c>
      <c r="E197" s="71">
        <v>0</v>
      </c>
    </row>
    <row r="198" spans="3:5" ht="12.75">
      <c r="C198" s="70" t="s">
        <v>69</v>
      </c>
      <c r="E198" s="71">
        <v>0</v>
      </c>
    </row>
    <row r="199" spans="3:5" ht="12.75">
      <c r="C199" s="70" t="s">
        <v>70</v>
      </c>
      <c r="E199" s="71">
        <v>0</v>
      </c>
    </row>
    <row r="200" spans="3:5" ht="12.75">
      <c r="C200" s="70" t="s">
        <v>71</v>
      </c>
      <c r="E200" s="71">
        <v>0</v>
      </c>
    </row>
    <row r="201" spans="3:5" ht="12.75">
      <c r="C201" s="72" t="s">
        <v>72</v>
      </c>
      <c r="E201" s="73">
        <f>SUM(E197:E200)</f>
        <v>0</v>
      </c>
    </row>
    <row r="203" ht="12.75">
      <c r="C203" s="69" t="s">
        <v>73</v>
      </c>
    </row>
    <row r="204" spans="3:16" ht="12.75">
      <c r="C204" s="74" t="str">
        <f>+'DWH-3, p9-11 Expense Detail'!C58</f>
        <v>CAE - Uncollect Accts </v>
      </c>
      <c r="E204" s="14">
        <f>SUM(G204:P204)</f>
        <v>7455740.999999999</v>
      </c>
      <c r="G204" s="71">
        <f>+'DWH-3, p9-11 Expense Detail'!F58</f>
        <v>6544397.670315593</v>
      </c>
      <c r="H204" s="71">
        <f>+'DWH-3, p9-11 Expense Detail'!G58</f>
        <v>510605.5975765753</v>
      </c>
      <c r="I204" s="71">
        <f>+'DWH-3, p9-11 Expense Detail'!H58</f>
        <v>260428.07326688006</v>
      </c>
      <c r="J204" s="71">
        <f>+'DWH-3, p9-11 Expense Detail'!I58</f>
        <v>73565.69790833545</v>
      </c>
      <c r="K204" s="71">
        <f>+'DWH-3, p9-11 Expense Detail'!J58</f>
        <v>47709.853032100415</v>
      </c>
      <c r="L204" s="71">
        <f>+'DWH-3, p9-11 Expense Detail'!K58</f>
        <v>0</v>
      </c>
      <c r="M204" s="71">
        <f>+'DWH-3, p9-11 Expense Detail'!L58</f>
        <v>9531.933920565552</v>
      </c>
      <c r="N204" s="71">
        <f>+'DWH-3, p9-11 Expense Detail'!M58</f>
        <v>0</v>
      </c>
      <c r="O204" s="71">
        <f>+'DWH-3, p9-11 Expense Detail'!N58</f>
        <v>9502.173979950381</v>
      </c>
      <c r="P204" s="71">
        <f>+'DWH-3, p9-11 Expense Detail'!O58</f>
        <v>0</v>
      </c>
    </row>
    <row r="205" spans="3:16" ht="12.75">
      <c r="C205" s="74" t="str">
        <f>+'DWH-3, p9-11 Expense Detail'!C81</f>
        <v>A&amp;G Exp - Miscellaneous</v>
      </c>
      <c r="E205" s="14">
        <f>SUM(G205:P205)</f>
        <v>2637803</v>
      </c>
      <c r="G205" s="71">
        <f>+'DWH-3, p9-11 Expense Detail'!F81</f>
        <v>1594390.605503635</v>
      </c>
      <c r="H205" s="71">
        <f>+'DWH-3, p9-11 Expense Detail'!G81</f>
        <v>312809.8785717533</v>
      </c>
      <c r="I205" s="71">
        <f>+'DWH-3, p9-11 Expense Detail'!H81</f>
        <v>275254.25503630727</v>
      </c>
      <c r="J205" s="71">
        <f>+'DWH-3, p9-11 Expense Detail'!I81</f>
        <v>166533.45493215945</v>
      </c>
      <c r="K205" s="71">
        <f>+'DWH-3, p9-11 Expense Detail'!J81</f>
        <v>131309.15603764934</v>
      </c>
      <c r="L205" s="71">
        <f>+'DWH-3, p9-11 Expense Detail'!K81</f>
        <v>48587.51628224243</v>
      </c>
      <c r="M205" s="71">
        <f>+'DWH-3, p9-11 Expense Detail'!L81</f>
        <v>36079.45242300709</v>
      </c>
      <c r="N205" s="71">
        <f>+'DWH-3, p9-11 Expense Detail'!M81</f>
        <v>19228.244105092537</v>
      </c>
      <c r="O205" s="71">
        <f>+'DWH-3, p9-11 Expense Detail'!N81</f>
        <v>51244.141616407804</v>
      </c>
      <c r="P205" s="71">
        <f>+'DWH-3, p9-11 Expense Detail'!O81</f>
        <v>2366.29549174626</v>
      </c>
    </row>
    <row r="206" spans="3:16" ht="12.75">
      <c r="C206" s="74" t="str">
        <f>+'DWH-3, p9-11 Expense Detail'!C136</f>
        <v>Other Taxes - Wash Excise - Allocated</v>
      </c>
      <c r="E206" s="14">
        <f>SUM(G206:P206)</f>
        <v>80658080.99999997</v>
      </c>
      <c r="G206" s="71">
        <f>+'DWH-3, p9-11 Expense Detail'!F136</f>
        <v>45219504.84049046</v>
      </c>
      <c r="H206" s="71">
        <f>+'DWH-3, p9-11 Expense Detail'!G136</f>
        <v>9691018.141529925</v>
      </c>
      <c r="I206" s="71">
        <f>+'DWH-3, p9-11 Expense Detail'!H136</f>
        <v>10228351.758263906</v>
      </c>
      <c r="J206" s="71">
        <f>+'DWH-3, p9-11 Expense Detail'!I136</f>
        <v>6536731.795089709</v>
      </c>
      <c r="K206" s="71">
        <f>+'DWH-3, p9-11 Expense Detail'!J136</f>
        <v>4579600.282907035</v>
      </c>
      <c r="L206" s="71">
        <f>+'DWH-3, p9-11 Expense Detail'!K136</f>
        <v>1949638.8784255597</v>
      </c>
      <c r="M206" s="71">
        <f>+'DWH-3, p9-11 Expense Detail'!L136</f>
        <v>1501368.3017588018</v>
      </c>
      <c r="N206" s="71">
        <f>+'DWH-3, p9-11 Expense Detail'!M136</f>
        <v>278845.048222942</v>
      </c>
      <c r="O206" s="71">
        <f>+'DWH-3, p9-11 Expense Detail'!N136</f>
        <v>616461.6808577398</v>
      </c>
      <c r="P206" s="71">
        <f>+'DWH-3, p9-11 Expense Detail'!O136</f>
        <v>56560.27245391125</v>
      </c>
    </row>
    <row r="207" spans="3:16" ht="12.75">
      <c r="C207" s="74" t="str">
        <f>+'DWH-3, p9-11 Expense Detail'!C143</f>
        <v>Current Federal Income Tax @ Rate</v>
      </c>
      <c r="E207" s="14">
        <f>SUM(G207:P207)</f>
        <v>19561022</v>
      </c>
      <c r="G207" s="71">
        <f>+'DWH-3, p9-11 Expense Detail'!F143</f>
        <v>11346937.744779145</v>
      </c>
      <c r="H207" s="71">
        <f>+'DWH-3, p9-11 Expense Detail'!G143</f>
        <v>2327001.196891653</v>
      </c>
      <c r="I207" s="71">
        <f>+'DWH-3, p9-11 Expense Detail'!H143</f>
        <v>2365091.7863482507</v>
      </c>
      <c r="J207" s="71">
        <f>+'DWH-3, p9-11 Expense Detail'!I143</f>
        <v>1399535.0048240477</v>
      </c>
      <c r="K207" s="71">
        <f>+'DWH-3, p9-11 Expense Detail'!J143</f>
        <v>1072573.2052517869</v>
      </c>
      <c r="L207" s="71">
        <f>+'DWH-3, p9-11 Expense Detail'!K143</f>
        <v>405442.0820462155</v>
      </c>
      <c r="M207" s="71">
        <f>+'DWH-3, p9-11 Expense Detail'!L143</f>
        <v>285074.6092334587</v>
      </c>
      <c r="N207" s="71">
        <f>+'DWH-3, p9-11 Expense Detail'!M143</f>
        <v>176186.63391809777</v>
      </c>
      <c r="O207" s="71">
        <f>+'DWH-3, p9-11 Expense Detail'!N143</f>
        <v>162328.54354678397</v>
      </c>
      <c r="P207" s="71">
        <f>+'DWH-3, p9-11 Expense Detail'!O143</f>
        <v>20851.19316056244</v>
      </c>
    </row>
    <row r="209" spans="3:16" ht="12.75">
      <c r="C209" s="74" t="str">
        <f>+C204</f>
        <v>CAE - Uncollect Accts </v>
      </c>
      <c r="E209" s="14">
        <f>SUM(G209:P209)</f>
        <v>0</v>
      </c>
      <c r="G209" s="71">
        <f aca="true" t="shared" si="81" ref="G209:P209">+G204/$E204*$E197</f>
        <v>0</v>
      </c>
      <c r="H209" s="71">
        <f t="shared" si="81"/>
        <v>0</v>
      </c>
      <c r="I209" s="71">
        <f t="shared" si="81"/>
        <v>0</v>
      </c>
      <c r="J209" s="71">
        <f t="shared" si="81"/>
        <v>0</v>
      </c>
      <c r="K209" s="71">
        <f t="shared" si="81"/>
        <v>0</v>
      </c>
      <c r="L209" s="71">
        <f t="shared" si="81"/>
        <v>0</v>
      </c>
      <c r="M209" s="71">
        <f t="shared" si="81"/>
        <v>0</v>
      </c>
      <c r="N209" s="71">
        <f t="shared" si="81"/>
        <v>0</v>
      </c>
      <c r="O209" s="71">
        <f t="shared" si="81"/>
        <v>0</v>
      </c>
      <c r="P209" s="71">
        <f t="shared" si="81"/>
        <v>0</v>
      </c>
    </row>
    <row r="210" spans="3:16" ht="12.75">
      <c r="C210" s="74" t="str">
        <f>+C205</f>
        <v>A&amp;G Exp - Miscellaneous</v>
      </c>
      <c r="E210" s="14">
        <f>SUM(G210:P210)</f>
        <v>0</v>
      </c>
      <c r="G210" s="71">
        <f aca="true" t="shared" si="82" ref="G210:P210">+G205/$E205*$E198</f>
        <v>0</v>
      </c>
      <c r="H210" s="71">
        <f t="shared" si="82"/>
        <v>0</v>
      </c>
      <c r="I210" s="71">
        <f t="shared" si="82"/>
        <v>0</v>
      </c>
      <c r="J210" s="71">
        <f t="shared" si="82"/>
        <v>0</v>
      </c>
      <c r="K210" s="71">
        <f t="shared" si="82"/>
        <v>0</v>
      </c>
      <c r="L210" s="71">
        <f t="shared" si="82"/>
        <v>0</v>
      </c>
      <c r="M210" s="71">
        <f t="shared" si="82"/>
        <v>0</v>
      </c>
      <c r="N210" s="71">
        <f t="shared" si="82"/>
        <v>0</v>
      </c>
      <c r="O210" s="71">
        <f t="shared" si="82"/>
        <v>0</v>
      </c>
      <c r="P210" s="71">
        <f t="shared" si="82"/>
        <v>0</v>
      </c>
    </row>
    <row r="211" spans="3:16" ht="12.75">
      <c r="C211" s="74" t="str">
        <f>+C206</f>
        <v>Other Taxes - Wash Excise - Allocated</v>
      </c>
      <c r="E211" s="14">
        <f>SUM(G211:P211)</f>
        <v>0</v>
      </c>
      <c r="G211" s="71">
        <f aca="true" t="shared" si="83" ref="G211:P211">+G206/$E206*$E199</f>
        <v>0</v>
      </c>
      <c r="H211" s="71">
        <f t="shared" si="83"/>
        <v>0</v>
      </c>
      <c r="I211" s="71">
        <f t="shared" si="83"/>
        <v>0</v>
      </c>
      <c r="J211" s="71">
        <f t="shared" si="83"/>
        <v>0</v>
      </c>
      <c r="K211" s="71">
        <f t="shared" si="83"/>
        <v>0</v>
      </c>
      <c r="L211" s="71">
        <f t="shared" si="83"/>
        <v>0</v>
      </c>
      <c r="M211" s="71">
        <f t="shared" si="83"/>
        <v>0</v>
      </c>
      <c r="N211" s="71">
        <f t="shared" si="83"/>
        <v>0</v>
      </c>
      <c r="O211" s="71">
        <f t="shared" si="83"/>
        <v>0</v>
      </c>
      <c r="P211" s="71">
        <f t="shared" si="83"/>
        <v>0</v>
      </c>
    </row>
    <row r="212" spans="3:16" ht="12.75">
      <c r="C212" s="74" t="str">
        <f>+C207</f>
        <v>Current Federal Income Tax @ Rate</v>
      </c>
      <c r="E212" s="14">
        <f>SUM(G212:P212)</f>
        <v>0</v>
      </c>
      <c r="G212" s="71">
        <f aca="true" t="shared" si="84" ref="G212:P212">+G207/$E207*$E200</f>
        <v>0</v>
      </c>
      <c r="H212" s="71">
        <f t="shared" si="84"/>
        <v>0</v>
      </c>
      <c r="I212" s="71">
        <f t="shared" si="84"/>
        <v>0</v>
      </c>
      <c r="J212" s="71">
        <f t="shared" si="84"/>
        <v>0</v>
      </c>
      <c r="K212" s="71">
        <f t="shared" si="84"/>
        <v>0</v>
      </c>
      <c r="L212" s="71">
        <f t="shared" si="84"/>
        <v>0</v>
      </c>
      <c r="M212" s="71">
        <f t="shared" si="84"/>
        <v>0</v>
      </c>
      <c r="N212" s="71">
        <f t="shared" si="84"/>
        <v>0</v>
      </c>
      <c r="O212" s="71">
        <f t="shared" si="84"/>
        <v>0</v>
      </c>
      <c r="P212" s="71">
        <f t="shared" si="84"/>
        <v>0</v>
      </c>
    </row>
    <row r="214" spans="3:16" ht="12.75">
      <c r="C214" s="69" t="s">
        <v>54</v>
      </c>
      <c r="E214" s="14">
        <f>SUM(G214:P214)</f>
        <v>148443904.00000003</v>
      </c>
      <c r="G214" s="71">
        <v>90905671.63098939</v>
      </c>
      <c r="H214" s="71">
        <v>15781580.284142885</v>
      </c>
      <c r="I214" s="71">
        <v>11488273.793054843</v>
      </c>
      <c r="J214" s="71">
        <v>14025672.610291177</v>
      </c>
      <c r="K214" s="71">
        <v>7539790.584744343</v>
      </c>
      <c r="L214" s="71">
        <v>3896415.629850002</v>
      </c>
      <c r="M214" s="71">
        <v>2959052.109043636</v>
      </c>
      <c r="N214" s="71">
        <v>515721.26175911777</v>
      </c>
      <c r="O214" s="71">
        <v>1035822.0961246096</v>
      </c>
      <c r="P214" s="71">
        <v>295904</v>
      </c>
    </row>
  </sheetData>
  <sheetProtection/>
  <mergeCells count="1">
    <mergeCell ref="C31:H31"/>
  </mergeCells>
  <printOptions horizontalCentered="1"/>
  <pageMargins left="0.25" right="0.25" top="0.6" bottom="0.75" header="0.22" footer="0.46"/>
  <pageSetup fitToHeight="7" horizontalDpi="300" verticalDpi="300" orientation="landscape" pageOrder="overThenDown" scale="54" r:id="rId1"/>
  <headerFooter alignWithMargins="0">
    <oddFooter>&amp;R&amp;"Times New Roman,Regular"Exhibit No.___(DWH-3)
Page &amp;P of &amp;N</oddFooter>
  </headerFooter>
  <rowBreaks count="3" manualBreakCount="3">
    <brk id="59" max="255" man="1"/>
    <brk id="104" max="255" man="1"/>
    <brk id="1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8"/>
  <dimension ref="A1:M3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6.421875" style="100" customWidth="1"/>
    <col min="2" max="2" width="59.57421875" style="100" customWidth="1"/>
    <col min="3" max="3" width="22.140625" style="100" customWidth="1"/>
    <col min="4" max="16384" width="9.140625" style="100" customWidth="1"/>
  </cols>
  <sheetData>
    <row r="1" spans="1:13" s="2" customFormat="1" ht="15.75">
      <c r="A1" s="75" t="s">
        <v>0</v>
      </c>
      <c r="B1" s="75"/>
      <c r="C1" s="75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.75">
      <c r="A2" s="75" t="s">
        <v>556</v>
      </c>
      <c r="B2" s="75"/>
      <c r="C2" s="75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5.75">
      <c r="A3" s="76" t="s">
        <v>562</v>
      </c>
      <c r="B3" s="75"/>
      <c r="C3" s="7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15.75">
      <c r="A4" s="75" t="s">
        <v>267</v>
      </c>
      <c r="B4" s="75"/>
      <c r="C4" s="75"/>
      <c r="D4" s="1"/>
      <c r="E4" s="1"/>
      <c r="F4" s="1"/>
      <c r="G4" s="1"/>
      <c r="H4" s="1"/>
      <c r="I4" s="1"/>
      <c r="J4" s="1"/>
      <c r="K4" s="1"/>
      <c r="L4" s="1"/>
      <c r="M4" s="1"/>
    </row>
    <row r="5" spans="1:3" s="79" customFormat="1" ht="12.75">
      <c r="A5" s="77"/>
      <c r="B5" s="78"/>
      <c r="C5" s="78"/>
    </row>
    <row r="6" spans="1:3" s="83" customFormat="1" ht="12.75">
      <c r="A6" s="80" t="s">
        <v>2</v>
      </c>
      <c r="B6" s="81" t="s">
        <v>85</v>
      </c>
      <c r="C6" s="95" t="s">
        <v>563</v>
      </c>
    </row>
    <row r="7" spans="1:6" s="48" customFormat="1" ht="12.75">
      <c r="A7" s="84"/>
      <c r="B7" s="9" t="s">
        <v>15</v>
      </c>
      <c r="C7" s="9" t="s">
        <v>16</v>
      </c>
      <c r="D7" s="9"/>
      <c r="E7" s="9"/>
      <c r="F7" s="9"/>
    </row>
    <row r="8" spans="1:3" s="96" customFormat="1" ht="12.75">
      <c r="A8" s="12">
        <v>1</v>
      </c>
      <c r="B8" s="96" t="s">
        <v>157</v>
      </c>
      <c r="C8" s="96">
        <f>+'DWH-3, p9-11 Expense Detail'!E83</f>
        <v>91056335</v>
      </c>
    </row>
    <row r="9" spans="1:3" s="96" customFormat="1" ht="12.75">
      <c r="A9" s="12">
        <f aca="true" t="shared" si="0" ref="A9:A30">+A8+1</f>
        <v>2</v>
      </c>
      <c r="B9" s="97" t="s">
        <v>158</v>
      </c>
      <c r="C9" s="96">
        <f>+'DWH-3, p9-11 Expense Detail'!E99</f>
        <v>4423072</v>
      </c>
    </row>
    <row r="10" spans="1:3" s="96" customFormat="1" ht="12.75">
      <c r="A10" s="87">
        <f t="shared" si="0"/>
        <v>3</v>
      </c>
      <c r="B10" s="98" t="s">
        <v>159</v>
      </c>
      <c r="C10" s="99">
        <f>SUM(C8:C9)</f>
        <v>95479407</v>
      </c>
    </row>
    <row r="11" spans="1:3" ht="12.75">
      <c r="A11" s="12">
        <f t="shared" si="0"/>
        <v>4</v>
      </c>
      <c r="C11" s="96"/>
    </row>
    <row r="12" spans="1:3" ht="12.75">
      <c r="A12" s="12">
        <f t="shared" si="0"/>
        <v>5</v>
      </c>
      <c r="B12" s="96" t="s">
        <v>160</v>
      </c>
      <c r="C12" s="96">
        <f>+'DWH-3, p12-14 Ratebase Detail'!E75</f>
        <v>6699437657</v>
      </c>
    </row>
    <row r="13" spans="1:3" ht="12.75">
      <c r="A13" s="12">
        <f t="shared" si="0"/>
        <v>6</v>
      </c>
      <c r="B13" s="96" t="s">
        <v>161</v>
      </c>
      <c r="C13" s="96">
        <f>+'DWH-3, p12-14 Ratebase Detail'!E15</f>
        <v>255204005</v>
      </c>
    </row>
    <row r="14" spans="1:3" ht="12.75">
      <c r="A14" s="87">
        <f t="shared" si="0"/>
        <v>7</v>
      </c>
      <c r="B14" s="101" t="s">
        <v>162</v>
      </c>
      <c r="C14" s="99">
        <f>SUM(C12:C13)</f>
        <v>6954641662</v>
      </c>
    </row>
    <row r="15" ht="12.75">
      <c r="A15" s="12">
        <f t="shared" si="0"/>
        <v>8</v>
      </c>
    </row>
    <row r="16" spans="1:3" ht="12.75">
      <c r="A16" s="87">
        <f t="shared" si="0"/>
        <v>9</v>
      </c>
      <c r="B16" s="102" t="s">
        <v>163</v>
      </c>
      <c r="C16" s="103">
        <f>+C10/C14</f>
        <v>0.013728875136974671</v>
      </c>
    </row>
    <row r="17" ht="12.75">
      <c r="A17" s="12">
        <f t="shared" si="0"/>
        <v>10</v>
      </c>
    </row>
    <row r="18" spans="1:3" ht="12.75">
      <c r="A18" s="12">
        <f t="shared" si="0"/>
        <v>11</v>
      </c>
      <c r="B18" s="104" t="s">
        <v>164</v>
      </c>
      <c r="C18" s="105">
        <f>+'DWH-3, p9-11 Expense Detail'!E52</f>
        <v>25437647</v>
      </c>
    </row>
    <row r="19" spans="1:3" ht="12.75">
      <c r="A19" s="12">
        <f t="shared" si="0"/>
        <v>12</v>
      </c>
      <c r="B19" s="104" t="s">
        <v>165</v>
      </c>
      <c r="C19" s="105">
        <f>+'DWH-3, p9-11 Expense Detail'!E96</f>
        <v>50833726</v>
      </c>
    </row>
    <row r="20" spans="1:3" ht="12.75">
      <c r="A20" s="87">
        <f t="shared" si="0"/>
        <v>13</v>
      </c>
      <c r="B20" s="101" t="s">
        <v>166</v>
      </c>
      <c r="C20" s="99">
        <f>SUM(C18:C19)</f>
        <v>76271373</v>
      </c>
    </row>
    <row r="21" ht="12.75">
      <c r="A21" s="12">
        <f t="shared" si="0"/>
        <v>14</v>
      </c>
    </row>
    <row r="22" spans="1:3" ht="12.75">
      <c r="A22" s="12">
        <f t="shared" si="0"/>
        <v>15</v>
      </c>
      <c r="B22" s="106" t="s">
        <v>167</v>
      </c>
      <c r="C22" s="107">
        <f>+'DWH-3, p12-14 Ratebase Detail'!E59</f>
        <v>3136327552</v>
      </c>
    </row>
    <row r="23" ht="12.75">
      <c r="A23" s="12">
        <f t="shared" si="0"/>
        <v>16</v>
      </c>
    </row>
    <row r="24" spans="1:3" ht="12.75">
      <c r="A24" s="87">
        <f t="shared" si="0"/>
        <v>17</v>
      </c>
      <c r="B24" s="108" t="s">
        <v>168</v>
      </c>
      <c r="C24" s="103">
        <f>+C20/C22</f>
        <v>0.02431868857299762</v>
      </c>
    </row>
    <row r="25" ht="12.75">
      <c r="A25" s="12">
        <f t="shared" si="0"/>
        <v>18</v>
      </c>
    </row>
    <row r="26" spans="1:3" ht="12.75">
      <c r="A26" s="87">
        <f t="shared" si="0"/>
        <v>19</v>
      </c>
      <c r="B26" s="109" t="s">
        <v>169</v>
      </c>
      <c r="C26" s="103">
        <f>+C24+C16</f>
        <v>0.03804756370997229</v>
      </c>
    </row>
    <row r="27" ht="12.75">
      <c r="A27" s="12">
        <f t="shared" si="0"/>
        <v>20</v>
      </c>
    </row>
    <row r="28" spans="1:3" ht="12.75">
      <c r="A28" s="12">
        <f t="shared" si="0"/>
        <v>21</v>
      </c>
      <c r="B28" s="100" t="s">
        <v>170</v>
      </c>
      <c r="C28" s="110">
        <v>0.955788</v>
      </c>
    </row>
    <row r="29" ht="12.75">
      <c r="A29" s="12">
        <f t="shared" si="0"/>
        <v>22</v>
      </c>
    </row>
    <row r="30" spans="1:3" ht="13.5" thickBot="1">
      <c r="A30" s="92">
        <f t="shared" si="0"/>
        <v>23</v>
      </c>
      <c r="B30" s="111" t="s">
        <v>171</v>
      </c>
      <c r="C30" s="112">
        <f>ROUND(+C26/C28,6)</f>
        <v>0.039808</v>
      </c>
    </row>
    <row r="31" ht="13.5" thickTop="1"/>
  </sheetData>
  <sheetProtection/>
  <mergeCells count="4">
    <mergeCell ref="A1:C1"/>
    <mergeCell ref="A2:C2"/>
    <mergeCell ref="A3:C3"/>
    <mergeCell ref="A4:C4"/>
  </mergeCells>
  <printOptions horizontalCentered="1"/>
  <pageMargins left="0.25" right="0.25" top="0.6" bottom="0.89" header="0.22" footer="0.46"/>
  <pageSetup fitToHeight="4" horizontalDpi="600" verticalDpi="600" orientation="landscape" pageOrder="overThenDown" r:id="rId1"/>
  <headerFooter alignWithMargins="0">
    <oddFooter>&amp;R&amp;"Times New Roman,Regular"Exhibit No.___(DWH-3)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/>
  <dimension ref="A1:M2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0.8515625" style="3" customWidth="1"/>
    <col min="2" max="2" width="61.7109375" style="3" customWidth="1"/>
    <col min="3" max="3" width="26.28125" style="3" customWidth="1"/>
    <col min="4" max="16384" width="9.140625" style="3" customWidth="1"/>
  </cols>
  <sheetData>
    <row r="1" spans="1:13" s="2" customFormat="1" ht="15.75">
      <c r="A1" s="75" t="s">
        <v>0</v>
      </c>
      <c r="B1" s="75"/>
      <c r="C1" s="75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.75">
      <c r="A2" s="75" t="s">
        <v>556</v>
      </c>
      <c r="B2" s="75"/>
      <c r="C2" s="75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5.75">
      <c r="A3" s="76" t="s">
        <v>565</v>
      </c>
      <c r="B3" s="75"/>
      <c r="C3" s="7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75" t="s">
        <v>267</v>
      </c>
      <c r="B4" s="75"/>
      <c r="C4" s="75"/>
      <c r="D4" s="1"/>
      <c r="E4" s="1"/>
      <c r="F4" s="1"/>
      <c r="G4" s="1"/>
      <c r="H4" s="1"/>
      <c r="I4" s="1"/>
      <c r="J4" s="1"/>
      <c r="K4" s="1"/>
      <c r="L4" s="1"/>
      <c r="M4" s="1"/>
    </row>
    <row r="5" spans="1:3" s="79" customFormat="1" ht="12.75">
      <c r="A5" s="77"/>
      <c r="B5" s="78"/>
      <c r="C5" s="78"/>
    </row>
    <row r="6" spans="1:3" s="83" customFormat="1" ht="12.75">
      <c r="A6" s="80" t="s">
        <v>2</v>
      </c>
      <c r="B6" s="81" t="s">
        <v>85</v>
      </c>
      <c r="C6" s="82" t="s">
        <v>564</v>
      </c>
    </row>
    <row r="7" spans="1:6" s="48" customFormat="1" ht="12.75">
      <c r="A7" s="84"/>
      <c r="B7" s="9" t="s">
        <v>15</v>
      </c>
      <c r="C7" s="9" t="s">
        <v>16</v>
      </c>
      <c r="D7" s="9"/>
      <c r="E7" s="9"/>
      <c r="F7" s="9"/>
    </row>
    <row r="8" spans="1:2" s="60" customFormat="1" ht="12.75">
      <c r="A8" s="12">
        <v>1</v>
      </c>
      <c r="B8" s="60" t="s">
        <v>172</v>
      </c>
    </row>
    <row r="9" spans="1:3" s="60" customFormat="1" ht="12.75">
      <c r="A9" s="12">
        <f aca="true" t="shared" si="0" ref="A9:A24">+A8+1</f>
        <v>2</v>
      </c>
      <c r="B9" s="58" t="s">
        <v>173</v>
      </c>
      <c r="C9" s="71">
        <f>SUM('DWH-3, p9-11 Expense Detail'!E15,'DWH-3, p9-11 Expense Detail'!E23,'DWH-3, p9-11 Expense Detail'!E34)</f>
        <v>1070806030</v>
      </c>
    </row>
    <row r="10" spans="1:3" s="60" customFormat="1" ht="12.75">
      <c r="A10" s="12">
        <f t="shared" si="0"/>
        <v>3</v>
      </c>
      <c r="B10" s="58" t="s">
        <v>174</v>
      </c>
      <c r="C10" s="71">
        <f>SUM('DWH-3, p9-11 Expense Detail'!E27,'DWH-3, p9-11 Expense Detail'!E39)</f>
        <v>91223749</v>
      </c>
    </row>
    <row r="11" spans="1:3" ht="12.75">
      <c r="A11" s="12">
        <f t="shared" si="0"/>
        <v>4</v>
      </c>
      <c r="B11" s="58" t="s">
        <v>175</v>
      </c>
      <c r="C11" s="71">
        <f>+'DWH-3, p9-11 Expense Detail'!E52+'DWH-3, p9-11 Expense Detail'!E96</f>
        <v>76271373</v>
      </c>
    </row>
    <row r="12" spans="1:3" ht="12.75">
      <c r="A12" s="12">
        <f t="shared" si="0"/>
        <v>5</v>
      </c>
      <c r="B12" s="58" t="s">
        <v>176</v>
      </c>
      <c r="C12" s="71">
        <f>+'DWH-3, p9-11 Expense Detail'!E60</f>
        <v>42245306</v>
      </c>
    </row>
    <row r="13" spans="1:3" ht="12.75">
      <c r="A13" s="12">
        <f t="shared" si="0"/>
        <v>6</v>
      </c>
      <c r="B13" s="58" t="s">
        <v>177</v>
      </c>
      <c r="C13" s="71">
        <f>SUM('DWH-3, p9-11 Expense Detail'!E60,'DWH-3, p9-11 Expense Detail'!E70)</f>
        <v>44500397</v>
      </c>
    </row>
    <row r="14" spans="1:3" ht="12.75">
      <c r="A14" s="12">
        <f t="shared" si="0"/>
        <v>7</v>
      </c>
      <c r="B14" s="85" t="s">
        <v>178</v>
      </c>
      <c r="C14" s="71"/>
    </row>
    <row r="15" spans="1:3" ht="12.75">
      <c r="A15" s="12">
        <f t="shared" si="0"/>
        <v>8</v>
      </c>
      <c r="B15" s="86" t="s">
        <v>179</v>
      </c>
      <c r="C15" s="71">
        <f>-'DWH-3, p9-11 Expense Detail'!E15</f>
        <v>-270606517</v>
      </c>
    </row>
    <row r="16" spans="1:3" ht="12.75">
      <c r="A16" s="12">
        <f t="shared" si="0"/>
        <v>9</v>
      </c>
      <c r="B16" s="86" t="s">
        <v>180</v>
      </c>
      <c r="C16" s="71">
        <f>-'DWH-3, p9-11 Expense Detail'!E18</f>
        <v>-689216707</v>
      </c>
    </row>
    <row r="17" spans="1:3" ht="12.75">
      <c r="A17" s="12">
        <f t="shared" si="0"/>
        <v>10</v>
      </c>
      <c r="B17" s="86" t="s">
        <v>181</v>
      </c>
      <c r="C17" s="71">
        <f>-SUM('DWH-3, p9-11 Expense Detail'!E19:E22)</f>
        <v>-7994412</v>
      </c>
    </row>
    <row r="18" spans="1:3" ht="12.75">
      <c r="A18" s="12">
        <f t="shared" si="0"/>
        <v>11</v>
      </c>
      <c r="B18" s="86" t="s">
        <v>182</v>
      </c>
      <c r="C18" s="71">
        <f>-'DWH-3, p9-11 Expense Detail'!E26</f>
        <v>-81943498</v>
      </c>
    </row>
    <row r="19" spans="1:3" ht="12.75">
      <c r="A19" s="12">
        <f t="shared" si="0"/>
        <v>12</v>
      </c>
      <c r="B19" s="86" t="s">
        <v>183</v>
      </c>
      <c r="C19" s="71">
        <f>-'DWH-3, p9-11 Expense Detail'!E64</f>
        <v>-1010</v>
      </c>
    </row>
    <row r="20" spans="1:3" ht="12.75">
      <c r="A20" s="87">
        <f t="shared" si="0"/>
        <v>13</v>
      </c>
      <c r="B20" s="88" t="s">
        <v>184</v>
      </c>
      <c r="C20" s="89">
        <f>SUM(C8:C19)</f>
        <v>275284711</v>
      </c>
    </row>
    <row r="21" spans="1:3" ht="12.75">
      <c r="A21" s="12">
        <f t="shared" si="0"/>
        <v>14</v>
      </c>
      <c r="C21" s="90"/>
    </row>
    <row r="22" spans="1:3" ht="12.75">
      <c r="A22" s="12">
        <f t="shared" si="0"/>
        <v>15</v>
      </c>
      <c r="B22" s="70" t="s">
        <v>159</v>
      </c>
      <c r="C22" s="91">
        <f>+'DWH-3, p9-11 Expense Detail'!E83+'DWH-3, p9-11 Expense Detail'!E99</f>
        <v>95479407</v>
      </c>
    </row>
    <row r="23" ht="12.75">
      <c r="A23" s="12">
        <f t="shared" si="0"/>
        <v>16</v>
      </c>
    </row>
    <row r="24" spans="1:3" ht="13.5" thickBot="1">
      <c r="A24" s="92">
        <f t="shared" si="0"/>
        <v>17</v>
      </c>
      <c r="B24" s="93" t="s">
        <v>185</v>
      </c>
      <c r="C24" s="94">
        <f>ROUND(+C22/C20,2)</f>
        <v>0.35</v>
      </c>
    </row>
    <row r="25" ht="13.5" thickTop="1">
      <c r="A25" s="9"/>
    </row>
  </sheetData>
  <sheetProtection/>
  <mergeCells count="4">
    <mergeCell ref="A1:C1"/>
    <mergeCell ref="A2:C2"/>
    <mergeCell ref="A3:C3"/>
    <mergeCell ref="A4:C4"/>
  </mergeCells>
  <printOptions horizontalCentered="1"/>
  <pageMargins left="0.25" right="0.25" top="0.6" bottom="0.92" header="0.22" footer="0.46"/>
  <pageSetup fitToHeight="4" horizontalDpi="600" verticalDpi="600" orientation="landscape" pageOrder="overThenDown" r:id="rId1"/>
  <headerFooter alignWithMargins="0">
    <oddFooter>&amp;R&amp;"Times New Roman,Regular"Exhibit No.___(DWH-3)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Q28"/>
  <sheetViews>
    <sheetView showGridLines="0" workbookViewId="0" topLeftCell="A1">
      <pane xSplit="4" ySplit="6" topLeftCell="H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5.00390625" style="3" bestFit="1" customWidth="1"/>
    <col min="2" max="2" width="1.7109375" style="3" customWidth="1"/>
    <col min="3" max="3" width="33.140625" style="3" bestFit="1" customWidth="1"/>
    <col min="4" max="4" width="1.7109375" style="3" customWidth="1"/>
    <col min="5" max="5" width="15.57421875" style="3" bestFit="1" customWidth="1"/>
    <col min="6" max="6" width="1.7109375" style="3" customWidth="1"/>
    <col min="7" max="7" width="15.00390625" style="3" bestFit="1" customWidth="1"/>
    <col min="8" max="8" width="14.00390625" style="3" bestFit="1" customWidth="1"/>
    <col min="9" max="9" width="16.57421875" style="3" bestFit="1" customWidth="1"/>
    <col min="10" max="10" width="14.00390625" style="3" bestFit="1" customWidth="1"/>
    <col min="11" max="11" width="13.421875" style="3" bestFit="1" customWidth="1"/>
    <col min="12" max="13" width="12.8515625" style="3" customWidth="1"/>
    <col min="14" max="14" width="15.7109375" style="3" bestFit="1" customWidth="1"/>
    <col min="15" max="15" width="12.28125" style="3" bestFit="1" customWidth="1"/>
    <col min="16" max="16" width="13.7109375" style="3" customWidth="1"/>
    <col min="17" max="16384" width="9.140625" style="3" customWidth="1"/>
  </cols>
  <sheetData>
    <row r="1" spans="1:16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75">
      <c r="A2" s="1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.75">
      <c r="A3" s="1" t="s">
        <v>267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="5" customFormat="1" ht="15.75">
      <c r="A5" s="4"/>
    </row>
    <row r="6" spans="1:17" s="5" customFormat="1" ht="38.25">
      <c r="A6" s="6" t="s">
        <v>2</v>
      </c>
      <c r="B6" s="6"/>
      <c r="C6" s="6" t="s">
        <v>3</v>
      </c>
      <c r="D6" s="6"/>
      <c r="E6" s="6" t="s">
        <v>4</v>
      </c>
      <c r="F6" s="6"/>
      <c r="G6" s="56" t="str">
        <f>+'DWH-3, p1-4 ECOS Summary'!G6</f>
        <v>Residential
Sch 7</v>
      </c>
      <c r="H6" s="56" t="str">
        <f>+'DWH-3, p1-4 ECOS Summary'!H6</f>
        <v>Sec Volt
Sch 24
(kW&lt; 50)</v>
      </c>
      <c r="I6" s="56" t="str">
        <f>+'DWH-3, p1-4 ECOS Summary'!I6</f>
        <v>Sec Volt
Sch 25
(kW &gt; 50 &amp; &lt; 350)</v>
      </c>
      <c r="J6" s="56" t="str">
        <f>+'DWH-3, p1-4 ECOS Summary'!J6</f>
        <v>Sec Volt
Sch 26
(kW &gt; 350)</v>
      </c>
      <c r="K6" s="56" t="str">
        <f>+'DWH-3, p1-4 ECOS Summary'!K6</f>
        <v>Pri Volt
Sch 31/35/43</v>
      </c>
      <c r="L6" s="56" t="str">
        <f>+'DWH-3, p1-4 ECOS Summary'!L6</f>
        <v>Campus
Sch 40</v>
      </c>
      <c r="M6" s="56" t="str">
        <f>+'DWH-3, p1-4 ECOS Summary'!M6</f>
        <v>High Volt
Sch 46/49</v>
      </c>
      <c r="N6" s="56" t="str">
        <f>+'DWH-3, p1-4 ECOS Summary'!N6</f>
        <v>Choice /
Retail Wheeling
Sch 448/449</v>
      </c>
      <c r="O6" s="56" t="str">
        <f>+'DWH-3, p1-4 ECOS Summary'!O6</f>
        <v>Lighting
Sch 50-59</v>
      </c>
      <c r="P6" s="56" t="str">
        <f>+'DWH-3, p1-4 ECOS Summary'!P6</f>
        <v>Firm Resale /
Special Contract</v>
      </c>
      <c r="Q6" s="193"/>
    </row>
    <row r="7" spans="3:16" ht="12.75">
      <c r="C7" s="9" t="s">
        <v>15</v>
      </c>
      <c r="E7" s="9" t="s">
        <v>16</v>
      </c>
      <c r="G7" s="9" t="s">
        <v>17</v>
      </c>
      <c r="H7" s="9" t="s">
        <v>18</v>
      </c>
      <c r="I7" s="9" t="s">
        <v>19</v>
      </c>
      <c r="J7" s="10" t="s">
        <v>555</v>
      </c>
      <c r="K7" s="10" t="s">
        <v>20</v>
      </c>
      <c r="L7" s="9" t="s">
        <v>21</v>
      </c>
      <c r="M7" s="10" t="s">
        <v>89</v>
      </c>
      <c r="N7" s="10" t="s">
        <v>90</v>
      </c>
      <c r="O7" s="10" t="s">
        <v>22</v>
      </c>
      <c r="P7" s="10" t="s">
        <v>23</v>
      </c>
    </row>
    <row r="8" ht="12.75">
      <c r="A8" s="11"/>
    </row>
    <row r="9" spans="1:16" ht="12.75">
      <c r="A9" s="12">
        <v>1</v>
      </c>
      <c r="C9" s="5" t="s">
        <v>75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.75">
      <c r="A10" s="12">
        <f aca="true" t="shared" si="0" ref="A10:A26">+A9+1</f>
        <v>2</v>
      </c>
      <c r="B10" s="13"/>
      <c r="C10" s="14" t="s">
        <v>35</v>
      </c>
      <c r="E10" s="14">
        <v>989380441.7226145</v>
      </c>
      <c r="F10" s="14"/>
      <c r="G10" s="14">
        <v>499097674.9268813</v>
      </c>
      <c r="H10" s="14">
        <v>122651148.06867556</v>
      </c>
      <c r="I10" s="14">
        <v>142539400.815399</v>
      </c>
      <c r="J10" s="14">
        <v>97659288.2711355</v>
      </c>
      <c r="K10" s="14">
        <v>66552184.00302752</v>
      </c>
      <c r="L10" s="14">
        <v>30196262.32936261</v>
      </c>
      <c r="M10" s="14">
        <v>24483058.320935227</v>
      </c>
      <c r="N10" s="14">
        <v>1819387.2688100776</v>
      </c>
      <c r="O10" s="14">
        <v>3914221.3980355063</v>
      </c>
      <c r="P10" s="14">
        <v>467816.32035218604</v>
      </c>
    </row>
    <row r="11" spans="1:16" ht="12.75">
      <c r="A11" s="12">
        <f t="shared" si="0"/>
        <v>3</v>
      </c>
      <c r="B11" s="13"/>
      <c r="C11" s="14" t="s">
        <v>36</v>
      </c>
      <c r="E11" s="14">
        <v>101015086.34621848</v>
      </c>
      <c r="F11" s="14"/>
      <c r="G11" s="14">
        <v>50194427.39848459</v>
      </c>
      <c r="H11" s="14">
        <v>12335068.777821582</v>
      </c>
      <c r="I11" s="14">
        <v>14335237.299392778</v>
      </c>
      <c r="J11" s="14">
        <v>9821628.71352052</v>
      </c>
      <c r="K11" s="14">
        <v>6693176.378030512</v>
      </c>
      <c r="L11" s="14">
        <v>3036848.6437426046</v>
      </c>
      <c r="M11" s="14">
        <v>2462269.7221803037</v>
      </c>
      <c r="N11" s="14">
        <v>1593348.9935851903</v>
      </c>
      <c r="O11" s="14">
        <v>393654.612424455</v>
      </c>
      <c r="P11" s="14">
        <v>149425.80703593756</v>
      </c>
    </row>
    <row r="12" spans="1:16" ht="12.75">
      <c r="A12" s="12">
        <f t="shared" si="0"/>
        <v>4</v>
      </c>
      <c r="B12" s="13"/>
      <c r="C12" s="14" t="s">
        <v>37</v>
      </c>
      <c r="E12" s="14">
        <v>71266547.85659957</v>
      </c>
      <c r="F12" s="14"/>
      <c r="G12" s="14">
        <v>35750602.70737476</v>
      </c>
      <c r="H12" s="14">
        <v>8785559.794180576</v>
      </c>
      <c r="I12" s="14">
        <v>10210164.752711246</v>
      </c>
      <c r="J12" s="14">
        <v>6995381.046761722</v>
      </c>
      <c r="K12" s="14">
        <v>4767164.443210255</v>
      </c>
      <c r="L12" s="14">
        <v>2162972.5643239333</v>
      </c>
      <c r="M12" s="14">
        <v>1753733.056803905</v>
      </c>
      <c r="N12" s="14">
        <v>500230.89908724895</v>
      </c>
      <c r="O12" s="14">
        <v>280377.5315730998</v>
      </c>
      <c r="P12" s="14">
        <v>60361.06057283046</v>
      </c>
    </row>
    <row r="13" spans="1:16" ht="12.75">
      <c r="A13" s="12">
        <f t="shared" si="0"/>
        <v>5</v>
      </c>
      <c r="B13" s="13"/>
      <c r="C13" s="14" t="s">
        <v>38</v>
      </c>
      <c r="E13" s="14">
        <v>32356490.452276174</v>
      </c>
      <c r="F13" s="14"/>
      <c r="G13" s="14">
        <v>16099589.068228684</v>
      </c>
      <c r="H13" s="14">
        <v>3956406.0941406586</v>
      </c>
      <c r="I13" s="14">
        <v>4597949.248101908</v>
      </c>
      <c r="J13" s="14">
        <v>3150233.889771792</v>
      </c>
      <c r="K13" s="14">
        <v>2146799.8507483667</v>
      </c>
      <c r="L13" s="14">
        <v>974052.6540629412</v>
      </c>
      <c r="M13" s="14">
        <v>789759.5959714305</v>
      </c>
      <c r="N13" s="14">
        <v>470457.1374511178</v>
      </c>
      <c r="O13" s="14">
        <v>126262.57182959505</v>
      </c>
      <c r="P13" s="14">
        <v>44980.341969679626</v>
      </c>
    </row>
    <row r="14" spans="1:16" ht="13.5" thickBot="1">
      <c r="A14" s="12">
        <f t="shared" si="0"/>
        <v>6</v>
      </c>
      <c r="C14" s="16" t="s">
        <v>76</v>
      </c>
      <c r="D14" s="21"/>
      <c r="E14" s="21">
        <f>SUM(E10:E13)</f>
        <v>1194018566.377709</v>
      </c>
      <c r="F14" s="21"/>
      <c r="G14" s="21">
        <f aca="true" t="shared" si="1" ref="G14:P14">SUM(G10:G13)</f>
        <v>601142294.1009694</v>
      </c>
      <c r="H14" s="21">
        <f t="shared" si="1"/>
        <v>147728182.73481837</v>
      </c>
      <c r="I14" s="21">
        <f t="shared" si="1"/>
        <v>171682752.11560494</v>
      </c>
      <c r="J14" s="21">
        <f t="shared" si="1"/>
        <v>117626531.92118952</v>
      </c>
      <c r="K14" s="21">
        <f t="shared" si="1"/>
        <v>80159324.67501666</v>
      </c>
      <c r="L14" s="21">
        <f t="shared" si="1"/>
        <v>36370136.19149209</v>
      </c>
      <c r="M14" s="21">
        <f t="shared" si="1"/>
        <v>29488820.695890866</v>
      </c>
      <c r="N14" s="21">
        <f t="shared" si="1"/>
        <v>4383424.298933635</v>
      </c>
      <c r="O14" s="21">
        <f t="shared" si="1"/>
        <v>4714516.113862656</v>
      </c>
      <c r="P14" s="21">
        <f t="shared" si="1"/>
        <v>722583.5299306337</v>
      </c>
    </row>
    <row r="15" spans="1:16" ht="13.5" thickTop="1">
      <c r="A15" s="12">
        <f t="shared" si="0"/>
        <v>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2.75">
      <c r="A16" s="12">
        <f t="shared" si="0"/>
        <v>8</v>
      </c>
      <c r="B16" s="13"/>
      <c r="C16" s="14" t="s">
        <v>77</v>
      </c>
      <c r="E16" s="14">
        <v>150123069.00158915</v>
      </c>
      <c r="F16" s="14"/>
      <c r="G16" s="14">
        <v>74696596.78177191</v>
      </c>
      <c r="H16" s="14">
        <v>18356373.536401372</v>
      </c>
      <c r="I16" s="14">
        <v>21332914.744159166</v>
      </c>
      <c r="J16" s="14">
        <v>14616009.740082512</v>
      </c>
      <c r="K16" s="14">
        <v>9960418.377322093</v>
      </c>
      <c r="L16" s="14">
        <v>4519271.76752216</v>
      </c>
      <c r="M16" s="14">
        <v>3664214.8967162124</v>
      </c>
      <c r="N16" s="14">
        <v>2182760.5009274404</v>
      </c>
      <c r="O16" s="14">
        <v>585815.2265014573</v>
      </c>
      <c r="P16" s="14">
        <v>208693.4301848633</v>
      </c>
    </row>
    <row r="17" spans="1:16" ht="12.75">
      <c r="A17" s="12">
        <f t="shared" si="0"/>
        <v>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13.5" thickBot="1">
      <c r="A18" s="12">
        <f t="shared" si="0"/>
        <v>10</v>
      </c>
      <c r="C18" s="16" t="s">
        <v>78</v>
      </c>
      <c r="D18" s="21"/>
      <c r="E18" s="21">
        <f>+E16+E14</f>
        <v>1344141635.379298</v>
      </c>
      <c r="F18" s="21"/>
      <c r="G18" s="21">
        <f aca="true" t="shared" si="2" ref="G18:P18">+G16+G14</f>
        <v>675838890.8827413</v>
      </c>
      <c r="H18" s="21">
        <f t="shared" si="2"/>
        <v>166084556.27121973</v>
      </c>
      <c r="I18" s="21">
        <f t="shared" si="2"/>
        <v>193015666.8597641</v>
      </c>
      <c r="J18" s="21">
        <f t="shared" si="2"/>
        <v>132242541.66127203</v>
      </c>
      <c r="K18" s="21">
        <f t="shared" si="2"/>
        <v>90119743.05233875</v>
      </c>
      <c r="L18" s="21">
        <f t="shared" si="2"/>
        <v>40889407.95901425</v>
      </c>
      <c r="M18" s="21">
        <f t="shared" si="2"/>
        <v>33153035.592607077</v>
      </c>
      <c r="N18" s="21">
        <f t="shared" si="2"/>
        <v>6566184.799861075</v>
      </c>
      <c r="O18" s="21">
        <f t="shared" si="2"/>
        <v>5300331.340364113</v>
      </c>
      <c r="P18" s="21">
        <f t="shared" si="2"/>
        <v>931276.960115497</v>
      </c>
    </row>
    <row r="19" spans="1:16" ht="13.5" thickTop="1">
      <c r="A19" s="12">
        <f t="shared" si="0"/>
        <v>11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3" ht="12.75">
      <c r="A20" s="12">
        <f t="shared" si="0"/>
        <v>12</v>
      </c>
      <c r="C20" s="13" t="s">
        <v>26</v>
      </c>
    </row>
    <row r="21" spans="1:16" ht="12.75">
      <c r="A21" s="12">
        <f t="shared" si="0"/>
        <v>13</v>
      </c>
      <c r="C21" s="14" t="s">
        <v>27</v>
      </c>
      <c r="E21" s="14">
        <v>3041215576.4344335</v>
      </c>
      <c r="G21" s="14">
        <v>1513754211.434086</v>
      </c>
      <c r="H21" s="14">
        <v>371998711.3812609</v>
      </c>
      <c r="I21" s="14">
        <v>432319421.8670965</v>
      </c>
      <c r="J21" s="14">
        <v>296198853.11576426</v>
      </c>
      <c r="K21" s="14">
        <v>201851569.09312037</v>
      </c>
      <c r="L21" s="14">
        <v>91584716.91405424</v>
      </c>
      <c r="M21" s="14">
        <v>74256672.59926946</v>
      </c>
      <c r="N21" s="14">
        <v>43223771.73063186</v>
      </c>
      <c r="O21" s="14">
        <v>11871762.62968909</v>
      </c>
      <c r="P21" s="14">
        <v>4155885.669460788</v>
      </c>
    </row>
    <row r="22" spans="1:16" ht="12.75">
      <c r="A22" s="12">
        <f t="shared" si="0"/>
        <v>14</v>
      </c>
      <c r="C22" s="14" t="s">
        <v>28</v>
      </c>
      <c r="E22" s="14">
        <v>-1204938020.5766587</v>
      </c>
      <c r="G22" s="14">
        <v>-600556586.0105529</v>
      </c>
      <c r="H22" s="14">
        <v>-147584247.4425267</v>
      </c>
      <c r="I22" s="14">
        <v>-171515477.28253153</v>
      </c>
      <c r="J22" s="14">
        <v>-117511925.42607191</v>
      </c>
      <c r="K22" s="14">
        <v>-80081223.42437232</v>
      </c>
      <c r="L22" s="14">
        <v>-36334699.85100175</v>
      </c>
      <c r="M22" s="14">
        <v>-29460088.994548418</v>
      </c>
      <c r="N22" s="14">
        <v>-15644249.382344952</v>
      </c>
      <c r="O22" s="14">
        <v>-4709922.641971915</v>
      </c>
      <c r="P22" s="14">
        <v>-1539600.12073624</v>
      </c>
    </row>
    <row r="23" spans="1:16" ht="12.75">
      <c r="A23" s="12">
        <f t="shared" si="0"/>
        <v>15</v>
      </c>
      <c r="C23" s="14" t="s">
        <v>79</v>
      </c>
      <c r="E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ht="12.75">
      <c r="A24" s="12">
        <f t="shared" si="0"/>
        <v>16</v>
      </c>
      <c r="C24" s="14" t="s">
        <v>80</v>
      </c>
      <c r="E24" s="14">
        <v>59319689.93302735</v>
      </c>
      <c r="G24" s="14">
        <v>29526164.193319637</v>
      </c>
      <c r="H24" s="14">
        <v>7255930.288405806</v>
      </c>
      <c r="I24" s="14">
        <v>8432501.219544735</v>
      </c>
      <c r="J24" s="14">
        <v>5777434.6092049405</v>
      </c>
      <c r="K24" s="14">
        <v>3937166.632934708</v>
      </c>
      <c r="L24" s="14">
        <v>1786383.3961797773</v>
      </c>
      <c r="M24" s="14">
        <v>1448395.4469322243</v>
      </c>
      <c r="N24" s="14">
        <v>843090.7551128393</v>
      </c>
      <c r="O24" s="14">
        <v>231561.77536658128</v>
      </c>
      <c r="P24" s="14">
        <v>81061.6160261011</v>
      </c>
    </row>
    <row r="25" spans="1:16" ht="12.75">
      <c r="A25" s="12">
        <f t="shared" si="0"/>
        <v>17</v>
      </c>
      <c r="C25" s="14" t="s">
        <v>81</v>
      </c>
      <c r="E25" s="14">
        <v>-141823075.21148962</v>
      </c>
      <c r="G25" s="14">
        <v>-70099995.43727463</v>
      </c>
      <c r="H25" s="14">
        <v>-17226778.147684723</v>
      </c>
      <c r="I25" s="14">
        <v>-20020152.063932527</v>
      </c>
      <c r="J25" s="14">
        <v>-13716584.961484795</v>
      </c>
      <c r="K25" s="14">
        <v>-9347484.529228404</v>
      </c>
      <c r="L25" s="14">
        <v>-4241169.530235089</v>
      </c>
      <c r="M25" s="14">
        <v>-3438730.25823958</v>
      </c>
      <c r="N25" s="14">
        <v>-2923074.54116329</v>
      </c>
      <c r="O25" s="14">
        <v>-549765.9394686018</v>
      </c>
      <c r="P25" s="14">
        <v>-259339.8027779476</v>
      </c>
    </row>
    <row r="26" spans="1:16" ht="13.5" thickBot="1">
      <c r="A26" s="12">
        <f t="shared" si="0"/>
        <v>18</v>
      </c>
      <c r="C26" s="16" t="s">
        <v>30</v>
      </c>
      <c r="D26" s="16"/>
      <c r="E26" s="16">
        <f>SUM(E21:E25)</f>
        <v>1753774170.5793123</v>
      </c>
      <c r="F26" s="16"/>
      <c r="G26" s="16">
        <f aca="true" t="shared" si="3" ref="G26:P26">SUM(G21:G25)</f>
        <v>872623794.1795783</v>
      </c>
      <c r="H26" s="16">
        <f t="shared" si="3"/>
        <v>214443616.07945526</v>
      </c>
      <c r="I26" s="16">
        <f t="shared" si="3"/>
        <v>249216293.74017715</v>
      </c>
      <c r="J26" s="16">
        <f t="shared" si="3"/>
        <v>170747777.3374125</v>
      </c>
      <c r="K26" s="16">
        <f t="shared" si="3"/>
        <v>116360027.77245435</v>
      </c>
      <c r="L26" s="16">
        <f t="shared" si="3"/>
        <v>52795230.92899719</v>
      </c>
      <c r="M26" s="16">
        <f t="shared" si="3"/>
        <v>42806248.79341369</v>
      </c>
      <c r="N26" s="16">
        <f t="shared" si="3"/>
        <v>25499538.56223645</v>
      </c>
      <c r="O26" s="16">
        <f t="shared" si="3"/>
        <v>6843635.823615154</v>
      </c>
      <c r="P26" s="16">
        <f t="shared" si="3"/>
        <v>2438007.3619727017</v>
      </c>
    </row>
    <row r="27" spans="1:5" ht="13.5" thickTop="1">
      <c r="A27" s="11"/>
      <c r="E27" s="20"/>
    </row>
    <row r="28" spans="1:16" ht="12.75">
      <c r="A28" s="12"/>
      <c r="E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</sheetData>
  <sheetProtection/>
  <printOptions horizontalCentered="1"/>
  <pageMargins left="0.25" right="0.25" top="0.6" bottom="0.75" header="0.22" footer="0.46"/>
  <pageSetup horizontalDpi="600" verticalDpi="600" orientation="landscape" pageOrder="overThenDown" scale="65" r:id="rId1"/>
  <headerFooter alignWithMargins="0">
    <oddFooter>&amp;R&amp;"Times New Roman,Regular"Exhibit No.___(DWH-3)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P29"/>
  <sheetViews>
    <sheetView showGridLines="0" workbookViewId="0" topLeftCell="A1">
      <pane xSplit="4" ySplit="6" topLeftCell="E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0.00390625" defaultRowHeight="12.75"/>
  <cols>
    <col min="1" max="1" width="6.00390625" style="3" customWidth="1"/>
    <col min="2" max="2" width="3.28125" style="3" customWidth="1"/>
    <col min="3" max="3" width="33.140625" style="3" bestFit="1" customWidth="1"/>
    <col min="4" max="4" width="2.140625" style="3" customWidth="1"/>
    <col min="5" max="5" width="15.57421875" style="3" bestFit="1" customWidth="1"/>
    <col min="6" max="6" width="2.57421875" style="3" customWidth="1"/>
    <col min="7" max="7" width="15.00390625" style="3" bestFit="1" customWidth="1"/>
    <col min="8" max="8" width="14.00390625" style="3" bestFit="1" customWidth="1"/>
    <col min="9" max="9" width="16.57421875" style="3" bestFit="1" customWidth="1"/>
    <col min="10" max="11" width="13.421875" style="3" bestFit="1" customWidth="1"/>
    <col min="12" max="12" width="12.8515625" style="3" bestFit="1" customWidth="1"/>
    <col min="13" max="13" width="12.28125" style="3" bestFit="1" customWidth="1"/>
    <col min="14" max="14" width="15.7109375" style="3" bestFit="1" customWidth="1"/>
    <col min="15" max="15" width="12.28125" style="3" bestFit="1" customWidth="1"/>
    <col min="16" max="16" width="16.140625" style="3" bestFit="1" customWidth="1"/>
    <col min="17" max="16384" width="10.00390625" style="3" customWidth="1"/>
  </cols>
  <sheetData>
    <row r="1" spans="1:16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75">
      <c r="A2" s="1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.75">
      <c r="A3" s="1" t="s">
        <v>267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="5" customFormat="1" ht="15.75">
      <c r="A5" s="4"/>
    </row>
    <row r="6" spans="1:16" s="5" customFormat="1" ht="38.25">
      <c r="A6" s="6" t="s">
        <v>2</v>
      </c>
      <c r="B6" s="6"/>
      <c r="C6" s="6" t="s">
        <v>3</v>
      </c>
      <c r="D6" s="6"/>
      <c r="E6" s="6" t="s">
        <v>4</v>
      </c>
      <c r="F6" s="6"/>
      <c r="G6" s="56" t="str">
        <f>+'DWH-3, p1-4 ECOS Summary'!G6</f>
        <v>Residential
Sch 7</v>
      </c>
      <c r="H6" s="56" t="str">
        <f>+'DWH-3, p1-4 ECOS Summary'!H6</f>
        <v>Sec Volt
Sch 24
(kW&lt; 50)</v>
      </c>
      <c r="I6" s="56" t="str">
        <f>+'DWH-3, p1-4 ECOS Summary'!I6</f>
        <v>Sec Volt
Sch 25
(kW &gt; 50 &amp; &lt; 350)</v>
      </c>
      <c r="J6" s="56" t="str">
        <f>+'DWH-3, p1-4 ECOS Summary'!J6</f>
        <v>Sec Volt
Sch 26
(kW &gt; 350)</v>
      </c>
      <c r="K6" s="56" t="str">
        <f>+'DWH-3, p1-4 ECOS Summary'!K6</f>
        <v>Pri Volt
Sch 31/35/43</v>
      </c>
      <c r="L6" s="56" t="str">
        <f>+'DWH-3, p1-4 ECOS Summary'!L6</f>
        <v>Campus
Sch 40</v>
      </c>
      <c r="M6" s="56" t="str">
        <f>+'DWH-3, p1-4 ECOS Summary'!M6</f>
        <v>High Volt
Sch 46/49</v>
      </c>
      <c r="N6" s="56" t="str">
        <f>+'DWH-3, p1-4 ECOS Summary'!N6</f>
        <v>Choice /
Retail Wheeling
Sch 448/449</v>
      </c>
      <c r="O6" s="56" t="str">
        <f>+'DWH-3, p1-4 ECOS Summary'!O6</f>
        <v>Lighting
Sch 50-59</v>
      </c>
      <c r="P6" s="56" t="str">
        <f>+'DWH-3, p1-4 ECOS Summary'!P6</f>
        <v>Firm Resale /
Special Contract</v>
      </c>
    </row>
    <row r="7" spans="3:16" ht="12.75">
      <c r="C7" s="9" t="s">
        <v>15</v>
      </c>
      <c r="E7" s="9" t="s">
        <v>16</v>
      </c>
      <c r="G7" s="9" t="s">
        <v>17</v>
      </c>
      <c r="H7" s="9" t="s">
        <v>18</v>
      </c>
      <c r="I7" s="9" t="s">
        <v>19</v>
      </c>
      <c r="J7" s="10" t="s">
        <v>555</v>
      </c>
      <c r="K7" s="10" t="s">
        <v>20</v>
      </c>
      <c r="L7" s="9" t="s">
        <v>21</v>
      </c>
      <c r="M7" s="10" t="s">
        <v>89</v>
      </c>
      <c r="N7" s="10" t="s">
        <v>90</v>
      </c>
      <c r="O7" s="10" t="s">
        <v>22</v>
      </c>
      <c r="P7" s="10" t="s">
        <v>23</v>
      </c>
    </row>
    <row r="8" ht="12.75">
      <c r="A8" s="11"/>
    </row>
    <row r="9" spans="1:16" ht="12.75">
      <c r="A9" s="12">
        <v>1</v>
      </c>
      <c r="C9" s="5" t="s">
        <v>75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.75">
      <c r="A10" s="12">
        <f aca="true" t="shared" si="0" ref="A10:A26">+A9+1</f>
        <v>2</v>
      </c>
      <c r="B10" s="13"/>
      <c r="C10" s="14" t="s">
        <v>35</v>
      </c>
      <c r="E10" s="14">
        <v>332286875.8860867</v>
      </c>
      <c r="F10" s="14"/>
      <c r="G10" s="14">
        <v>213737666.95058972</v>
      </c>
      <c r="H10" s="14">
        <v>36649664.70321487</v>
      </c>
      <c r="I10" s="14">
        <v>37249523.5605204</v>
      </c>
      <c r="J10" s="14">
        <v>21475875.61701136</v>
      </c>
      <c r="K10" s="14">
        <v>13026107.689528897</v>
      </c>
      <c r="L10" s="14">
        <v>5289202.291787756</v>
      </c>
      <c r="M10" s="14">
        <v>3782757.1008975524</v>
      </c>
      <c r="N10" s="14">
        <v>-286132.04860871646</v>
      </c>
      <c r="O10" s="14">
        <v>1074422.8024560658</v>
      </c>
      <c r="P10" s="14">
        <v>287787.2186888417</v>
      </c>
    </row>
    <row r="11" spans="1:16" ht="12.75">
      <c r="A11" s="12">
        <f t="shared" si="0"/>
        <v>3</v>
      </c>
      <c r="B11" s="13"/>
      <c r="C11" s="14" t="s">
        <v>36</v>
      </c>
      <c r="E11" s="14">
        <v>100329519.10320595</v>
      </c>
      <c r="F11" s="14"/>
      <c r="G11" s="14">
        <v>65036631.0809629</v>
      </c>
      <c r="H11" s="14">
        <v>11228345.070511527</v>
      </c>
      <c r="I11" s="14">
        <v>10543993.331846861</v>
      </c>
      <c r="J11" s="14">
        <v>5534261.798630784</v>
      </c>
      <c r="K11" s="14">
        <v>4772442.099013845</v>
      </c>
      <c r="L11" s="14">
        <v>1397602.890694237</v>
      </c>
      <c r="M11" s="14">
        <v>716865.4962353915</v>
      </c>
      <c r="N11" s="14">
        <v>575025.302726197</v>
      </c>
      <c r="O11" s="14">
        <v>437620.13554759335</v>
      </c>
      <c r="P11" s="14">
        <v>86731.89703663805</v>
      </c>
    </row>
    <row r="12" spans="1:16" ht="12.75">
      <c r="A12" s="12">
        <f t="shared" si="0"/>
        <v>4</v>
      </c>
      <c r="B12" s="13"/>
      <c r="C12" s="14" t="s">
        <v>37</v>
      </c>
      <c r="E12" s="14">
        <v>40494128.719742596</v>
      </c>
      <c r="F12" s="14"/>
      <c r="G12" s="14">
        <v>26173766.061422255</v>
      </c>
      <c r="H12" s="14">
        <v>4507874.589372709</v>
      </c>
      <c r="I12" s="14">
        <v>4359748.655272057</v>
      </c>
      <c r="J12" s="14">
        <v>2374555.759035432</v>
      </c>
      <c r="K12" s="14">
        <v>1804147.3864278023</v>
      </c>
      <c r="L12" s="14">
        <v>592102.8859444377</v>
      </c>
      <c r="M12" s="14">
        <v>350561.2333078534</v>
      </c>
      <c r="N12" s="14">
        <v>136118.59007882647</v>
      </c>
      <c r="O12" s="14">
        <v>160387.40174778408</v>
      </c>
      <c r="P12" s="14">
        <v>34866.15713344955</v>
      </c>
    </row>
    <row r="13" spans="1:16" ht="12.75">
      <c r="A13" s="12">
        <f t="shared" si="0"/>
        <v>5</v>
      </c>
      <c r="B13" s="13"/>
      <c r="C13" s="14" t="s">
        <v>38</v>
      </c>
      <c r="E13" s="14">
        <v>30537519.54911275</v>
      </c>
      <c r="F13" s="14"/>
      <c r="G13" s="14">
        <v>19795706.82726661</v>
      </c>
      <c r="H13" s="14">
        <v>3416855.8008298976</v>
      </c>
      <c r="I13" s="14">
        <v>3225788.556993994</v>
      </c>
      <c r="J13" s="14">
        <v>1705473.9619649067</v>
      </c>
      <c r="K13" s="14">
        <v>1448371.4330102806</v>
      </c>
      <c r="L13" s="14">
        <v>417737.4994522907</v>
      </c>
      <c r="M13" s="14">
        <v>216181.63971717347</v>
      </c>
      <c r="N13" s="14">
        <v>151818.6950637974</v>
      </c>
      <c r="O13" s="14">
        <v>133318.73809811118</v>
      </c>
      <c r="P13" s="14">
        <v>26266.396715693332</v>
      </c>
    </row>
    <row r="14" spans="1:16" ht="13.5" thickBot="1">
      <c r="A14" s="12">
        <f t="shared" si="0"/>
        <v>6</v>
      </c>
      <c r="C14" s="16" t="s">
        <v>76</v>
      </c>
      <c r="D14" s="21"/>
      <c r="E14" s="21">
        <f>SUM(E10:E13)</f>
        <v>503648043.25814795</v>
      </c>
      <c r="F14" s="21"/>
      <c r="G14" s="21">
        <f aca="true" t="shared" si="1" ref="G14:P14">SUM(G10:G13)</f>
        <v>324743770.9202415</v>
      </c>
      <c r="H14" s="21">
        <f t="shared" si="1"/>
        <v>55802740.163929</v>
      </c>
      <c r="I14" s="21">
        <f t="shared" si="1"/>
        <v>55379054.10463332</v>
      </c>
      <c r="J14" s="21">
        <f t="shared" si="1"/>
        <v>31090167.136642482</v>
      </c>
      <c r="K14" s="21">
        <f t="shared" si="1"/>
        <v>21051068.607980825</v>
      </c>
      <c r="L14" s="21">
        <f t="shared" si="1"/>
        <v>7696645.567878721</v>
      </c>
      <c r="M14" s="21">
        <f t="shared" si="1"/>
        <v>5066365.470157971</v>
      </c>
      <c r="N14" s="21">
        <f t="shared" si="1"/>
        <v>576830.5392601045</v>
      </c>
      <c r="O14" s="21">
        <f t="shared" si="1"/>
        <v>1805749.0778495546</v>
      </c>
      <c r="P14" s="21">
        <f t="shared" si="1"/>
        <v>435651.66957462265</v>
      </c>
    </row>
    <row r="15" spans="1:16" ht="13.5" thickTop="1">
      <c r="A15" s="12">
        <f t="shared" si="0"/>
        <v>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2.75">
      <c r="A16" s="12">
        <f t="shared" si="0"/>
        <v>8</v>
      </c>
      <c r="B16" s="13"/>
      <c r="C16" s="14" t="s">
        <v>77</v>
      </c>
      <c r="E16" s="14">
        <v>141683665.01832202</v>
      </c>
      <c r="F16" s="14"/>
      <c r="G16" s="14">
        <v>91845321.30727175</v>
      </c>
      <c r="H16" s="14">
        <v>15853044.381096736</v>
      </c>
      <c r="I16" s="14">
        <v>14966557.601183834</v>
      </c>
      <c r="J16" s="14">
        <v>7912816.9246322075</v>
      </c>
      <c r="K16" s="14">
        <v>6719948.96660485</v>
      </c>
      <c r="L16" s="14">
        <v>1938159.379408714</v>
      </c>
      <c r="M16" s="14">
        <v>1003009.0025988868</v>
      </c>
      <c r="N16" s="14">
        <v>704386.9132967226</v>
      </c>
      <c r="O16" s="14">
        <v>618553.4289705268</v>
      </c>
      <c r="P16" s="14">
        <v>121867.11325782102</v>
      </c>
    </row>
    <row r="17" spans="1:16" ht="12.75">
      <c r="A17" s="12">
        <f t="shared" si="0"/>
        <v>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13.5" thickBot="1">
      <c r="A18" s="12">
        <f t="shared" si="0"/>
        <v>10</v>
      </c>
      <c r="C18" s="16" t="s">
        <v>78</v>
      </c>
      <c r="D18" s="21"/>
      <c r="E18" s="21">
        <f>+E16+E14</f>
        <v>645331708.27647</v>
      </c>
      <c r="F18" s="21"/>
      <c r="G18" s="21">
        <f aca="true" t="shared" si="2" ref="G18:P18">+G16+G14</f>
        <v>416589092.2275132</v>
      </c>
      <c r="H18" s="21">
        <f t="shared" si="2"/>
        <v>71655784.54502574</v>
      </c>
      <c r="I18" s="21">
        <f t="shared" si="2"/>
        <v>70345611.70581715</v>
      </c>
      <c r="J18" s="21">
        <f t="shared" si="2"/>
        <v>39002984.06127469</v>
      </c>
      <c r="K18" s="21">
        <f t="shared" si="2"/>
        <v>27771017.574585676</v>
      </c>
      <c r="L18" s="21">
        <f t="shared" si="2"/>
        <v>9634804.947287435</v>
      </c>
      <c r="M18" s="21">
        <f t="shared" si="2"/>
        <v>6069374.472756857</v>
      </c>
      <c r="N18" s="21">
        <f t="shared" si="2"/>
        <v>1281217.452556827</v>
      </c>
      <c r="O18" s="21">
        <f t="shared" si="2"/>
        <v>2424302.5068200813</v>
      </c>
      <c r="P18" s="21">
        <f t="shared" si="2"/>
        <v>557518.7828324437</v>
      </c>
    </row>
    <row r="19" spans="1:16" ht="13.5" thickTop="1">
      <c r="A19" s="12">
        <f t="shared" si="0"/>
        <v>11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3" ht="12.75">
      <c r="A20" s="12">
        <f t="shared" si="0"/>
        <v>12</v>
      </c>
      <c r="C20" s="13" t="s">
        <v>26</v>
      </c>
    </row>
    <row r="21" spans="1:16" ht="12.75">
      <c r="A21" s="12">
        <f t="shared" si="0"/>
        <v>13</v>
      </c>
      <c r="C21" s="14" t="s">
        <v>27</v>
      </c>
      <c r="E21" s="14">
        <v>2834657775.137833</v>
      </c>
      <c r="G21" s="14">
        <v>1836840779.2613292</v>
      </c>
      <c r="H21" s="14">
        <v>317071497.0612155</v>
      </c>
      <c r="I21" s="14">
        <v>298562815.6500575</v>
      </c>
      <c r="J21" s="14">
        <v>157275520.44813555</v>
      </c>
      <c r="K21" s="14">
        <v>134024231.89566639</v>
      </c>
      <c r="L21" s="14">
        <v>39772143.96732199</v>
      </c>
      <c r="M21" s="14">
        <v>20699265.652809598</v>
      </c>
      <c r="N21" s="14">
        <v>15737729.210232481</v>
      </c>
      <c r="O21" s="14">
        <v>12264872.919134125</v>
      </c>
      <c r="P21" s="14">
        <v>2408919.0719310967</v>
      </c>
    </row>
    <row r="22" spans="1:16" ht="12.75">
      <c r="A22" s="12">
        <f t="shared" si="0"/>
        <v>14</v>
      </c>
      <c r="C22" s="14" t="s">
        <v>28</v>
      </c>
      <c r="E22" s="14">
        <v>-1057860225.3576941</v>
      </c>
      <c r="G22" s="14">
        <v>-684877471.2403889</v>
      </c>
      <c r="H22" s="14">
        <v>-118221438.77189566</v>
      </c>
      <c r="I22" s="14">
        <v>-111074612.62937197</v>
      </c>
      <c r="J22" s="14">
        <v>-58319734.8093749</v>
      </c>
      <c r="K22" s="14">
        <v>-49560085.01791154</v>
      </c>
      <c r="L22" s="14">
        <v>-15496044.530546892</v>
      </c>
      <c r="M22" s="14">
        <v>-8207371.0495452965</v>
      </c>
      <c r="N22" s="14">
        <v>-6742428.031089321</v>
      </c>
      <c r="O22" s="14">
        <v>-4486984.694399045</v>
      </c>
      <c r="P22" s="14">
        <v>-874054.5831705446</v>
      </c>
    </row>
    <row r="23" spans="1:16" ht="12.75">
      <c r="A23" s="12">
        <f t="shared" si="0"/>
        <v>15</v>
      </c>
      <c r="C23" s="14" t="s">
        <v>79</v>
      </c>
      <c r="E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ht="12.75">
      <c r="A24" s="12">
        <f t="shared" si="0"/>
        <v>16</v>
      </c>
      <c r="C24" s="14" t="s">
        <v>80</v>
      </c>
      <c r="E24" s="14">
        <v>55290727.03374886</v>
      </c>
      <c r="G24" s="14">
        <v>35828050.57504989</v>
      </c>
      <c r="H24" s="14">
        <v>6184560.883488423</v>
      </c>
      <c r="I24" s="14">
        <v>5823544.304826049</v>
      </c>
      <c r="J24" s="14">
        <v>3067699.3697293205</v>
      </c>
      <c r="K24" s="14">
        <v>2614177.0222300743</v>
      </c>
      <c r="L24" s="14">
        <v>775765.8701982942</v>
      </c>
      <c r="M24" s="14">
        <v>403744.48621153197</v>
      </c>
      <c r="N24" s="14">
        <v>306968.44519501465</v>
      </c>
      <c r="O24" s="14">
        <v>239229.49240053844</v>
      </c>
      <c r="P24" s="14">
        <v>46986.58441972156</v>
      </c>
    </row>
    <row r="25" spans="1:16" ht="12.75">
      <c r="A25" s="12">
        <f t="shared" si="0"/>
        <v>17</v>
      </c>
      <c r="C25" s="14" t="s">
        <v>81</v>
      </c>
      <c r="E25" s="14">
        <v>-176905274.26339725</v>
      </c>
      <c r="G25" s="14">
        <v>-114831997.52973159</v>
      </c>
      <c r="H25" s="14">
        <v>-19835502.571210906</v>
      </c>
      <c r="I25" s="14">
        <v>-18468784.694859322</v>
      </c>
      <c r="J25" s="14">
        <v>-9584034.954375412</v>
      </c>
      <c r="K25" s="14">
        <v>-8574247.187311457</v>
      </c>
      <c r="L25" s="14">
        <v>-2409816.482105244</v>
      </c>
      <c r="M25" s="14">
        <v>-1178244.1993019248</v>
      </c>
      <c r="N25" s="14">
        <v>-1073450.5437689882</v>
      </c>
      <c r="O25" s="14">
        <v>-791026.2571995582</v>
      </c>
      <c r="P25" s="14">
        <v>-158169.84353283187</v>
      </c>
    </row>
    <row r="26" spans="1:16" ht="13.5" thickBot="1">
      <c r="A26" s="12">
        <f t="shared" si="0"/>
        <v>18</v>
      </c>
      <c r="C26" s="16" t="s">
        <v>30</v>
      </c>
      <c r="D26" s="16"/>
      <c r="E26" s="16">
        <f>SUM(E21:E25)</f>
        <v>1655183002.5504906</v>
      </c>
      <c r="F26" s="16"/>
      <c r="G26" s="16">
        <f aca="true" t="shared" si="3" ref="G26:P26">SUM(G21:G25)</f>
        <v>1072959361.0662585</v>
      </c>
      <c r="H26" s="16">
        <f t="shared" si="3"/>
        <v>185199116.60159737</v>
      </c>
      <c r="I26" s="16">
        <f t="shared" si="3"/>
        <v>174842962.63065225</v>
      </c>
      <c r="J26" s="16">
        <f t="shared" si="3"/>
        <v>92439450.05411457</v>
      </c>
      <c r="K26" s="16">
        <f t="shared" si="3"/>
        <v>78504076.71267347</v>
      </c>
      <c r="L26" s="16">
        <f t="shared" si="3"/>
        <v>22642048.82486815</v>
      </c>
      <c r="M26" s="16">
        <f t="shared" si="3"/>
        <v>11717394.89017391</v>
      </c>
      <c r="N26" s="16">
        <f t="shared" si="3"/>
        <v>8228819.080569188</v>
      </c>
      <c r="O26" s="16">
        <f t="shared" si="3"/>
        <v>7226091.45993606</v>
      </c>
      <c r="P26" s="16">
        <f t="shared" si="3"/>
        <v>1423681.2296474418</v>
      </c>
    </row>
    <row r="27" ht="13.5" thickTop="1">
      <c r="A27" s="11"/>
    </row>
    <row r="28" spans="1:16" ht="12.75">
      <c r="A28" s="12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3:9" ht="12.75">
      <c r="C29" s="48"/>
      <c r="D29" s="48"/>
      <c r="E29" s="47"/>
      <c r="F29" s="48"/>
      <c r="G29" s="48"/>
      <c r="H29" s="48"/>
      <c r="I29" s="48"/>
    </row>
  </sheetData>
  <sheetProtection/>
  <printOptions horizontalCentered="1"/>
  <pageMargins left="0.25" right="0.25" top="0.6" bottom="0.75" header="0.22" footer="0.46"/>
  <pageSetup fitToHeight="7" horizontalDpi="600" verticalDpi="600" orientation="landscape" pageOrder="overThenDown" scale="65" r:id="rId1"/>
  <headerFooter alignWithMargins="0">
    <oddFooter>&amp;R&amp;"Times New Roman,Regular"Exhibit No.___(DWH-3)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S26"/>
  <sheetViews>
    <sheetView showGridLines="0" workbookViewId="0" topLeftCell="A1">
      <pane xSplit="4" ySplit="6" topLeftCell="E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5.00390625" style="3" bestFit="1" customWidth="1"/>
    <col min="2" max="2" width="1.7109375" style="3" customWidth="1"/>
    <col min="3" max="3" width="33.140625" style="3" bestFit="1" customWidth="1"/>
    <col min="4" max="4" width="4.7109375" style="3" bestFit="1" customWidth="1"/>
    <col min="5" max="5" width="14.8515625" style="3" bestFit="1" customWidth="1"/>
    <col min="6" max="6" width="1.7109375" style="3" customWidth="1"/>
    <col min="7" max="7" width="14.00390625" style="3" bestFit="1" customWidth="1"/>
    <col min="8" max="8" width="13.421875" style="3" bestFit="1" customWidth="1"/>
    <col min="9" max="9" width="16.57421875" style="3" bestFit="1" customWidth="1"/>
    <col min="10" max="11" width="12.28125" style="3" bestFit="1" customWidth="1"/>
    <col min="12" max="12" width="11.8515625" style="3" bestFit="1" customWidth="1"/>
    <col min="13" max="13" width="10.28125" style="3" bestFit="1" customWidth="1"/>
    <col min="14" max="14" width="11.57421875" style="3" bestFit="1" customWidth="1"/>
    <col min="15" max="15" width="12.8515625" style="3" bestFit="1" customWidth="1"/>
    <col min="16" max="16" width="16.140625" style="3" bestFit="1" customWidth="1"/>
    <col min="17" max="16384" width="9.140625" style="3" customWidth="1"/>
  </cols>
  <sheetData>
    <row r="1" spans="1:16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75">
      <c r="A2" s="1" t="s">
        <v>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.75">
      <c r="A3" s="1" t="s">
        <v>267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="5" customFormat="1" ht="15.75">
      <c r="A5" s="4"/>
    </row>
    <row r="6" spans="1:19" s="5" customFormat="1" ht="51">
      <c r="A6" s="6" t="s">
        <v>2</v>
      </c>
      <c r="B6" s="6"/>
      <c r="C6" s="6" t="s">
        <v>3</v>
      </c>
      <c r="D6" s="6"/>
      <c r="E6" s="6" t="s">
        <v>4</v>
      </c>
      <c r="F6" s="6"/>
      <c r="G6" s="56" t="str">
        <f>+'DWH-3, p1-4 ECOS Summary'!G6</f>
        <v>Residential
Sch 7</v>
      </c>
      <c r="H6" s="56" t="str">
        <f>+'DWH-3, p1-4 ECOS Summary'!H6</f>
        <v>Sec Volt
Sch 24
(kW&lt; 50)</v>
      </c>
      <c r="I6" s="56" t="str">
        <f>+'DWH-3, p1-4 ECOS Summary'!I6</f>
        <v>Sec Volt
Sch 25
(kW &gt; 50 &amp; &lt; 350)</v>
      </c>
      <c r="J6" s="56" t="str">
        <f>+'DWH-3, p1-4 ECOS Summary'!J6</f>
        <v>Sec Volt
Sch 26
(kW &gt; 350)</v>
      </c>
      <c r="K6" s="56" t="str">
        <f>+'DWH-3, p1-4 ECOS Summary'!K6</f>
        <v>Pri Volt
Sch 31/35/43</v>
      </c>
      <c r="L6" s="56" t="str">
        <f>+'DWH-3, p1-4 ECOS Summary'!L6</f>
        <v>Campus
Sch 40</v>
      </c>
      <c r="M6" s="56" t="str">
        <f>+'DWH-3, p1-4 ECOS Summary'!M6</f>
        <v>High Volt
Sch 46/49</v>
      </c>
      <c r="N6" s="56" t="str">
        <f>+'DWH-3, p1-4 ECOS Summary'!N6</f>
        <v>Choice /
Retail Wheeling
Sch 448/449</v>
      </c>
      <c r="O6" s="56" t="str">
        <f>+'DWH-3, p1-4 ECOS Summary'!O6</f>
        <v>Lighting
Sch 50-59</v>
      </c>
      <c r="P6" s="56" t="str">
        <f>+'DWH-3, p1-4 ECOS Summary'!P6</f>
        <v>Firm Resale /
Special Contract</v>
      </c>
      <c r="Q6" s="193"/>
      <c r="R6" s="193"/>
      <c r="S6" s="193"/>
    </row>
    <row r="7" spans="3:16" ht="12.75">
      <c r="C7" s="9" t="s">
        <v>15</v>
      </c>
      <c r="E7" s="9" t="s">
        <v>16</v>
      </c>
      <c r="G7" s="9" t="s">
        <v>17</v>
      </c>
      <c r="H7" s="9" t="s">
        <v>18</v>
      </c>
      <c r="I7" s="9" t="s">
        <v>19</v>
      </c>
      <c r="J7" s="10" t="s">
        <v>555</v>
      </c>
      <c r="K7" s="10" t="s">
        <v>20</v>
      </c>
      <c r="L7" s="9" t="s">
        <v>21</v>
      </c>
      <c r="M7" s="10" t="s">
        <v>89</v>
      </c>
      <c r="N7" s="10" t="s">
        <v>90</v>
      </c>
      <c r="O7" s="10" t="s">
        <v>22</v>
      </c>
      <c r="P7" s="10" t="s">
        <v>23</v>
      </c>
    </row>
    <row r="8" ht="12.75">
      <c r="A8" s="11"/>
    </row>
    <row r="9" spans="1:16" ht="12.75">
      <c r="A9" s="12">
        <v>1</v>
      </c>
      <c r="C9" s="5" t="s">
        <v>75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.75">
      <c r="A10" s="12">
        <f aca="true" t="shared" si="0" ref="A10:A26">+A9+1</f>
        <v>2</v>
      </c>
      <c r="B10" s="13"/>
      <c r="C10" s="14" t="s">
        <v>35</v>
      </c>
      <c r="E10" s="14">
        <v>77030496.39129871</v>
      </c>
      <c r="F10" s="14"/>
      <c r="G10" s="14">
        <v>57194130.707701355</v>
      </c>
      <c r="H10" s="14">
        <v>9291096.41649379</v>
      </c>
      <c r="I10" s="14">
        <v>2349826.2148708752</v>
      </c>
      <c r="J10" s="14">
        <v>561013.6944619378</v>
      </c>
      <c r="K10" s="14">
        <v>1644874.8924028408</v>
      </c>
      <c r="L10" s="14">
        <v>496709.07602621044</v>
      </c>
      <c r="M10" s="14">
        <v>235278.47165535644</v>
      </c>
      <c r="N10" s="14">
        <v>133706.80689784235</v>
      </c>
      <c r="O10" s="14">
        <v>5097400.698741531</v>
      </c>
      <c r="P10" s="14">
        <v>26459.412046985562</v>
      </c>
    </row>
    <row r="11" spans="1:16" ht="12.75">
      <c r="A11" s="12">
        <f t="shared" si="0"/>
        <v>3</v>
      </c>
      <c r="B11" s="13"/>
      <c r="C11" s="14" t="s">
        <v>36</v>
      </c>
      <c r="E11" s="14">
        <v>33978041.55057554</v>
      </c>
      <c r="F11" s="14"/>
      <c r="G11" s="14">
        <v>24546033.382749747</v>
      </c>
      <c r="H11" s="14">
        <v>4554795.824606329</v>
      </c>
      <c r="I11" s="14">
        <v>2099688.9718168704</v>
      </c>
      <c r="J11" s="14">
        <v>438217.7405119382</v>
      </c>
      <c r="K11" s="14">
        <v>715660.5616435575</v>
      </c>
      <c r="L11" s="14">
        <v>192299.5870549073</v>
      </c>
      <c r="M11" s="14">
        <v>39678.25823072517</v>
      </c>
      <c r="N11" s="14">
        <v>22112.400580061323</v>
      </c>
      <c r="O11" s="14">
        <v>1359678.7409049787</v>
      </c>
      <c r="P11" s="14">
        <v>9876.082476429092</v>
      </c>
    </row>
    <row r="12" spans="1:16" ht="12.75">
      <c r="A12" s="12">
        <f t="shared" si="0"/>
        <v>4</v>
      </c>
      <c r="B12" s="13"/>
      <c r="C12" s="14" t="s">
        <v>37</v>
      </c>
      <c r="E12" s="14">
        <v>11494957.423657805</v>
      </c>
      <c r="F12" s="14"/>
      <c r="G12" s="14">
        <v>8310601.289983817</v>
      </c>
      <c r="H12" s="14">
        <v>1496676.9038194476</v>
      </c>
      <c r="I12" s="14">
        <v>639363.1367649738</v>
      </c>
      <c r="J12" s="14">
        <v>136515.30760687916</v>
      </c>
      <c r="K12" s="14">
        <v>256081.22249277963</v>
      </c>
      <c r="L12" s="14">
        <v>70052.24644403372</v>
      </c>
      <c r="M12" s="14">
        <v>19698.785950556026</v>
      </c>
      <c r="N12" s="14">
        <v>11076.249961989328</v>
      </c>
      <c r="O12" s="14">
        <v>551215.1599048874</v>
      </c>
      <c r="P12" s="14">
        <v>3677.1207284435013</v>
      </c>
    </row>
    <row r="13" spans="1:16" ht="12.75">
      <c r="A13" s="12">
        <f t="shared" si="0"/>
        <v>5</v>
      </c>
      <c r="B13" s="13"/>
      <c r="C13" s="14" t="s">
        <v>38</v>
      </c>
      <c r="E13" s="14">
        <v>6682238.998611071</v>
      </c>
      <c r="F13" s="14"/>
      <c r="G13" s="14">
        <v>4464423.85320966</v>
      </c>
      <c r="H13" s="14">
        <v>903607.0078010713</v>
      </c>
      <c r="I13" s="14">
        <v>588614.833473837</v>
      </c>
      <c r="J13" s="14">
        <v>122273.15456522975</v>
      </c>
      <c r="K13" s="14">
        <v>219845.15041981364</v>
      </c>
      <c r="L13" s="14">
        <v>50319.53050464779</v>
      </c>
      <c r="M13" s="14">
        <v>8035.538919840179</v>
      </c>
      <c r="N13" s="14">
        <v>4399.251841996985</v>
      </c>
      <c r="O13" s="14">
        <v>317802.18085403234</v>
      </c>
      <c r="P13" s="14">
        <v>2918.4970209408184</v>
      </c>
    </row>
    <row r="14" spans="1:16" ht="13.5" thickBot="1">
      <c r="A14" s="12">
        <f t="shared" si="0"/>
        <v>6</v>
      </c>
      <c r="C14" s="16" t="s">
        <v>76</v>
      </c>
      <c r="D14" s="21"/>
      <c r="E14" s="21">
        <f>SUM(E10:E13)</f>
        <v>129185734.36414313</v>
      </c>
      <c r="F14" s="21"/>
      <c r="G14" s="21">
        <f aca="true" t="shared" si="1" ref="G14:P14">SUM(G10:G13)</f>
        <v>94515189.23364459</v>
      </c>
      <c r="H14" s="21">
        <f t="shared" si="1"/>
        <v>16246176.152720638</v>
      </c>
      <c r="I14" s="21">
        <f t="shared" si="1"/>
        <v>5677493.156926556</v>
      </c>
      <c r="J14" s="21">
        <f t="shared" si="1"/>
        <v>1258019.897145985</v>
      </c>
      <c r="K14" s="21">
        <f t="shared" si="1"/>
        <v>2836461.8269589916</v>
      </c>
      <c r="L14" s="21">
        <f t="shared" si="1"/>
        <v>809380.4400297991</v>
      </c>
      <c r="M14" s="21">
        <f t="shared" si="1"/>
        <v>302691.0547564778</v>
      </c>
      <c r="N14" s="21">
        <f t="shared" si="1"/>
        <v>171294.70928188998</v>
      </c>
      <c r="O14" s="21">
        <f t="shared" si="1"/>
        <v>7326096.780405429</v>
      </c>
      <c r="P14" s="21">
        <f t="shared" si="1"/>
        <v>42931.11227279898</v>
      </c>
    </row>
    <row r="15" spans="1:16" ht="13.5" thickTop="1">
      <c r="A15" s="12">
        <f t="shared" si="0"/>
        <v>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2.75">
      <c r="A16" s="12">
        <f t="shared" si="0"/>
        <v>8</v>
      </c>
      <c r="B16" s="13"/>
      <c r="C16" s="14" t="s">
        <v>77</v>
      </c>
      <c r="E16" s="14">
        <v>31003307.597688843</v>
      </c>
      <c r="F16" s="14"/>
      <c r="G16" s="14">
        <v>20713402.49821771</v>
      </c>
      <c r="H16" s="14">
        <v>4192428.0194268455</v>
      </c>
      <c r="I16" s="14">
        <v>2730971.8707374693</v>
      </c>
      <c r="J16" s="14">
        <v>567305.6924054221</v>
      </c>
      <c r="K16" s="14">
        <v>1020006.4415149422</v>
      </c>
      <c r="L16" s="14">
        <v>233465.44215661072</v>
      </c>
      <c r="M16" s="14">
        <v>37282.157207604774</v>
      </c>
      <c r="N16" s="14">
        <v>20411.026616300496</v>
      </c>
      <c r="O16" s="14">
        <v>1474493.6196208885</v>
      </c>
      <c r="P16" s="14">
        <v>13540.829785042697</v>
      </c>
    </row>
    <row r="17" spans="1:16" ht="12.75">
      <c r="A17" s="12">
        <f t="shared" si="0"/>
        <v>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13.5" thickBot="1">
      <c r="A18" s="12">
        <f t="shared" si="0"/>
        <v>10</v>
      </c>
      <c r="C18" s="16" t="s">
        <v>78</v>
      </c>
      <c r="D18" s="21"/>
      <c r="E18" s="21">
        <f>+E16+E14</f>
        <v>160189041.961832</v>
      </c>
      <c r="F18" s="21"/>
      <c r="G18" s="21">
        <f aca="true" t="shared" si="2" ref="G18:P18">+G16+G14</f>
        <v>115228591.7318623</v>
      </c>
      <c r="H18" s="21">
        <f t="shared" si="2"/>
        <v>20438604.172147483</v>
      </c>
      <c r="I18" s="21">
        <f t="shared" si="2"/>
        <v>8408465.027664024</v>
      </c>
      <c r="J18" s="21">
        <f t="shared" si="2"/>
        <v>1825325.589551407</v>
      </c>
      <c r="K18" s="21">
        <f t="shared" si="2"/>
        <v>3856468.268473934</v>
      </c>
      <c r="L18" s="21">
        <f t="shared" si="2"/>
        <v>1042845.8821864098</v>
      </c>
      <c r="M18" s="21">
        <f t="shared" si="2"/>
        <v>339973.2119640826</v>
      </c>
      <c r="N18" s="21">
        <f t="shared" si="2"/>
        <v>191705.73589819047</v>
      </c>
      <c r="O18" s="21">
        <f t="shared" si="2"/>
        <v>8800590.400026318</v>
      </c>
      <c r="P18" s="21">
        <f t="shared" si="2"/>
        <v>56471.942057841676</v>
      </c>
    </row>
    <row r="19" spans="1:16" ht="13.5" thickTop="1">
      <c r="A19" s="12">
        <f t="shared" si="0"/>
        <v>11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3" ht="12.75">
      <c r="A20" s="12">
        <f t="shared" si="0"/>
        <v>12</v>
      </c>
      <c r="C20" s="13" t="s">
        <v>26</v>
      </c>
    </row>
    <row r="21" spans="1:16" ht="12.75">
      <c r="A21" s="12">
        <f t="shared" si="0"/>
        <v>13</v>
      </c>
      <c r="C21" s="14" t="s">
        <v>27</v>
      </c>
      <c r="E21" s="14">
        <v>823564305.4277335</v>
      </c>
      <c r="G21" s="14">
        <v>584393234.4003882</v>
      </c>
      <c r="H21" s="14">
        <v>113102998.44131683</v>
      </c>
      <c r="I21" s="14">
        <v>55475283.781900324</v>
      </c>
      <c r="J21" s="14">
        <v>11335915.193230703</v>
      </c>
      <c r="K21" s="14">
        <v>19135560.824638247</v>
      </c>
      <c r="L21" s="14">
        <v>4568742.95074268</v>
      </c>
      <c r="M21" s="14">
        <v>747568.2334747608</v>
      </c>
      <c r="N21" s="14">
        <v>410742.43827860197</v>
      </c>
      <c r="O21" s="14">
        <v>34139216.8844359</v>
      </c>
      <c r="P21" s="14">
        <v>255042.27932719784</v>
      </c>
    </row>
    <row r="22" spans="1:16" ht="12.75">
      <c r="A22" s="12">
        <f t="shared" si="0"/>
        <v>14</v>
      </c>
      <c r="C22" s="14" t="s">
        <v>28</v>
      </c>
      <c r="E22" s="14">
        <v>-333872006.06564754</v>
      </c>
      <c r="G22" s="14">
        <v>-246309647.87260285</v>
      </c>
      <c r="H22" s="14">
        <v>-40738163.122507654</v>
      </c>
      <c r="I22" s="14">
        <v>-19166753.021615487</v>
      </c>
      <c r="J22" s="14">
        <v>-3954175.6508749924</v>
      </c>
      <c r="K22" s="14">
        <v>-6259307.532468513</v>
      </c>
      <c r="L22" s="14">
        <v>-1629485.287081635</v>
      </c>
      <c r="M22" s="14">
        <v>-281345.36818653333</v>
      </c>
      <c r="N22" s="14">
        <v>-155588.20476662336</v>
      </c>
      <c r="O22" s="14">
        <v>-15292927.916499663</v>
      </c>
      <c r="P22" s="14">
        <v>-84612.08904361111</v>
      </c>
    </row>
    <row r="23" spans="1:16" ht="12.75">
      <c r="A23" s="12">
        <f t="shared" si="0"/>
        <v>15</v>
      </c>
      <c r="C23" s="14" t="s">
        <v>79</v>
      </c>
      <c r="E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ht="12.75">
      <c r="A24" s="12">
        <f t="shared" si="0"/>
        <v>16</v>
      </c>
      <c r="C24" s="14" t="s">
        <v>80</v>
      </c>
      <c r="E24" s="14">
        <v>16063833.033223791</v>
      </c>
      <c r="G24" s="14">
        <v>11398739.942083608</v>
      </c>
      <c r="H24" s="14">
        <v>2206102.997111634</v>
      </c>
      <c r="I24" s="14">
        <v>1082059.640358407</v>
      </c>
      <c r="J24" s="14">
        <v>221109.933666038</v>
      </c>
      <c r="K24" s="14">
        <v>373244.02242571465</v>
      </c>
      <c r="L24" s="14">
        <v>89114.50320121797</v>
      </c>
      <c r="M24" s="14">
        <v>14581.510155717127</v>
      </c>
      <c r="N24" s="14">
        <v>8011.636619850644</v>
      </c>
      <c r="O24" s="14">
        <v>665894.1825213851</v>
      </c>
      <c r="P24" s="14">
        <v>4974.665080217505</v>
      </c>
    </row>
    <row r="25" spans="1:16" ht="12.75">
      <c r="A25" s="12">
        <f t="shared" si="0"/>
        <v>17</v>
      </c>
      <c r="C25" s="14" t="s">
        <v>81</v>
      </c>
      <c r="E25" s="14">
        <v>-143567959.5251131</v>
      </c>
      <c r="G25" s="14">
        <v>-107503325.3224659</v>
      </c>
      <c r="H25" s="14">
        <v>-25593975.47214926</v>
      </c>
      <c r="I25" s="14">
        <v>-5486713.406046646</v>
      </c>
      <c r="J25" s="14">
        <v>-975446.5273602768</v>
      </c>
      <c r="K25" s="14">
        <v>-1333534.2127853772</v>
      </c>
      <c r="L25" s="14">
        <v>-300972.141668212</v>
      </c>
      <c r="M25" s="14">
        <v>-45265.15572893564</v>
      </c>
      <c r="N25" s="14">
        <v>-24719.297511496392</v>
      </c>
      <c r="O25" s="14">
        <v>-2286790.39787715</v>
      </c>
      <c r="P25" s="14">
        <v>-17217.591519847516</v>
      </c>
    </row>
    <row r="26" spans="1:16" ht="13.5" thickBot="1">
      <c r="A26" s="12">
        <f t="shared" si="0"/>
        <v>18</v>
      </c>
      <c r="C26" s="16" t="s">
        <v>30</v>
      </c>
      <c r="D26" s="16"/>
      <c r="E26" s="16">
        <f>SUM(E21:E25)</f>
        <v>362188172.8701967</v>
      </c>
      <c r="F26" s="16"/>
      <c r="G26" s="16">
        <f aca="true" t="shared" si="3" ref="G26:P26">SUM(G21:G25)</f>
        <v>241979001.14740312</v>
      </c>
      <c r="H26" s="16">
        <f t="shared" si="3"/>
        <v>48976962.843771555</v>
      </c>
      <c r="I26" s="16">
        <f t="shared" si="3"/>
        <v>31903876.9945966</v>
      </c>
      <c r="J26" s="16">
        <f t="shared" si="3"/>
        <v>6627402.948661473</v>
      </c>
      <c r="K26" s="16">
        <f t="shared" si="3"/>
        <v>11915963.101810072</v>
      </c>
      <c r="L26" s="16">
        <f t="shared" si="3"/>
        <v>2727400.0251940503</v>
      </c>
      <c r="M26" s="16">
        <f t="shared" si="3"/>
        <v>435539.219715009</v>
      </c>
      <c r="N26" s="16">
        <f t="shared" si="3"/>
        <v>238446.57262033288</v>
      </c>
      <c r="O26" s="16">
        <f t="shared" si="3"/>
        <v>17225392.75258047</v>
      </c>
      <c r="P26" s="16">
        <f t="shared" si="3"/>
        <v>158187.26384395672</v>
      </c>
    </row>
    <row r="27" ht="13.5" thickTop="1"/>
  </sheetData>
  <sheetProtection/>
  <printOptions horizontalCentered="1"/>
  <pageMargins left="0.25" right="0.25" top="0.6" bottom="0.75" header="0.22" footer="0.46"/>
  <pageSetup fitToHeight="7" horizontalDpi="300" verticalDpi="300" orientation="landscape" pageOrder="overThenDown" scale="65" r:id="rId1"/>
  <headerFooter alignWithMargins="0">
    <oddFooter>&amp;R&amp;"Times New Roman,Regular"Exhibit No.___(DWH-3)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/>
  <dimension ref="A1:P73"/>
  <sheetViews>
    <sheetView showGridLines="0" workbookViewId="0" topLeftCell="A1">
      <pane xSplit="4" ySplit="6" topLeftCell="E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5.57421875" style="3" bestFit="1" customWidth="1"/>
    <col min="2" max="2" width="8.00390625" style="49" bestFit="1" customWidth="1"/>
    <col min="3" max="3" width="49.140625" style="3" bestFit="1" customWidth="1"/>
    <col min="4" max="4" width="21.140625" style="3" bestFit="1" customWidth="1"/>
    <col min="5" max="5" width="14.00390625" style="3" bestFit="1" customWidth="1"/>
    <col min="6" max="6" width="16.8515625" style="3" bestFit="1" customWidth="1"/>
    <col min="7" max="7" width="12.28125" style="3" bestFit="1" customWidth="1"/>
    <col min="8" max="8" width="16.57421875" style="3" bestFit="1" customWidth="1"/>
    <col min="9" max="9" width="12.28125" style="3" bestFit="1" customWidth="1"/>
    <col min="10" max="10" width="14.00390625" style="3" bestFit="1" customWidth="1"/>
    <col min="11" max="12" width="11.28125" style="3" bestFit="1" customWidth="1"/>
    <col min="13" max="13" width="15.7109375" style="3" bestFit="1" customWidth="1"/>
    <col min="14" max="14" width="11.28125" style="3" bestFit="1" customWidth="1"/>
    <col min="15" max="15" width="13.140625" style="3" bestFit="1" customWidth="1"/>
    <col min="16" max="16384" width="9.140625" style="3" customWidth="1"/>
  </cols>
  <sheetData>
    <row r="1" spans="1:16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75">
      <c r="A2" s="1" t="s">
        <v>556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.75">
      <c r="A3" s="1" t="s">
        <v>557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>
      <c r="A4" s="1" t="s">
        <v>267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155" customFormat="1" ht="15.75">
      <c r="A5" s="180"/>
      <c r="B5" s="150"/>
      <c r="C5" s="151"/>
      <c r="D5" s="151"/>
      <c r="E5" s="151"/>
      <c r="F5" s="153"/>
      <c r="G5" s="153"/>
      <c r="H5" s="154"/>
      <c r="I5" s="154"/>
      <c r="J5" s="154"/>
      <c r="K5" s="154"/>
      <c r="L5" s="154"/>
      <c r="M5" s="154"/>
      <c r="N5" s="154"/>
      <c r="O5" s="154"/>
      <c r="P5" s="3"/>
    </row>
    <row r="6" spans="1:15" ht="38.25">
      <c r="A6" s="181" t="s">
        <v>2</v>
      </c>
      <c r="B6" s="181" t="s">
        <v>84</v>
      </c>
      <c r="C6" s="182" t="s">
        <v>85</v>
      </c>
      <c r="D6" s="183" t="s">
        <v>86</v>
      </c>
      <c r="E6" s="184" t="s">
        <v>65</v>
      </c>
      <c r="F6" s="185" t="str">
        <f>+'DWH-3, p1-4 ECOS Summary'!G6</f>
        <v>Residential
Sch 7</v>
      </c>
      <c r="G6" s="185" t="str">
        <f>+'DWH-3, p1-4 ECOS Summary'!H6</f>
        <v>Sec Volt
Sch 24
(kW&lt; 50)</v>
      </c>
      <c r="H6" s="185" t="str">
        <f>+'DWH-3, p1-4 ECOS Summary'!I6</f>
        <v>Sec Volt
Sch 25
(kW &gt; 50 &amp; &lt; 350)</v>
      </c>
      <c r="I6" s="185" t="str">
        <f>+'DWH-3, p1-4 ECOS Summary'!J6</f>
        <v>Sec Volt
Sch 26
(kW &gt; 350)</v>
      </c>
      <c r="J6" s="185" t="str">
        <f>+'DWH-3, p1-4 ECOS Summary'!K6</f>
        <v>Pri Volt
Sch 31/35/43</v>
      </c>
      <c r="K6" s="185" t="str">
        <f>+'DWH-3, p1-4 ECOS Summary'!L6</f>
        <v>Campus
Sch 40</v>
      </c>
      <c r="L6" s="185" t="str">
        <f>+'DWH-3, p1-4 ECOS Summary'!M6</f>
        <v>High Volt
Sch 46/49</v>
      </c>
      <c r="M6" s="185" t="str">
        <f>+'DWH-3, p1-4 ECOS Summary'!N6</f>
        <v>Choice /
Retail Wheeling
Sch 448/449</v>
      </c>
      <c r="N6" s="185" t="str">
        <f>+'DWH-3, p1-4 ECOS Summary'!O6</f>
        <v>Lighting
Sch 50-59</v>
      </c>
      <c r="O6" s="185" t="str">
        <f>+'DWH-3, p1-4 ECOS Summary'!P6</f>
        <v>Firm Resale /
Special Contract</v>
      </c>
    </row>
    <row r="7" spans="2:16" ht="12.75">
      <c r="B7" s="9" t="s">
        <v>15</v>
      </c>
      <c r="C7" s="9" t="s">
        <v>16</v>
      </c>
      <c r="D7" s="9" t="s">
        <v>17</v>
      </c>
      <c r="E7" s="9" t="s">
        <v>18</v>
      </c>
      <c r="F7" s="9" t="s">
        <v>19</v>
      </c>
      <c r="G7" s="10" t="s">
        <v>555</v>
      </c>
      <c r="H7" s="10" t="s">
        <v>20</v>
      </c>
      <c r="I7" s="9" t="s">
        <v>21</v>
      </c>
      <c r="J7" s="10" t="s">
        <v>89</v>
      </c>
      <c r="K7" s="10" t="s">
        <v>90</v>
      </c>
      <c r="L7" s="10" t="s">
        <v>22</v>
      </c>
      <c r="M7" s="10" t="s">
        <v>23</v>
      </c>
      <c r="N7" s="10" t="s">
        <v>24</v>
      </c>
      <c r="O7" s="10" t="s">
        <v>25</v>
      </c>
      <c r="P7" s="10"/>
    </row>
    <row r="8" spans="1:4" s="60" customFormat="1" ht="15.75">
      <c r="A8" s="12">
        <v>1</v>
      </c>
      <c r="C8" s="158" t="s">
        <v>514</v>
      </c>
      <c r="D8" s="159"/>
    </row>
    <row r="9" spans="1:15" s="60" customFormat="1" ht="12.75">
      <c r="A9" s="12">
        <f aca="true" t="shared" si="0" ref="A9:A53">+A8+1</f>
        <v>2</v>
      </c>
      <c r="B9" s="49">
        <v>447</v>
      </c>
      <c r="C9" s="60" t="s">
        <v>515</v>
      </c>
      <c r="D9" s="159" t="s">
        <v>186</v>
      </c>
      <c r="E9" s="60">
        <v>1988754542</v>
      </c>
      <c r="F9" s="60">
        <v>1081641002.087757</v>
      </c>
      <c r="G9" s="60">
        <v>250486838.25190324</v>
      </c>
      <c r="H9" s="60">
        <v>273510957.27505755</v>
      </c>
      <c r="I9" s="60">
        <v>166975815.16792</v>
      </c>
      <c r="J9" s="60">
        <v>119679391.12035611</v>
      </c>
      <c r="K9" s="60">
        <v>44722580.04497547</v>
      </c>
      <c r="L9" s="60">
        <v>35238622.03543788</v>
      </c>
      <c r="M9" s="60">
        <v>0</v>
      </c>
      <c r="N9" s="60">
        <v>16499336.016592633</v>
      </c>
      <c r="O9" s="60">
        <v>0</v>
      </c>
    </row>
    <row r="10" spans="1:15" s="60" customFormat="1" ht="12.75">
      <c r="A10" s="12">
        <f t="shared" si="0"/>
        <v>3</v>
      </c>
      <c r="B10" s="49">
        <v>447.01</v>
      </c>
      <c r="C10" s="60" t="s">
        <v>516</v>
      </c>
      <c r="D10" s="159" t="s">
        <v>187</v>
      </c>
      <c r="E10" s="60">
        <v>6224378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6224378</v>
      </c>
      <c r="N10" s="60">
        <v>0</v>
      </c>
      <c r="O10" s="60">
        <v>0</v>
      </c>
    </row>
    <row r="11" spans="1:15" s="60" customFormat="1" ht="12.75">
      <c r="A11" s="12">
        <f t="shared" si="0"/>
        <v>4</v>
      </c>
      <c r="B11" s="49">
        <v>447.02</v>
      </c>
      <c r="C11" s="60" t="s">
        <v>517</v>
      </c>
      <c r="D11" s="159" t="s">
        <v>188</v>
      </c>
      <c r="E11" s="60">
        <v>349279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349279</v>
      </c>
    </row>
    <row r="12" spans="1:15" s="60" customFormat="1" ht="12.75">
      <c r="A12" s="12">
        <f t="shared" si="0"/>
        <v>5</v>
      </c>
      <c r="B12" s="49">
        <v>447.03</v>
      </c>
      <c r="C12" s="60" t="s">
        <v>518</v>
      </c>
      <c r="D12" s="159" t="s">
        <v>189</v>
      </c>
      <c r="E12" s="60">
        <v>7465624</v>
      </c>
      <c r="F12" s="60">
        <v>4368283</v>
      </c>
      <c r="G12" s="60">
        <v>893777</v>
      </c>
      <c r="H12" s="60">
        <v>979551</v>
      </c>
      <c r="I12" s="60">
        <v>582605</v>
      </c>
      <c r="J12" s="60">
        <v>419937</v>
      </c>
      <c r="K12" s="60">
        <v>148770</v>
      </c>
      <c r="L12" s="60">
        <v>111846</v>
      </c>
      <c r="M12" s="60">
        <v>-39145</v>
      </c>
      <c r="N12" s="60">
        <v>0</v>
      </c>
      <c r="O12" s="60">
        <v>0</v>
      </c>
    </row>
    <row r="13" spans="1:15" s="60" customFormat="1" ht="12.75">
      <c r="A13" s="12">
        <f t="shared" si="0"/>
        <v>6</v>
      </c>
      <c r="B13" s="49">
        <v>447.04</v>
      </c>
      <c r="C13" s="60" t="s">
        <v>519</v>
      </c>
      <c r="D13" s="159" t="s">
        <v>190</v>
      </c>
      <c r="E13" s="60">
        <v>-24143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-24143</v>
      </c>
      <c r="N13" s="60">
        <v>0</v>
      </c>
      <c r="O13" s="60">
        <v>0</v>
      </c>
    </row>
    <row r="14" spans="1:15" s="60" customFormat="1" ht="12.75">
      <c r="A14" s="12">
        <f t="shared" si="0"/>
        <v>7</v>
      </c>
      <c r="B14" s="49">
        <v>447.05</v>
      </c>
      <c r="C14" s="60" t="s">
        <v>520</v>
      </c>
      <c r="D14" s="159" t="s">
        <v>191</v>
      </c>
      <c r="E14" s="60">
        <v>974594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974594</v>
      </c>
    </row>
    <row r="15" spans="1:15" s="169" customFormat="1" ht="12.75">
      <c r="A15" s="87">
        <f t="shared" si="0"/>
        <v>8</v>
      </c>
      <c r="B15" s="186"/>
      <c r="C15" s="168" t="s">
        <v>87</v>
      </c>
      <c r="D15" s="163"/>
      <c r="E15" s="168">
        <f aca="true" t="shared" si="1" ref="E15:O15">SUM(E9:E14)</f>
        <v>2003744274</v>
      </c>
      <c r="F15" s="168">
        <f t="shared" si="1"/>
        <v>1086009285.087757</v>
      </c>
      <c r="G15" s="168">
        <f t="shared" si="1"/>
        <v>251380615.25190324</v>
      </c>
      <c r="H15" s="168">
        <f t="shared" si="1"/>
        <v>274490508.27505755</v>
      </c>
      <c r="I15" s="168">
        <f t="shared" si="1"/>
        <v>167558420.16792</v>
      </c>
      <c r="J15" s="168">
        <f t="shared" si="1"/>
        <v>120099328.12035611</v>
      </c>
      <c r="K15" s="168">
        <f t="shared" si="1"/>
        <v>44871350.04497547</v>
      </c>
      <c r="L15" s="168">
        <f t="shared" si="1"/>
        <v>35350468.03543788</v>
      </c>
      <c r="M15" s="168">
        <f t="shared" si="1"/>
        <v>6161090</v>
      </c>
      <c r="N15" s="168">
        <f t="shared" si="1"/>
        <v>16499336.016592633</v>
      </c>
      <c r="O15" s="168">
        <f t="shared" si="1"/>
        <v>1323873</v>
      </c>
    </row>
    <row r="16" spans="1:4" s="169" customFormat="1" ht="12.75">
      <c r="A16" s="12">
        <f t="shared" si="0"/>
        <v>9</v>
      </c>
      <c r="B16" s="187"/>
      <c r="D16" s="159"/>
    </row>
    <row r="17" spans="1:15" s="60" customFormat="1" ht="15.75">
      <c r="A17" s="12">
        <f t="shared" si="0"/>
        <v>10</v>
      </c>
      <c r="C17" s="158" t="s">
        <v>521</v>
      </c>
      <c r="D17" s="15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60" customFormat="1" ht="12.75">
      <c r="A18" s="12">
        <f t="shared" si="0"/>
        <v>11</v>
      </c>
      <c r="B18" s="49">
        <v>447.07</v>
      </c>
      <c r="C18" s="60" t="s">
        <v>522</v>
      </c>
      <c r="D18" s="159"/>
      <c r="E18" s="60">
        <v>14813966</v>
      </c>
      <c r="F18" s="60">
        <v>7897499.215499564</v>
      </c>
      <c r="G18" s="60">
        <v>1793477.730677639</v>
      </c>
      <c r="H18" s="60">
        <v>2045792.1269189587</v>
      </c>
      <c r="I18" s="60">
        <v>1370482.0784111496</v>
      </c>
      <c r="J18" s="60">
        <v>899285.7607808603</v>
      </c>
      <c r="K18" s="60">
        <v>414166.0477402388</v>
      </c>
      <c r="L18" s="60">
        <v>332711.7909290169</v>
      </c>
      <c r="M18" s="60">
        <v>0</v>
      </c>
      <c r="N18" s="60">
        <v>55391.788322290326</v>
      </c>
      <c r="O18" s="60">
        <v>5159.460720283273</v>
      </c>
    </row>
    <row r="19" spans="1:15" s="169" customFormat="1" ht="12.75">
      <c r="A19" s="87">
        <f t="shared" si="0"/>
        <v>12</v>
      </c>
      <c r="B19" s="186"/>
      <c r="C19" s="168" t="s">
        <v>523</v>
      </c>
      <c r="D19" s="163"/>
      <c r="E19" s="168">
        <f aca="true" t="shared" si="2" ref="E19:O19">+E18</f>
        <v>14813966</v>
      </c>
      <c r="F19" s="168">
        <f t="shared" si="2"/>
        <v>7897499.215499564</v>
      </c>
      <c r="G19" s="168">
        <f t="shared" si="2"/>
        <v>1793477.730677639</v>
      </c>
      <c r="H19" s="168">
        <f t="shared" si="2"/>
        <v>2045792.1269189587</v>
      </c>
      <c r="I19" s="168">
        <f t="shared" si="2"/>
        <v>1370482.0784111496</v>
      </c>
      <c r="J19" s="168">
        <f t="shared" si="2"/>
        <v>899285.7607808603</v>
      </c>
      <c r="K19" s="168">
        <f t="shared" si="2"/>
        <v>414166.0477402388</v>
      </c>
      <c r="L19" s="168">
        <f t="shared" si="2"/>
        <v>332711.7909290169</v>
      </c>
      <c r="M19" s="168">
        <f t="shared" si="2"/>
        <v>0</v>
      </c>
      <c r="N19" s="168">
        <f t="shared" si="2"/>
        <v>55391.788322290326</v>
      </c>
      <c r="O19" s="168">
        <f t="shared" si="2"/>
        <v>5159.460720283273</v>
      </c>
    </row>
    <row r="20" spans="1:4" s="60" customFormat="1" ht="12.75">
      <c r="A20" s="12">
        <f t="shared" si="0"/>
        <v>13</v>
      </c>
      <c r="B20" s="49"/>
      <c r="D20" s="159"/>
    </row>
    <row r="21" spans="1:15" s="60" customFormat="1" ht="15.75">
      <c r="A21" s="12">
        <f t="shared" si="0"/>
        <v>14</v>
      </c>
      <c r="C21" s="158" t="s">
        <v>524</v>
      </c>
      <c r="D21" s="15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60" customFormat="1" ht="12.75">
      <c r="A22" s="12">
        <f t="shared" si="0"/>
        <v>15</v>
      </c>
      <c r="B22" s="49">
        <v>450.01</v>
      </c>
      <c r="C22" s="60" t="s">
        <v>525</v>
      </c>
      <c r="D22" s="159" t="s">
        <v>192</v>
      </c>
      <c r="E22" s="60">
        <v>3802761</v>
      </c>
      <c r="F22" s="60">
        <v>3160004.1209678366</v>
      </c>
      <c r="G22" s="60">
        <v>376044.69533930806</v>
      </c>
      <c r="H22" s="60">
        <v>164402.11704854897</v>
      </c>
      <c r="I22" s="60">
        <v>55978.38074318698</v>
      </c>
      <c r="J22" s="60">
        <v>38116.03968777046</v>
      </c>
      <c r="K22" s="60">
        <v>1531.142750256243</v>
      </c>
      <c r="L22" s="60">
        <v>2229.819539208121</v>
      </c>
      <c r="M22" s="60">
        <v>2740.200455960202</v>
      </c>
      <c r="N22" s="60">
        <v>1714.4834679244664</v>
      </c>
      <c r="O22" s="60">
        <v>0</v>
      </c>
    </row>
    <row r="23" spans="1:15" s="60" customFormat="1" ht="12.75">
      <c r="A23" s="12">
        <f t="shared" si="0"/>
        <v>16</v>
      </c>
      <c r="B23" s="49">
        <v>450.02</v>
      </c>
      <c r="C23" s="60" t="s">
        <v>526</v>
      </c>
      <c r="D23" s="159" t="s">
        <v>193</v>
      </c>
      <c r="E23" s="60">
        <v>311584</v>
      </c>
      <c r="F23" s="60">
        <v>276525.12871199753</v>
      </c>
      <c r="G23" s="60">
        <v>32914.09327979526</v>
      </c>
      <c r="H23" s="60">
        <v>1663.5778140581565</v>
      </c>
      <c r="I23" s="60">
        <v>41.24573092706173</v>
      </c>
      <c r="J23" s="60">
        <v>41.24573092706173</v>
      </c>
      <c r="K23" s="60">
        <v>0</v>
      </c>
      <c r="L23" s="60">
        <v>0</v>
      </c>
      <c r="M23" s="60">
        <v>0</v>
      </c>
      <c r="N23" s="60">
        <v>398.70873229493003</v>
      </c>
      <c r="O23" s="60">
        <v>0</v>
      </c>
    </row>
    <row r="24" spans="1:15" s="60" customFormat="1" ht="12.75">
      <c r="A24" s="12">
        <f t="shared" si="0"/>
        <v>17</v>
      </c>
      <c r="B24" s="49">
        <v>451.01</v>
      </c>
      <c r="C24" s="60" t="s">
        <v>527</v>
      </c>
      <c r="D24" s="159" t="s">
        <v>194</v>
      </c>
      <c r="E24" s="60">
        <v>606414</v>
      </c>
      <c r="F24" s="60">
        <v>537482.5394321469</v>
      </c>
      <c r="G24" s="60">
        <v>63770.84093735199</v>
      </c>
      <c r="H24" s="60">
        <v>4701.1986146150375</v>
      </c>
      <c r="I24" s="60">
        <v>459.4210158860746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</row>
    <row r="25" spans="1:15" s="60" customFormat="1" ht="12.75">
      <c r="A25" s="12">
        <f t="shared" si="0"/>
        <v>18</v>
      </c>
      <c r="B25" s="49">
        <v>451.02</v>
      </c>
      <c r="C25" s="60" t="s">
        <v>528</v>
      </c>
      <c r="D25" s="159" t="s">
        <v>195</v>
      </c>
      <c r="E25" s="60">
        <v>207</v>
      </c>
      <c r="F25" s="60">
        <v>207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</row>
    <row r="26" spans="1:15" s="60" customFormat="1" ht="12.75">
      <c r="A26" s="12">
        <f t="shared" si="0"/>
        <v>19</v>
      </c>
      <c r="B26" s="49">
        <v>451.03</v>
      </c>
      <c r="C26" s="60" t="s">
        <v>529</v>
      </c>
      <c r="D26" s="159" t="s">
        <v>196</v>
      </c>
      <c r="E26" s="60">
        <v>991908</v>
      </c>
      <c r="F26" s="60">
        <v>962975.5977716055</v>
      </c>
      <c r="G26" s="60">
        <v>26887.69907559662</v>
      </c>
      <c r="H26" s="60">
        <v>1174.1567840430464</v>
      </c>
      <c r="I26" s="60">
        <v>36.35464519631189</v>
      </c>
      <c r="J26" s="60">
        <v>515.8429385963175</v>
      </c>
      <c r="K26" s="60">
        <v>0</v>
      </c>
      <c r="L26" s="60">
        <v>0</v>
      </c>
      <c r="M26" s="60">
        <v>0</v>
      </c>
      <c r="N26" s="60">
        <v>318.3487849622988</v>
      </c>
      <c r="O26" s="60">
        <v>0</v>
      </c>
    </row>
    <row r="27" spans="1:15" s="60" customFormat="1" ht="12.75">
      <c r="A27" s="12">
        <f t="shared" si="0"/>
        <v>20</v>
      </c>
      <c r="B27" s="49">
        <v>451.04</v>
      </c>
      <c r="C27" s="60" t="s">
        <v>530</v>
      </c>
      <c r="D27" s="159" t="s">
        <v>194</v>
      </c>
      <c r="E27" s="60">
        <v>469867</v>
      </c>
      <c r="F27" s="60">
        <v>416456.92275469325</v>
      </c>
      <c r="G27" s="60">
        <v>49411.48080141746</v>
      </c>
      <c r="H27" s="60">
        <v>3642.6238336405886</v>
      </c>
      <c r="I27" s="60">
        <v>355.9726102486787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</row>
    <row r="28" spans="1:15" s="60" customFormat="1" ht="12.75">
      <c r="A28" s="12">
        <f t="shared" si="0"/>
        <v>21</v>
      </c>
      <c r="B28" s="49">
        <v>451.05</v>
      </c>
      <c r="C28" s="60" t="s">
        <v>531</v>
      </c>
      <c r="D28" s="159" t="s">
        <v>197</v>
      </c>
      <c r="E28" s="60">
        <v>-10660</v>
      </c>
      <c r="F28" s="60">
        <v>-8983.823529411764</v>
      </c>
      <c r="G28" s="60">
        <v>-1676.1764705882354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</row>
    <row r="29" spans="1:15" s="60" customFormat="1" ht="12.75">
      <c r="A29" s="12">
        <f t="shared" si="0"/>
        <v>22</v>
      </c>
      <c r="B29" s="49">
        <v>451.06</v>
      </c>
      <c r="C29" s="60" t="s">
        <v>532</v>
      </c>
      <c r="D29" s="159" t="s">
        <v>198</v>
      </c>
      <c r="E29" s="60">
        <v>1158735</v>
      </c>
      <c r="F29" s="60">
        <v>1071025.5936975288</v>
      </c>
      <c r="G29" s="60">
        <v>83404.45979456537</v>
      </c>
      <c r="H29" s="60">
        <v>3862.246578692963</v>
      </c>
      <c r="I29" s="60">
        <v>275.135937314496</v>
      </c>
      <c r="J29" s="60">
        <v>155.1518443502797</v>
      </c>
      <c r="K29" s="60">
        <v>12.412147548022377</v>
      </c>
      <c r="L29" s="60">
        <v>0</v>
      </c>
      <c r="M29" s="60">
        <v>0</v>
      </c>
      <c r="N29" s="60">
        <v>0</v>
      </c>
      <c r="O29" s="60">
        <v>0</v>
      </c>
    </row>
    <row r="30" spans="1:15" s="60" customFormat="1" ht="12.75">
      <c r="A30" s="12">
        <f t="shared" si="0"/>
        <v>23</v>
      </c>
      <c r="B30" s="49">
        <v>451.07</v>
      </c>
      <c r="C30" s="60" t="s">
        <v>533</v>
      </c>
      <c r="D30" s="159" t="s">
        <v>199</v>
      </c>
      <c r="E30" s="60">
        <v>325272</v>
      </c>
      <c r="F30" s="60">
        <v>313705.75203108444</v>
      </c>
      <c r="G30" s="60">
        <v>10321.535853055459</v>
      </c>
      <c r="H30" s="60">
        <v>670.229600847757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574.4825150123631</v>
      </c>
      <c r="O30" s="60">
        <v>0</v>
      </c>
    </row>
    <row r="31" spans="1:15" s="60" customFormat="1" ht="12.75">
      <c r="A31" s="12">
        <f t="shared" si="0"/>
        <v>24</v>
      </c>
      <c r="B31" s="49">
        <v>451.08</v>
      </c>
      <c r="C31" s="60" t="s">
        <v>534</v>
      </c>
      <c r="D31" s="159" t="s">
        <v>194</v>
      </c>
      <c r="E31" s="60">
        <v>7202919</v>
      </c>
      <c r="F31" s="60">
        <v>6384158.669562478</v>
      </c>
      <c r="G31" s="60">
        <v>757463.0563173516</v>
      </c>
      <c r="H31" s="60">
        <v>55840.32166800953</v>
      </c>
      <c r="I31" s="60">
        <v>5456.952452161574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</row>
    <row r="32" spans="1:15" s="60" customFormat="1" ht="12.75">
      <c r="A32" s="12">
        <f t="shared" si="0"/>
        <v>25</v>
      </c>
      <c r="B32" s="49">
        <v>451.09</v>
      </c>
      <c r="C32" s="60" t="s">
        <v>535</v>
      </c>
      <c r="D32" s="159" t="s">
        <v>194</v>
      </c>
      <c r="E32" s="60">
        <v>-30012</v>
      </c>
      <c r="F32" s="60">
        <v>-26600.517094654133</v>
      </c>
      <c r="G32" s="60">
        <v>-3156.078979396597</v>
      </c>
      <c r="H32" s="60">
        <v>-232.66674717573557</v>
      </c>
      <c r="I32" s="60">
        <v>-22.737178773532392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</row>
    <row r="33" spans="1:15" s="60" customFormat="1" ht="12.75">
      <c r="A33" s="12">
        <f t="shared" si="0"/>
        <v>26</v>
      </c>
      <c r="B33" s="49">
        <v>454.01</v>
      </c>
      <c r="C33" s="60" t="s">
        <v>536</v>
      </c>
      <c r="D33" s="159" t="s">
        <v>200</v>
      </c>
      <c r="E33" s="60">
        <v>48486</v>
      </c>
      <c r="F33" s="60">
        <v>25848.455907264255</v>
      </c>
      <c r="G33" s="60">
        <v>5870.039208246866</v>
      </c>
      <c r="H33" s="60">
        <v>6695.862341373851</v>
      </c>
      <c r="I33" s="60">
        <v>4485.577599802983</v>
      </c>
      <c r="J33" s="60">
        <v>2943.3555738700084</v>
      </c>
      <c r="K33" s="60">
        <v>1355.5623788209866</v>
      </c>
      <c r="L33" s="60">
        <v>1088.963205058275</v>
      </c>
      <c r="M33" s="60">
        <v>0</v>
      </c>
      <c r="N33" s="60">
        <v>181.29690918654524</v>
      </c>
      <c r="O33" s="60">
        <v>16.886876376228674</v>
      </c>
    </row>
    <row r="34" spans="1:15" s="60" customFormat="1" ht="12.75">
      <c r="A34" s="12">
        <f t="shared" si="0"/>
        <v>27</v>
      </c>
      <c r="B34" s="49">
        <v>454.02</v>
      </c>
      <c r="C34" s="60" t="s">
        <v>537</v>
      </c>
      <c r="D34" s="159" t="s">
        <v>201</v>
      </c>
      <c r="E34" s="60">
        <v>5743376</v>
      </c>
      <c r="F34" s="60">
        <v>3604399.546314373</v>
      </c>
      <c r="G34" s="60">
        <v>660134.9266908588</v>
      </c>
      <c r="H34" s="60">
        <v>601107.6242048973</v>
      </c>
      <c r="I34" s="60">
        <v>300364.56721027236</v>
      </c>
      <c r="J34" s="60">
        <v>302710.712758253</v>
      </c>
      <c r="K34" s="60">
        <v>54738.013358430246</v>
      </c>
      <c r="L34" s="60">
        <v>39226.39570660328</v>
      </c>
      <c r="M34" s="60">
        <v>144528.08984678384</v>
      </c>
      <c r="N34" s="60">
        <v>21442.592978937606</v>
      </c>
      <c r="O34" s="60">
        <v>14723.5309305907</v>
      </c>
    </row>
    <row r="35" spans="1:15" s="60" customFormat="1" ht="12.75">
      <c r="A35" s="12">
        <f t="shared" si="0"/>
        <v>28</v>
      </c>
      <c r="B35" s="49">
        <v>454.03</v>
      </c>
      <c r="C35" s="60" t="s">
        <v>538</v>
      </c>
      <c r="D35" s="159" t="s">
        <v>201</v>
      </c>
      <c r="E35" s="60">
        <v>3269463</v>
      </c>
      <c r="F35" s="60">
        <v>2051833.443238198</v>
      </c>
      <c r="G35" s="60">
        <v>375787.11855596345</v>
      </c>
      <c r="H35" s="60">
        <v>342185.35167396604</v>
      </c>
      <c r="I35" s="60">
        <v>170984.946659421</v>
      </c>
      <c r="J35" s="60">
        <v>172320.5088900215</v>
      </c>
      <c r="K35" s="60">
        <v>31160.054533935</v>
      </c>
      <c r="L35" s="60">
        <v>22329.941377005143</v>
      </c>
      <c r="M35" s="60">
        <v>82273.77803834113</v>
      </c>
      <c r="N35" s="60">
        <v>12206.368583337793</v>
      </c>
      <c r="O35" s="60">
        <v>8381.48844981103</v>
      </c>
    </row>
    <row r="36" spans="1:15" s="60" customFormat="1" ht="12.75">
      <c r="A36" s="12">
        <f t="shared" si="0"/>
        <v>29</v>
      </c>
      <c r="B36" s="49">
        <v>454.04</v>
      </c>
      <c r="C36" s="60" t="s">
        <v>539</v>
      </c>
      <c r="D36" s="159" t="s">
        <v>202</v>
      </c>
      <c r="E36" s="60">
        <v>485486</v>
      </c>
      <c r="F36" s="60">
        <v>284697.8642532475</v>
      </c>
      <c r="G36" s="60">
        <v>58184.82881873421</v>
      </c>
      <c r="H36" s="60">
        <v>57261.67121215405</v>
      </c>
      <c r="I36" s="60">
        <v>33741.23577241305</v>
      </c>
      <c r="J36" s="60">
        <v>25896.425016468285</v>
      </c>
      <c r="K36" s="60">
        <v>9830.82878801955</v>
      </c>
      <c r="L36" s="60">
        <v>6894.583597817735</v>
      </c>
      <c r="M36" s="60">
        <v>4307.6345391971245</v>
      </c>
      <c r="N36" s="60">
        <v>4174.04484689001</v>
      </c>
      <c r="O36" s="60">
        <v>496.88315505848516</v>
      </c>
    </row>
    <row r="37" spans="1:15" s="60" customFormat="1" ht="12.75">
      <c r="A37" s="12">
        <f t="shared" si="0"/>
        <v>30</v>
      </c>
      <c r="B37" s="49">
        <v>454.05</v>
      </c>
      <c r="C37" s="60" t="s">
        <v>540</v>
      </c>
      <c r="D37" s="159" t="s">
        <v>203</v>
      </c>
      <c r="E37" s="60">
        <v>21948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21948</v>
      </c>
      <c r="L37" s="60">
        <v>0</v>
      </c>
      <c r="M37" s="60">
        <v>0</v>
      </c>
      <c r="N37" s="60">
        <v>0</v>
      </c>
      <c r="O37" s="60">
        <v>0</v>
      </c>
    </row>
    <row r="38" spans="1:15" s="60" customFormat="1" ht="12.75">
      <c r="A38" s="12">
        <f t="shared" si="0"/>
        <v>31</v>
      </c>
      <c r="B38" s="49">
        <v>454.06</v>
      </c>
      <c r="C38" s="60" t="s">
        <v>541</v>
      </c>
      <c r="D38" s="159" t="s">
        <v>204</v>
      </c>
      <c r="E38" s="60">
        <v>3077916</v>
      </c>
      <c r="F38" s="60">
        <v>0</v>
      </c>
      <c r="G38" s="60">
        <v>0</v>
      </c>
      <c r="H38" s="60">
        <v>0</v>
      </c>
      <c r="I38" s="60">
        <v>0</v>
      </c>
      <c r="J38" s="60">
        <v>451673.77076615684</v>
      </c>
      <c r="K38" s="60">
        <v>71619.7948622276</v>
      </c>
      <c r="L38" s="60">
        <v>1449736.467992101</v>
      </c>
      <c r="M38" s="60">
        <v>1101478.1495809315</v>
      </c>
      <c r="N38" s="60">
        <v>0</v>
      </c>
      <c r="O38" s="60">
        <v>3407.8167985828677</v>
      </c>
    </row>
    <row r="39" spans="1:15" s="60" customFormat="1" ht="12.75">
      <c r="A39" s="12">
        <f t="shared" si="0"/>
        <v>32</v>
      </c>
      <c r="B39" s="49">
        <v>454.07</v>
      </c>
      <c r="C39" s="60" t="s">
        <v>542</v>
      </c>
      <c r="D39" s="159" t="s">
        <v>205</v>
      </c>
      <c r="E39" s="60">
        <v>52009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52009</v>
      </c>
      <c r="O39" s="60">
        <v>0</v>
      </c>
    </row>
    <row r="40" spans="1:15" s="60" customFormat="1" ht="12.75">
      <c r="A40" s="12">
        <f t="shared" si="0"/>
        <v>33</v>
      </c>
      <c r="B40" s="49">
        <v>456.01</v>
      </c>
      <c r="C40" s="60" t="s">
        <v>543</v>
      </c>
      <c r="D40" s="159" t="s">
        <v>206</v>
      </c>
      <c r="E40" s="60">
        <v>9099849</v>
      </c>
      <c r="F40" s="60">
        <v>4851236.349446494</v>
      </c>
      <c r="G40" s="60">
        <v>1101688.5372917138</v>
      </c>
      <c r="H40" s="60">
        <v>1256678.9636449388</v>
      </c>
      <c r="I40" s="60">
        <v>841852.8819863378</v>
      </c>
      <c r="J40" s="60">
        <v>552408.7628495941</v>
      </c>
      <c r="K40" s="60">
        <v>254411.84996394374</v>
      </c>
      <c r="L40" s="60">
        <v>204376.53616685927</v>
      </c>
      <c r="M40" s="60">
        <v>0</v>
      </c>
      <c r="N40" s="60">
        <v>34025.79090385419</v>
      </c>
      <c r="O40" s="60">
        <v>3169.327746263831</v>
      </c>
    </row>
    <row r="41" spans="1:15" s="60" customFormat="1" ht="12.75">
      <c r="A41" s="12">
        <f t="shared" si="0"/>
        <v>34</v>
      </c>
      <c r="B41" s="49">
        <v>456.02</v>
      </c>
      <c r="C41" s="60" t="s">
        <v>544</v>
      </c>
      <c r="D41" s="159" t="s">
        <v>207</v>
      </c>
      <c r="E41" s="60">
        <v>31855</v>
      </c>
      <c r="F41" s="60">
        <v>20370.327928685663</v>
      </c>
      <c r="G41" s="60">
        <v>3792.845155688906</v>
      </c>
      <c r="H41" s="60">
        <v>3152.8668069716628</v>
      </c>
      <c r="I41" s="60">
        <v>1517.0979494617297</v>
      </c>
      <c r="J41" s="60">
        <v>1479.5315730554435</v>
      </c>
      <c r="K41" s="60">
        <v>411.34724746981703</v>
      </c>
      <c r="L41" s="60">
        <v>201.24447279774955</v>
      </c>
      <c r="M41" s="60">
        <v>459.8610314186953</v>
      </c>
      <c r="N41" s="60">
        <v>423.4185916681239</v>
      </c>
      <c r="O41" s="60">
        <v>46.459242782214005</v>
      </c>
    </row>
    <row r="42" spans="1:15" s="60" customFormat="1" ht="12.75">
      <c r="A42" s="12">
        <f t="shared" si="0"/>
        <v>35</v>
      </c>
      <c r="B42" s="49">
        <v>456.03</v>
      </c>
      <c r="C42" s="60" t="s">
        <v>545</v>
      </c>
      <c r="D42" s="159" t="s">
        <v>208</v>
      </c>
      <c r="E42" s="60">
        <v>137430</v>
      </c>
      <c r="F42" s="60">
        <v>90234.28255831511</v>
      </c>
      <c r="G42" s="60">
        <v>15220.969060392248</v>
      </c>
      <c r="H42" s="60">
        <v>13912.459530321305</v>
      </c>
      <c r="I42" s="60">
        <v>6818.71114632911</v>
      </c>
      <c r="J42" s="60">
        <v>6584.636088487008</v>
      </c>
      <c r="K42" s="60">
        <v>1801.665584745046</v>
      </c>
      <c r="L42" s="60">
        <v>514.9594791015907</v>
      </c>
      <c r="M42" s="60">
        <v>1476.8301623891625</v>
      </c>
      <c r="N42" s="60">
        <v>668.5626069671713</v>
      </c>
      <c r="O42" s="60">
        <v>196.92378295225907</v>
      </c>
    </row>
    <row r="43" spans="1:15" s="60" customFormat="1" ht="12.75">
      <c r="A43" s="12">
        <f t="shared" si="0"/>
        <v>36</v>
      </c>
      <c r="B43" s="49">
        <v>456.04</v>
      </c>
      <c r="C43" s="60" t="s">
        <v>546</v>
      </c>
      <c r="D43" s="159" t="s">
        <v>200</v>
      </c>
      <c r="E43" s="60">
        <v>600000</v>
      </c>
      <c r="F43" s="60">
        <v>319867.0450100762</v>
      </c>
      <c r="G43" s="60">
        <v>72640.01000181743</v>
      </c>
      <c r="H43" s="60">
        <v>82859.32856544798</v>
      </c>
      <c r="I43" s="60">
        <v>55507.70448958028</v>
      </c>
      <c r="J43" s="60">
        <v>36423.16017658716</v>
      </c>
      <c r="K43" s="60">
        <v>16774.68603911628</v>
      </c>
      <c r="L43" s="60">
        <v>13475.599617105247</v>
      </c>
      <c r="M43" s="60">
        <v>0</v>
      </c>
      <c r="N43" s="60">
        <v>2243.4959681542537</v>
      </c>
      <c r="O43" s="60">
        <v>208.97013211519211</v>
      </c>
    </row>
    <row r="44" spans="1:15" s="60" customFormat="1" ht="12.75">
      <c r="A44" s="12">
        <f t="shared" si="0"/>
        <v>37</v>
      </c>
      <c r="B44" s="49">
        <v>456.05</v>
      </c>
      <c r="C44" s="60" t="s">
        <v>547</v>
      </c>
      <c r="D44" s="159" t="s">
        <v>209</v>
      </c>
      <c r="E44" s="60">
        <v>1019155</v>
      </c>
      <c r="F44" s="60">
        <v>616930.4452144941</v>
      </c>
      <c r="G44" s="60">
        <v>120444.92555156922</v>
      </c>
      <c r="H44" s="60">
        <v>109913.12541341</v>
      </c>
      <c r="I44" s="60">
        <v>66544.13028577181</v>
      </c>
      <c r="J44" s="60">
        <v>48614.65421353869</v>
      </c>
      <c r="K44" s="60">
        <v>20319.30093058026</v>
      </c>
      <c r="L44" s="60">
        <v>14714.153889828049</v>
      </c>
      <c r="M44" s="60">
        <v>9901.25204916684</v>
      </c>
      <c r="N44" s="60">
        <v>10730.565793517651</v>
      </c>
      <c r="O44" s="60">
        <v>1042.4466581233294</v>
      </c>
    </row>
    <row r="45" spans="1:15" s="60" customFormat="1" ht="12.75">
      <c r="A45" s="12">
        <f t="shared" si="0"/>
        <v>38</v>
      </c>
      <c r="B45" s="49">
        <v>456.06</v>
      </c>
      <c r="C45" s="60" t="s">
        <v>548</v>
      </c>
      <c r="D45" s="159" t="s">
        <v>201</v>
      </c>
      <c r="E45" s="60">
        <v>247290</v>
      </c>
      <c r="F45" s="60">
        <v>155193.03695388936</v>
      </c>
      <c r="G45" s="60">
        <v>28423.137545127196</v>
      </c>
      <c r="H45" s="60">
        <v>25881.625091170954</v>
      </c>
      <c r="I45" s="60">
        <v>12932.664311970566</v>
      </c>
      <c r="J45" s="60">
        <v>13033.681263073908</v>
      </c>
      <c r="K45" s="60">
        <v>2356.830429246878</v>
      </c>
      <c r="L45" s="60">
        <v>1688.953569170106</v>
      </c>
      <c r="M45" s="60">
        <v>6222.882036316476</v>
      </c>
      <c r="N45" s="60">
        <v>923.2442413245243</v>
      </c>
      <c r="O45" s="60">
        <v>633.9445587100295</v>
      </c>
    </row>
    <row r="46" spans="1:15" s="60" customFormat="1" ht="12.75">
      <c r="A46" s="12">
        <f t="shared" si="0"/>
        <v>39</v>
      </c>
      <c r="B46" s="49">
        <v>456.07</v>
      </c>
      <c r="C46" s="60" t="s">
        <v>549</v>
      </c>
      <c r="D46" s="159" t="s">
        <v>200</v>
      </c>
      <c r="E46" s="60">
        <v>214376</v>
      </c>
      <c r="F46" s="60">
        <v>114286.36273513349</v>
      </c>
      <c r="G46" s="60">
        <v>25953.79130691602</v>
      </c>
      <c r="H46" s="60">
        <v>29605.085700910797</v>
      </c>
      <c r="I46" s="60">
        <v>19832.532762763774</v>
      </c>
      <c r="J46" s="60">
        <v>13013.752310026746</v>
      </c>
      <c r="K46" s="60">
        <v>5993.483490535987</v>
      </c>
      <c r="L46" s="60">
        <v>4814.741905860924</v>
      </c>
      <c r="M46" s="60">
        <v>0</v>
      </c>
      <c r="N46" s="60">
        <v>801.5861527817272</v>
      </c>
      <c r="O46" s="60">
        <v>74.66363507054405</v>
      </c>
    </row>
    <row r="47" spans="1:15" s="60" customFormat="1" ht="12.75">
      <c r="A47" s="12">
        <f t="shared" si="0"/>
        <v>40</v>
      </c>
      <c r="B47" s="49">
        <v>456.08</v>
      </c>
      <c r="C47" s="60" t="s">
        <v>550</v>
      </c>
      <c r="D47" s="159" t="s">
        <v>206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</row>
    <row r="48" spans="1:15" s="60" customFormat="1" ht="12.75">
      <c r="A48" s="12">
        <f t="shared" si="0"/>
        <v>41</v>
      </c>
      <c r="B48" s="49">
        <v>456.09</v>
      </c>
      <c r="C48" s="60" t="s">
        <v>551</v>
      </c>
      <c r="D48" s="159" t="s">
        <v>200</v>
      </c>
      <c r="E48" s="60">
        <v>4737</v>
      </c>
      <c r="F48" s="60">
        <v>2525.3503203545515</v>
      </c>
      <c r="G48" s="60">
        <v>573.4928789643486</v>
      </c>
      <c r="H48" s="60">
        <v>654.1743990242118</v>
      </c>
      <c r="I48" s="60">
        <v>438.2333269452364</v>
      </c>
      <c r="J48" s="60">
        <v>287.56084959415557</v>
      </c>
      <c r="K48" s="60">
        <v>132.43614627882303</v>
      </c>
      <c r="L48" s="60">
        <v>106.38985897704592</v>
      </c>
      <c r="M48" s="60">
        <v>0</v>
      </c>
      <c r="N48" s="60">
        <v>17.712400668577832</v>
      </c>
      <c r="O48" s="60">
        <v>1.6498191930494415</v>
      </c>
    </row>
    <row r="49" spans="1:15" s="60" customFormat="1" ht="12.75">
      <c r="A49" s="12">
        <f t="shared" si="0"/>
        <v>42</v>
      </c>
      <c r="B49" s="49">
        <v>456.1</v>
      </c>
      <c r="C49" s="60" t="s">
        <v>552</v>
      </c>
      <c r="D49" s="159" t="s">
        <v>200</v>
      </c>
      <c r="E49" s="60">
        <v>500</v>
      </c>
      <c r="F49" s="60">
        <v>266.55587084173015</v>
      </c>
      <c r="G49" s="60">
        <v>60.53334166818119</v>
      </c>
      <c r="H49" s="60">
        <v>69.04944047120665</v>
      </c>
      <c r="I49" s="60">
        <v>46.25642040798357</v>
      </c>
      <c r="J49" s="60">
        <v>30.352633480489295</v>
      </c>
      <c r="K49" s="60">
        <v>13.9789050325969</v>
      </c>
      <c r="L49" s="60">
        <v>11.229666347587706</v>
      </c>
      <c r="M49" s="60">
        <v>0</v>
      </c>
      <c r="N49" s="60">
        <v>1.8695799734618779</v>
      </c>
      <c r="O49" s="60">
        <v>0.1741417767626601</v>
      </c>
    </row>
    <row r="50" spans="1:15" s="60" customFormat="1" ht="12.75">
      <c r="A50" s="12">
        <f t="shared" si="0"/>
        <v>43</v>
      </c>
      <c r="B50" s="49">
        <v>456.11</v>
      </c>
      <c r="C50" s="60" t="s">
        <v>210</v>
      </c>
      <c r="D50" s="159" t="s">
        <v>211</v>
      </c>
      <c r="E50" s="60">
        <v>-19</v>
      </c>
      <c r="F50" s="60">
        <v>-15.473727800838034</v>
      </c>
      <c r="G50" s="60">
        <v>-2.349006656188682</v>
      </c>
      <c r="H50" s="60">
        <v>-0.2581377515114537</v>
      </c>
      <c r="I50" s="60">
        <v>-0.18989035414691405</v>
      </c>
      <c r="J50" s="60">
        <v>-0.15749319544017043</v>
      </c>
      <c r="K50" s="60">
        <v>-0.3291834850187418</v>
      </c>
      <c r="L50" s="60">
        <v>-0.1108828581115762</v>
      </c>
      <c r="M50" s="60">
        <v>-0.0554414290557881</v>
      </c>
      <c r="N50" s="60">
        <v>-0.07087955373064689</v>
      </c>
      <c r="O50" s="60">
        <v>-0.0053569159580002974</v>
      </c>
    </row>
    <row r="51" spans="1:15" s="60" customFormat="1" ht="12.75">
      <c r="A51" s="12">
        <f t="shared" si="0"/>
        <v>44</v>
      </c>
      <c r="B51" s="49">
        <v>456.12</v>
      </c>
      <c r="C51" s="60" t="s">
        <v>212</v>
      </c>
      <c r="D51" s="159" t="s">
        <v>205</v>
      </c>
      <c r="E51" s="60">
        <v>-2221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-2221</v>
      </c>
      <c r="O51" s="60">
        <v>0</v>
      </c>
    </row>
    <row r="52" spans="1:15" s="60" customFormat="1" ht="12.75">
      <c r="A52" s="12">
        <f t="shared" si="0"/>
        <v>45</v>
      </c>
      <c r="B52" s="49">
        <v>456.13</v>
      </c>
      <c r="C52" s="60" t="s">
        <v>213</v>
      </c>
      <c r="D52" s="159" t="s">
        <v>194</v>
      </c>
      <c r="E52" s="60">
        <v>958</v>
      </c>
      <c r="F52" s="60">
        <v>849.103537807499</v>
      </c>
      <c r="G52" s="60">
        <v>100.74382454557977</v>
      </c>
      <c r="H52" s="60">
        <v>7.426854051524546</v>
      </c>
      <c r="I52" s="60">
        <v>0.7257835953966424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</row>
    <row r="53" spans="1:15" s="169" customFormat="1" ht="12.75">
      <c r="A53" s="87">
        <f t="shared" si="0"/>
        <v>46</v>
      </c>
      <c r="B53" s="186"/>
      <c r="C53" s="168" t="s">
        <v>553</v>
      </c>
      <c r="D53" s="163"/>
      <c r="E53" s="168">
        <f aca="true" t="shared" si="3" ref="E53:O53">SUM(E22:E52)</f>
        <v>38881589</v>
      </c>
      <c r="F53" s="168">
        <f t="shared" si="3"/>
        <v>25225479.67986668</v>
      </c>
      <c r="G53" s="168">
        <f t="shared" si="3"/>
        <v>3864259.1561740073</v>
      </c>
      <c r="H53" s="168">
        <f t="shared" si="3"/>
        <v>2765708.161936639</v>
      </c>
      <c r="I53" s="168">
        <f t="shared" si="3"/>
        <v>1577647.8017708666</v>
      </c>
      <c r="J53" s="168">
        <f t="shared" si="3"/>
        <v>1666248.9876706558</v>
      </c>
      <c r="K53" s="168">
        <f t="shared" si="3"/>
        <v>494411.05837270204</v>
      </c>
      <c r="L53" s="168">
        <f t="shared" si="3"/>
        <v>1761409.8691609832</v>
      </c>
      <c r="M53" s="168">
        <f t="shared" si="3"/>
        <v>1353388.6222990758</v>
      </c>
      <c r="N53" s="168">
        <f t="shared" si="3"/>
        <v>140634.50217790197</v>
      </c>
      <c r="O53" s="168">
        <f t="shared" si="3"/>
        <v>32401.160570490567</v>
      </c>
    </row>
    <row r="54" spans="1:15" s="169" customFormat="1" ht="12.75">
      <c r="A54" s="188">
        <f>+A53+1</f>
        <v>47</v>
      </c>
      <c r="B54" s="189"/>
      <c r="C54" s="190"/>
      <c r="D54" s="191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s="60" customFormat="1" ht="12.75">
      <c r="A55" s="87">
        <f>+A54+1</f>
        <v>48</v>
      </c>
      <c r="B55" s="192"/>
      <c r="C55" s="162" t="s">
        <v>554</v>
      </c>
      <c r="D55" s="163"/>
      <c r="E55" s="168">
        <f aca="true" t="shared" si="4" ref="E55:O55">SUM(E53,E19,E15)</f>
        <v>2057439829</v>
      </c>
      <c r="F55" s="168">
        <f t="shared" si="4"/>
        <v>1119132263.9831233</v>
      </c>
      <c r="G55" s="168">
        <f t="shared" si="4"/>
        <v>257038352.13875487</v>
      </c>
      <c r="H55" s="168">
        <f t="shared" si="4"/>
        <v>279302008.56391317</v>
      </c>
      <c r="I55" s="168">
        <f t="shared" si="4"/>
        <v>170506550.04810202</v>
      </c>
      <c r="J55" s="168">
        <f t="shared" si="4"/>
        <v>122664862.86880763</v>
      </c>
      <c r="K55" s="168">
        <f t="shared" si="4"/>
        <v>45779927.15108841</v>
      </c>
      <c r="L55" s="168">
        <f t="shared" si="4"/>
        <v>37444589.69552788</v>
      </c>
      <c r="M55" s="168">
        <f t="shared" si="4"/>
        <v>7514478.622299076</v>
      </c>
      <c r="N55" s="168">
        <f t="shared" si="4"/>
        <v>16695362.307092825</v>
      </c>
      <c r="O55" s="168">
        <f t="shared" si="4"/>
        <v>1361433.6212907739</v>
      </c>
    </row>
    <row r="56" ht="12.75">
      <c r="D56" s="13"/>
    </row>
    <row r="73" ht="12.75">
      <c r="C73" s="69"/>
    </row>
  </sheetData>
  <sheetProtection/>
  <printOptions horizontalCentered="1"/>
  <pageMargins left="0.25" right="0.25" top="0.6" bottom="0.75" header="0.22" footer="0.46"/>
  <pageSetup horizontalDpi="600" verticalDpi="600" orientation="landscape" pageOrder="overThenDown" scale="55" r:id="rId1"/>
  <headerFooter alignWithMargins="0">
    <oddFooter>&amp;R&amp;"Times New Roman,Regular"Exhibit No.___(DWH-3)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IV150"/>
  <sheetViews>
    <sheetView showGridLines="0" workbookViewId="0" topLeftCell="A1">
      <pane xSplit="4" ySplit="6" topLeftCell="E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5.57421875" style="3" bestFit="1" customWidth="1"/>
    <col min="2" max="2" width="9.8515625" style="49" bestFit="1" customWidth="1"/>
    <col min="3" max="3" width="40.28125" style="3" bestFit="1" customWidth="1"/>
    <col min="4" max="4" width="14.28125" style="3" bestFit="1" customWidth="1"/>
    <col min="5" max="6" width="14.140625" style="3" bestFit="1" customWidth="1"/>
    <col min="7" max="7" width="13.28125" style="3" bestFit="1" customWidth="1"/>
    <col min="8" max="8" width="16.7109375" style="3" bestFit="1" customWidth="1"/>
    <col min="9" max="11" width="13.00390625" style="3" bestFit="1" customWidth="1"/>
    <col min="12" max="12" width="12.28125" style="3" bestFit="1" customWidth="1"/>
    <col min="13" max="13" width="15.8515625" style="3" bestFit="1" customWidth="1"/>
    <col min="14" max="14" width="11.28125" style="3" bestFit="1" customWidth="1"/>
    <col min="15" max="15" width="13.421875" style="3" customWidth="1"/>
    <col min="16" max="16384" width="9.140625" style="3" customWidth="1"/>
  </cols>
  <sheetData>
    <row r="1" spans="1:16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75">
      <c r="A2" s="1" t="s">
        <v>556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.75">
      <c r="A3" s="1" t="s">
        <v>558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>
      <c r="A4" s="1" t="s">
        <v>267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56" s="155" customFormat="1" ht="15.75">
      <c r="A5" s="150"/>
      <c r="B5" s="150"/>
      <c r="C5" s="151"/>
      <c r="D5" s="152"/>
      <c r="E5" s="151"/>
      <c r="F5" s="153"/>
      <c r="G5" s="153"/>
      <c r="H5" s="154"/>
      <c r="I5" s="154"/>
      <c r="J5" s="154"/>
      <c r="K5" s="154"/>
      <c r="L5" s="154"/>
      <c r="M5" s="154"/>
      <c r="N5" s="154"/>
      <c r="O5" s="15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5" ht="38.25">
      <c r="A6" s="156" t="s">
        <v>2</v>
      </c>
      <c r="B6" s="156" t="s">
        <v>84</v>
      </c>
      <c r="C6" s="156" t="s">
        <v>85</v>
      </c>
      <c r="D6" s="156" t="s">
        <v>86</v>
      </c>
      <c r="E6" s="156" t="s">
        <v>65</v>
      </c>
      <c r="F6" s="156" t="str">
        <f>+'DWH-3, p1-4 ECOS Summary'!G6</f>
        <v>Residential
Sch 7</v>
      </c>
      <c r="G6" s="156" t="str">
        <f>+'DWH-3, p1-4 ECOS Summary'!H6</f>
        <v>Sec Volt
Sch 24
(kW&lt; 50)</v>
      </c>
      <c r="H6" s="156" t="str">
        <f>+'DWH-3, p1-4 ECOS Summary'!I6</f>
        <v>Sec Volt
Sch 25
(kW &gt; 50 &amp; &lt; 350)</v>
      </c>
      <c r="I6" s="156" t="str">
        <f>+'DWH-3, p1-4 ECOS Summary'!J6</f>
        <v>Sec Volt
Sch 26
(kW &gt; 350)</v>
      </c>
      <c r="J6" s="156" t="str">
        <f>+'DWH-3, p1-4 ECOS Summary'!K6</f>
        <v>Pri Volt
Sch 31/35/43</v>
      </c>
      <c r="K6" s="156" t="str">
        <f>+'DWH-3, p1-4 ECOS Summary'!L6</f>
        <v>Campus
Sch 40</v>
      </c>
      <c r="L6" s="156" t="str">
        <f>+'DWH-3, p1-4 ECOS Summary'!M6</f>
        <v>High Volt
Sch 46/49</v>
      </c>
      <c r="M6" s="156" t="str">
        <f>+'DWH-3, p1-4 ECOS Summary'!N6</f>
        <v>Choice /
Retail Wheeling
Sch 448/449</v>
      </c>
      <c r="N6" s="156" t="str">
        <f>+'DWH-3, p1-4 ECOS Summary'!O6</f>
        <v>Lighting
Sch 50-59</v>
      </c>
      <c r="O6" s="156" t="str">
        <f>+'DWH-3, p1-4 ECOS Summary'!P6</f>
        <v>Firm Resale /
Special Contract</v>
      </c>
    </row>
    <row r="7" spans="2:16" ht="12.75">
      <c r="B7" s="9" t="s">
        <v>15</v>
      </c>
      <c r="C7" s="9" t="s">
        <v>16</v>
      </c>
      <c r="D7" s="9" t="s">
        <v>17</v>
      </c>
      <c r="E7" s="9" t="s">
        <v>18</v>
      </c>
      <c r="F7" s="9" t="s">
        <v>19</v>
      </c>
      <c r="G7" s="10" t="s">
        <v>555</v>
      </c>
      <c r="H7" s="10" t="s">
        <v>20</v>
      </c>
      <c r="I7" s="9" t="s">
        <v>21</v>
      </c>
      <c r="J7" s="10" t="s">
        <v>89</v>
      </c>
      <c r="K7" s="10" t="s">
        <v>90</v>
      </c>
      <c r="L7" s="10" t="s">
        <v>22</v>
      </c>
      <c r="M7" s="10" t="s">
        <v>23</v>
      </c>
      <c r="N7" s="10" t="s">
        <v>24</v>
      </c>
      <c r="O7" s="10" t="s">
        <v>25</v>
      </c>
      <c r="P7" s="10"/>
    </row>
    <row r="8" spans="1:15" s="60" customFormat="1" ht="15.75">
      <c r="A8" s="12">
        <v>1</v>
      </c>
      <c r="B8" s="174"/>
      <c r="C8" s="158" t="s">
        <v>406</v>
      </c>
      <c r="D8" s="15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60" customFormat="1" ht="12.75">
      <c r="A9" s="12">
        <f aca="true" t="shared" si="0" ref="A9:A40">+A8+1</f>
        <v>2</v>
      </c>
      <c r="B9" s="157"/>
      <c r="C9" s="3"/>
      <c r="D9" s="15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60" customFormat="1" ht="15.75">
      <c r="A10" s="12">
        <f t="shared" si="0"/>
        <v>3</v>
      </c>
      <c r="B10" s="174"/>
      <c r="C10" s="158" t="s">
        <v>407</v>
      </c>
      <c r="D10" s="15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60" customFormat="1" ht="12.75">
      <c r="A11" s="12">
        <f t="shared" si="0"/>
        <v>4</v>
      </c>
      <c r="B11" s="157"/>
      <c r="C11" s="3"/>
      <c r="D11" s="15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60" customFormat="1" ht="13.5">
      <c r="A12" s="12">
        <f t="shared" si="0"/>
        <v>5</v>
      </c>
      <c r="B12" s="164"/>
      <c r="C12" s="5" t="s">
        <v>408</v>
      </c>
      <c r="D12" s="159"/>
      <c r="E12" s="3"/>
      <c r="F12" s="165"/>
      <c r="G12" s="165"/>
      <c r="H12" s="165"/>
      <c r="I12" s="165"/>
      <c r="J12" s="165"/>
      <c r="K12" s="3"/>
      <c r="L12" s="3"/>
      <c r="M12" s="3"/>
      <c r="N12" s="3"/>
      <c r="O12" s="3"/>
    </row>
    <row r="13" spans="1:15" s="60" customFormat="1" ht="12.75">
      <c r="A13" s="12">
        <f t="shared" si="0"/>
        <v>6</v>
      </c>
      <c r="B13" s="157" t="s">
        <v>409</v>
      </c>
      <c r="C13" s="60" t="s">
        <v>410</v>
      </c>
      <c r="D13" s="159" t="s">
        <v>200</v>
      </c>
      <c r="E13" s="60">
        <v>79675682</v>
      </c>
      <c r="F13" s="60">
        <v>42476041.60083753</v>
      </c>
      <c r="G13" s="60">
        <v>9646070.562302707</v>
      </c>
      <c r="H13" s="60">
        <v>11003122.522523582</v>
      </c>
      <c r="I13" s="60">
        <v>7371023.685769619</v>
      </c>
      <c r="J13" s="60">
        <v>4836733.546108036</v>
      </c>
      <c r="K13" s="60">
        <v>2227557.5841707806</v>
      </c>
      <c r="L13" s="60">
        <v>1789462.649752999</v>
      </c>
      <c r="M13" s="60">
        <v>0</v>
      </c>
      <c r="N13" s="60">
        <v>297920.11887823406</v>
      </c>
      <c r="O13" s="60">
        <v>27749.729656513387</v>
      </c>
    </row>
    <row r="14" spans="1:15" s="60" customFormat="1" ht="12.75">
      <c r="A14" s="12">
        <f t="shared" si="0"/>
        <v>7</v>
      </c>
      <c r="B14" s="157" t="s">
        <v>411</v>
      </c>
      <c r="C14" s="60" t="s">
        <v>412</v>
      </c>
      <c r="D14" s="159" t="s">
        <v>200</v>
      </c>
      <c r="E14" s="60">
        <v>190930835</v>
      </c>
      <c r="F14" s="60">
        <v>101787469.98792739</v>
      </c>
      <c r="G14" s="60">
        <v>23115362.940092254</v>
      </c>
      <c r="H14" s="60">
        <v>26367334.650900558</v>
      </c>
      <c r="I14" s="60">
        <v>17663553.94521469</v>
      </c>
      <c r="J14" s="60">
        <v>11590507.309757557</v>
      </c>
      <c r="K14" s="60">
        <v>5338008.020518857</v>
      </c>
      <c r="L14" s="60">
        <v>4288179.1450326415</v>
      </c>
      <c r="M14" s="60">
        <v>0</v>
      </c>
      <c r="N14" s="60">
        <v>713920.9308647085</v>
      </c>
      <c r="O14" s="60">
        <v>66498.06969135658</v>
      </c>
    </row>
    <row r="15" spans="1:15" s="60" customFormat="1" ht="12.75">
      <c r="A15" s="87">
        <f t="shared" si="0"/>
        <v>8</v>
      </c>
      <c r="B15" s="161"/>
      <c r="C15" s="162" t="s">
        <v>284</v>
      </c>
      <c r="D15" s="163"/>
      <c r="E15" s="162">
        <f aca="true" t="shared" si="1" ref="E15:O15">SUM(E13:E14)</f>
        <v>270606517</v>
      </c>
      <c r="F15" s="162">
        <f t="shared" si="1"/>
        <v>144263511.5887649</v>
      </c>
      <c r="G15" s="162">
        <f t="shared" si="1"/>
        <v>32761433.50239496</v>
      </c>
      <c r="H15" s="162">
        <f t="shared" si="1"/>
        <v>37370457.17342414</v>
      </c>
      <c r="I15" s="162">
        <f t="shared" si="1"/>
        <v>25034577.630984306</v>
      </c>
      <c r="J15" s="162">
        <f t="shared" si="1"/>
        <v>16427240.855865594</v>
      </c>
      <c r="K15" s="162">
        <f t="shared" si="1"/>
        <v>7565565.604689637</v>
      </c>
      <c r="L15" s="162">
        <f t="shared" si="1"/>
        <v>6077641.79478564</v>
      </c>
      <c r="M15" s="162">
        <f t="shared" si="1"/>
        <v>0</v>
      </c>
      <c r="N15" s="162">
        <f t="shared" si="1"/>
        <v>1011841.0497429426</v>
      </c>
      <c r="O15" s="162">
        <f t="shared" si="1"/>
        <v>94247.79934786996</v>
      </c>
    </row>
    <row r="16" spans="1:4" ht="12.75">
      <c r="A16" s="12">
        <f t="shared" si="0"/>
        <v>9</v>
      </c>
      <c r="B16" s="157"/>
      <c r="D16" s="159"/>
    </row>
    <row r="17" spans="1:10" ht="13.5">
      <c r="A17" s="12">
        <f t="shared" si="0"/>
        <v>10</v>
      </c>
      <c r="B17" s="164"/>
      <c r="C17" s="5" t="s">
        <v>413</v>
      </c>
      <c r="D17" s="159"/>
      <c r="F17" s="165"/>
      <c r="G17" s="165"/>
      <c r="H17" s="165"/>
      <c r="I17" s="165"/>
      <c r="J17" s="165"/>
    </row>
    <row r="18" spans="1:15" s="60" customFormat="1" ht="12.75">
      <c r="A18" s="12">
        <f t="shared" si="0"/>
        <v>11</v>
      </c>
      <c r="B18" s="157">
        <v>555</v>
      </c>
      <c r="C18" s="60" t="s">
        <v>414</v>
      </c>
      <c r="D18" s="159" t="s">
        <v>206</v>
      </c>
      <c r="E18" s="60">
        <v>689216707</v>
      </c>
      <c r="F18" s="60">
        <v>367429519.0661091</v>
      </c>
      <c r="G18" s="60">
        <v>83441180.81649944</v>
      </c>
      <c r="H18" s="60">
        <v>95180055.96351515</v>
      </c>
      <c r="I18" s="60">
        <v>63761395.50239607</v>
      </c>
      <c r="J18" s="60">
        <v>41839084.192401566</v>
      </c>
      <c r="K18" s="60">
        <v>19268989.788064323</v>
      </c>
      <c r="L18" s="60">
        <v>15479347.32158623</v>
      </c>
      <c r="M18" s="60">
        <v>0</v>
      </c>
      <c r="N18" s="60">
        <v>2577091.505565086</v>
      </c>
      <c r="O18" s="60">
        <v>240042.8438629794</v>
      </c>
    </row>
    <row r="19" spans="1:15" s="60" customFormat="1" ht="12.75">
      <c r="A19" s="12">
        <f t="shared" si="0"/>
        <v>12</v>
      </c>
      <c r="B19" s="157">
        <v>555.01</v>
      </c>
      <c r="C19" s="60" t="s">
        <v>415</v>
      </c>
      <c r="D19" s="159" t="s">
        <v>214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</row>
    <row r="20" spans="1:15" s="60" customFormat="1" ht="12.75">
      <c r="A20" s="12">
        <f t="shared" si="0"/>
        <v>13</v>
      </c>
      <c r="B20" s="157">
        <v>555.02</v>
      </c>
      <c r="C20" s="60" t="s">
        <v>416</v>
      </c>
      <c r="D20" s="159" t="s">
        <v>215</v>
      </c>
      <c r="E20" s="60">
        <v>467751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439929.05948023737</v>
      </c>
      <c r="N20" s="60">
        <v>0</v>
      </c>
      <c r="O20" s="60">
        <v>27821.940519762607</v>
      </c>
    </row>
    <row r="21" spans="1:15" s="60" customFormat="1" ht="12.75">
      <c r="A21" s="12">
        <f t="shared" si="0"/>
        <v>14</v>
      </c>
      <c r="B21" s="157">
        <v>555.03</v>
      </c>
      <c r="C21" s="60" t="s">
        <v>417</v>
      </c>
      <c r="D21" s="159" t="s">
        <v>216</v>
      </c>
      <c r="E21" s="60">
        <v>-1252926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-1329354</v>
      </c>
      <c r="N21" s="60">
        <v>0</v>
      </c>
      <c r="O21" s="60">
        <v>76428</v>
      </c>
    </row>
    <row r="22" spans="1:15" s="60" customFormat="1" ht="12.75">
      <c r="A22" s="12">
        <f t="shared" si="0"/>
        <v>15</v>
      </c>
      <c r="B22" s="157">
        <v>557</v>
      </c>
      <c r="C22" s="60" t="s">
        <v>418</v>
      </c>
      <c r="D22" s="159" t="s">
        <v>217</v>
      </c>
      <c r="E22" s="60">
        <v>8779587</v>
      </c>
      <c r="F22" s="60">
        <v>4680500.916831466</v>
      </c>
      <c r="G22" s="60">
        <v>1062915.4791530438</v>
      </c>
      <c r="H22" s="60">
        <v>1212451.1398365595</v>
      </c>
      <c r="I22" s="60">
        <v>812224.5345609346</v>
      </c>
      <c r="J22" s="60">
        <v>532967.1726421373</v>
      </c>
      <c r="K22" s="60">
        <v>245458.02579684468</v>
      </c>
      <c r="L22" s="60">
        <v>197183.66535923703</v>
      </c>
      <c r="M22" s="60">
        <v>0</v>
      </c>
      <c r="N22" s="60">
        <v>32828.2800609325</v>
      </c>
      <c r="O22" s="60">
        <v>3057.785758844705</v>
      </c>
    </row>
    <row r="23" spans="1:15" s="60" customFormat="1" ht="12.75">
      <c r="A23" s="87">
        <f t="shared" si="0"/>
        <v>16</v>
      </c>
      <c r="B23" s="161"/>
      <c r="C23" s="162" t="s">
        <v>284</v>
      </c>
      <c r="D23" s="163"/>
      <c r="E23" s="162">
        <f aca="true" t="shared" si="2" ref="E23:O23">SUM(E18:E22)</f>
        <v>697211119</v>
      </c>
      <c r="F23" s="162">
        <f t="shared" si="2"/>
        <v>372110019.9829406</v>
      </c>
      <c r="G23" s="162">
        <f t="shared" si="2"/>
        <v>84504096.29565248</v>
      </c>
      <c r="H23" s="162">
        <f t="shared" si="2"/>
        <v>96392507.10335171</v>
      </c>
      <c r="I23" s="162">
        <f t="shared" si="2"/>
        <v>64573620.036957</v>
      </c>
      <c r="J23" s="162">
        <f t="shared" si="2"/>
        <v>42372051.3650437</v>
      </c>
      <c r="K23" s="162">
        <f t="shared" si="2"/>
        <v>19514447.81386117</v>
      </c>
      <c r="L23" s="162">
        <f t="shared" si="2"/>
        <v>15676530.986945467</v>
      </c>
      <c r="M23" s="162">
        <f t="shared" si="2"/>
        <v>-889424.9405197627</v>
      </c>
      <c r="N23" s="162">
        <f t="shared" si="2"/>
        <v>2609919.7856260184</v>
      </c>
      <c r="O23" s="162">
        <f t="shared" si="2"/>
        <v>347350.5701415867</v>
      </c>
    </row>
    <row r="24" spans="1:15" s="60" customFormat="1" ht="12.75">
      <c r="A24" s="12">
        <f t="shared" si="0"/>
        <v>17</v>
      </c>
      <c r="B24" s="157"/>
      <c r="C24" s="3"/>
      <c r="D24" s="15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s="60" customFormat="1" ht="13.5">
      <c r="A25" s="12">
        <f t="shared" si="0"/>
        <v>18</v>
      </c>
      <c r="B25" s="164"/>
      <c r="C25" s="5" t="s">
        <v>419</v>
      </c>
      <c r="D25" s="159"/>
      <c r="E25" s="3"/>
      <c r="F25" s="165"/>
      <c r="G25" s="165"/>
      <c r="H25" s="165"/>
      <c r="I25" s="165"/>
      <c r="J25" s="165"/>
      <c r="K25" s="3"/>
      <c r="L25" s="3"/>
      <c r="M25" s="3"/>
      <c r="N25" s="3"/>
      <c r="O25" s="3"/>
    </row>
    <row r="26" spans="1:15" s="60" customFormat="1" ht="12.75">
      <c r="A26" s="12">
        <f t="shared" si="0"/>
        <v>19</v>
      </c>
      <c r="B26" s="157">
        <v>565</v>
      </c>
      <c r="C26" s="60" t="s">
        <v>420</v>
      </c>
      <c r="D26" s="159" t="s">
        <v>200</v>
      </c>
      <c r="E26" s="60">
        <v>81943498</v>
      </c>
      <c r="F26" s="60">
        <v>43685040.93841515</v>
      </c>
      <c r="G26" s="60">
        <v>9920627.523839844</v>
      </c>
      <c r="H26" s="60">
        <v>11316305.374306882</v>
      </c>
      <c r="I26" s="60">
        <v>7580825.786377523</v>
      </c>
      <c r="J26" s="60">
        <v>4974401.921806416</v>
      </c>
      <c r="K26" s="60">
        <v>2290960.753161588</v>
      </c>
      <c r="L26" s="60">
        <v>1840396.2837884407</v>
      </c>
      <c r="M26" s="60">
        <v>0</v>
      </c>
      <c r="N26" s="60">
        <v>306399.8456324269</v>
      </c>
      <c r="O26" s="60">
        <v>28539.572671734964</v>
      </c>
    </row>
    <row r="27" spans="1:15" s="60" customFormat="1" ht="12.75">
      <c r="A27" s="87">
        <f t="shared" si="0"/>
        <v>20</v>
      </c>
      <c r="B27" s="161"/>
      <c r="C27" s="162" t="s">
        <v>284</v>
      </c>
      <c r="D27" s="163"/>
      <c r="E27" s="162">
        <f aca="true" t="shared" si="3" ref="E27:O27">SUM(E26)</f>
        <v>81943498</v>
      </c>
      <c r="F27" s="162">
        <f t="shared" si="3"/>
        <v>43685040.93841515</v>
      </c>
      <c r="G27" s="162">
        <f t="shared" si="3"/>
        <v>9920627.523839844</v>
      </c>
      <c r="H27" s="162">
        <f t="shared" si="3"/>
        <v>11316305.374306882</v>
      </c>
      <c r="I27" s="162">
        <f t="shared" si="3"/>
        <v>7580825.786377523</v>
      </c>
      <c r="J27" s="162">
        <f t="shared" si="3"/>
        <v>4974401.921806416</v>
      </c>
      <c r="K27" s="162">
        <f t="shared" si="3"/>
        <v>2290960.753161588</v>
      </c>
      <c r="L27" s="162">
        <f t="shared" si="3"/>
        <v>1840396.2837884407</v>
      </c>
      <c r="M27" s="162">
        <f t="shared" si="3"/>
        <v>0</v>
      </c>
      <c r="N27" s="162">
        <f t="shared" si="3"/>
        <v>306399.8456324269</v>
      </c>
      <c r="O27" s="162">
        <f t="shared" si="3"/>
        <v>28539.572671734964</v>
      </c>
    </row>
    <row r="28" spans="1:4" ht="12.75">
      <c r="A28" s="12">
        <f t="shared" si="0"/>
        <v>21</v>
      </c>
      <c r="B28" s="157"/>
      <c r="D28" s="159"/>
    </row>
    <row r="29" spans="1:15" s="60" customFormat="1" ht="12.75">
      <c r="A29" s="12">
        <f t="shared" si="0"/>
        <v>22</v>
      </c>
      <c r="B29" s="157"/>
      <c r="C29" s="5" t="s">
        <v>421</v>
      </c>
      <c r="D29" s="15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s="60" customFormat="1" ht="12.75">
      <c r="A30" s="12">
        <f t="shared" si="0"/>
        <v>23</v>
      </c>
      <c r="B30" s="157">
        <v>500</v>
      </c>
      <c r="C30" s="60" t="s">
        <v>422</v>
      </c>
      <c r="D30" s="159" t="s">
        <v>200</v>
      </c>
      <c r="E30" s="60">
        <v>38898746</v>
      </c>
      <c r="F30" s="60">
        <v>20737378.229362536</v>
      </c>
      <c r="G30" s="60">
        <v>4709342.164163592</v>
      </c>
      <c r="H30" s="60">
        <v>5371873.292663176</v>
      </c>
      <c r="I30" s="60">
        <v>3598633.4966387386</v>
      </c>
      <c r="J30" s="60">
        <v>2361358.7603772986</v>
      </c>
      <c r="K30" s="60">
        <v>1087523.752442217</v>
      </c>
      <c r="L30" s="60">
        <v>873639.8778391237</v>
      </c>
      <c r="M30" s="60">
        <v>0</v>
      </c>
      <c r="N30" s="60">
        <v>145448.63302876067</v>
      </c>
      <c r="O30" s="60">
        <v>13547.793484558835</v>
      </c>
    </row>
    <row r="31" spans="1:15" s="60" customFormat="1" ht="12.75">
      <c r="A31" s="12">
        <f t="shared" si="0"/>
        <v>24</v>
      </c>
      <c r="B31" s="157">
        <v>535</v>
      </c>
      <c r="C31" s="60" t="s">
        <v>423</v>
      </c>
      <c r="D31" s="159" t="s">
        <v>200</v>
      </c>
      <c r="E31" s="60">
        <v>17192589</v>
      </c>
      <c r="F31" s="60">
        <v>9165571.065837901</v>
      </c>
      <c r="G31" s="60">
        <v>2081449.728195227</v>
      </c>
      <c r="H31" s="60">
        <v>2374277.3014028445</v>
      </c>
      <c r="I31" s="60">
        <v>1590535.249371348</v>
      </c>
      <c r="J31" s="60">
        <v>1043680.704995384</v>
      </c>
      <c r="K31" s="60">
        <v>480667.1377909402</v>
      </c>
      <c r="L31" s="60">
        <v>386134.0762424131</v>
      </c>
      <c r="M31" s="60">
        <v>0</v>
      </c>
      <c r="N31" s="60">
        <v>64285.84017272195</v>
      </c>
      <c r="O31" s="60">
        <v>5987.895991220331</v>
      </c>
    </row>
    <row r="32" spans="1:15" s="60" customFormat="1" ht="12.75">
      <c r="A32" s="12">
        <f t="shared" si="0"/>
        <v>25</v>
      </c>
      <c r="B32" s="157">
        <v>545</v>
      </c>
      <c r="C32" s="60" t="s">
        <v>424</v>
      </c>
      <c r="D32" s="159" t="s">
        <v>200</v>
      </c>
      <c r="E32" s="60">
        <v>45818610</v>
      </c>
      <c r="F32" s="60">
        <v>24426438.97861521</v>
      </c>
      <c r="G32" s="60">
        <v>5547107.147782287</v>
      </c>
      <c r="H32" s="60">
        <v>6327498.767336867</v>
      </c>
      <c r="I32" s="60">
        <v>4238809.77333888</v>
      </c>
      <c r="J32" s="60">
        <v>2781430.9518309636</v>
      </c>
      <c r="K32" s="60">
        <v>1280987.9958311892</v>
      </c>
      <c r="L32" s="60">
        <v>1029055.4056204909</v>
      </c>
      <c r="M32" s="60">
        <v>0</v>
      </c>
      <c r="N32" s="60">
        <v>171323.11133572026</v>
      </c>
      <c r="O32" s="60">
        <v>15957.868308390769</v>
      </c>
    </row>
    <row r="33" spans="1:15" s="60" customFormat="1" ht="12.75">
      <c r="A33" s="12">
        <f t="shared" si="0"/>
        <v>26</v>
      </c>
      <c r="B33" s="157">
        <v>556</v>
      </c>
      <c r="C33" s="60" t="s">
        <v>425</v>
      </c>
      <c r="D33" s="159" t="s">
        <v>218</v>
      </c>
      <c r="E33" s="60">
        <v>1078449</v>
      </c>
      <c r="F33" s="60">
        <v>497032.1493882064</v>
      </c>
      <c r="G33" s="60">
        <v>122143.55388138394</v>
      </c>
      <c r="H33" s="60">
        <v>141949.4987031626</v>
      </c>
      <c r="I33" s="60">
        <v>97255.12338689234</v>
      </c>
      <c r="J33" s="60">
        <v>66276.75648128444</v>
      </c>
      <c r="K33" s="60">
        <v>30071.294504130878</v>
      </c>
      <c r="L33" s="60">
        <v>24381.734702799426</v>
      </c>
      <c r="M33" s="60">
        <v>88670.04820860768</v>
      </c>
      <c r="N33" s="60">
        <v>3898.0223158361055</v>
      </c>
      <c r="O33" s="60">
        <v>6770.818427696127</v>
      </c>
    </row>
    <row r="34" spans="1:15" s="60" customFormat="1" ht="12.75">
      <c r="A34" s="87">
        <f t="shared" si="0"/>
        <v>27</v>
      </c>
      <c r="B34" s="161"/>
      <c r="C34" s="162" t="s">
        <v>284</v>
      </c>
      <c r="D34" s="163"/>
      <c r="E34" s="162">
        <f aca="true" t="shared" si="4" ref="E34:O34">SUM(E30:E33)</f>
        <v>102988394</v>
      </c>
      <c r="F34" s="162">
        <f t="shared" si="4"/>
        <v>54826420.423203856</v>
      </c>
      <c r="G34" s="162">
        <f t="shared" si="4"/>
        <v>12460042.59402249</v>
      </c>
      <c r="H34" s="162">
        <f t="shared" si="4"/>
        <v>14215598.860106051</v>
      </c>
      <c r="I34" s="162">
        <f t="shared" si="4"/>
        <v>9525233.64273586</v>
      </c>
      <c r="J34" s="162">
        <f t="shared" si="4"/>
        <v>6252747.17368493</v>
      </c>
      <c r="K34" s="162">
        <f t="shared" si="4"/>
        <v>2879250.180568477</v>
      </c>
      <c r="L34" s="162">
        <f t="shared" si="4"/>
        <v>2313211.094404827</v>
      </c>
      <c r="M34" s="162">
        <f t="shared" si="4"/>
        <v>88670.04820860768</v>
      </c>
      <c r="N34" s="162">
        <f t="shared" si="4"/>
        <v>384955.60685303895</v>
      </c>
      <c r="O34" s="162">
        <f t="shared" si="4"/>
        <v>42264.37621186606</v>
      </c>
    </row>
    <row r="35" spans="1:4" ht="12.75">
      <c r="A35" s="12">
        <f t="shared" si="0"/>
        <v>28</v>
      </c>
      <c r="B35" s="157"/>
      <c r="D35" s="159"/>
    </row>
    <row r="36" spans="1:4" ht="12.75">
      <c r="A36" s="12">
        <f t="shared" si="0"/>
        <v>29</v>
      </c>
      <c r="B36" s="157"/>
      <c r="C36" s="5" t="s">
        <v>426</v>
      </c>
      <c r="D36" s="159"/>
    </row>
    <row r="37" spans="1:15" s="60" customFormat="1" ht="12.75">
      <c r="A37" s="12">
        <f t="shared" si="0"/>
        <v>30</v>
      </c>
      <c r="B37" s="157">
        <v>565.01</v>
      </c>
      <c r="C37" s="60" t="s">
        <v>174</v>
      </c>
      <c r="D37" s="159" t="s">
        <v>219</v>
      </c>
      <c r="E37" s="60">
        <v>9153986</v>
      </c>
      <c r="F37" s="60">
        <v>4739022.56382176</v>
      </c>
      <c r="G37" s="60">
        <v>1075396.4816674537</v>
      </c>
      <c r="H37" s="60">
        <v>1226459.2063653192</v>
      </c>
      <c r="I37" s="60">
        <v>821419.856919266</v>
      </c>
      <c r="J37" s="60">
        <v>538786.3445509454</v>
      </c>
      <c r="K37" s="60">
        <v>248177.5276879746</v>
      </c>
      <c r="L37" s="60">
        <v>199348.72460368226</v>
      </c>
      <c r="M37" s="60">
        <v>250871.3204089384</v>
      </c>
      <c r="N37" s="60">
        <v>33202.797224580514</v>
      </c>
      <c r="O37" s="60">
        <v>21301.176750081206</v>
      </c>
    </row>
    <row r="38" spans="1:15" s="60" customFormat="1" ht="12.75">
      <c r="A38" s="12">
        <f t="shared" si="0"/>
        <v>31</v>
      </c>
      <c r="B38" s="157">
        <v>565.02</v>
      </c>
      <c r="C38" s="60" t="s">
        <v>427</v>
      </c>
      <c r="D38" s="159" t="s">
        <v>220</v>
      </c>
      <c r="E38" s="60">
        <v>126265</v>
      </c>
      <c r="F38" s="60">
        <v>0.009999999208014951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118837.99058820808</v>
      </c>
      <c r="N38" s="60">
        <v>0</v>
      </c>
      <c r="O38" s="60">
        <v>7426.999411792705</v>
      </c>
    </row>
    <row r="39" spans="1:15" s="60" customFormat="1" ht="12.75">
      <c r="A39" s="87">
        <f t="shared" si="0"/>
        <v>32</v>
      </c>
      <c r="B39" s="161"/>
      <c r="C39" s="162" t="s">
        <v>284</v>
      </c>
      <c r="D39" s="163"/>
      <c r="E39" s="162">
        <f aca="true" t="shared" si="5" ref="E39:O39">SUM(E37:E38)</f>
        <v>9280251</v>
      </c>
      <c r="F39" s="162">
        <f t="shared" si="5"/>
        <v>4739022.573821759</v>
      </c>
      <c r="G39" s="162">
        <f t="shared" si="5"/>
        <v>1075396.4816674537</v>
      </c>
      <c r="H39" s="162">
        <f t="shared" si="5"/>
        <v>1226459.2063653192</v>
      </c>
      <c r="I39" s="162">
        <f t="shared" si="5"/>
        <v>821419.856919266</v>
      </c>
      <c r="J39" s="162">
        <f t="shared" si="5"/>
        <v>538786.3445509454</v>
      </c>
      <c r="K39" s="162">
        <f t="shared" si="5"/>
        <v>248177.5276879746</v>
      </c>
      <c r="L39" s="162">
        <f t="shared" si="5"/>
        <v>199348.72460368226</v>
      </c>
      <c r="M39" s="162">
        <f t="shared" si="5"/>
        <v>369709.3109971465</v>
      </c>
      <c r="N39" s="162">
        <f t="shared" si="5"/>
        <v>33202.797224580514</v>
      </c>
      <c r="O39" s="162">
        <f t="shared" si="5"/>
        <v>28728.17616187391</v>
      </c>
    </row>
    <row r="40" spans="1:15" s="60" customFormat="1" ht="12.75">
      <c r="A40" s="12">
        <f t="shared" si="0"/>
        <v>33</v>
      </c>
      <c r="B40" s="157"/>
      <c r="C40" s="3"/>
      <c r="D40" s="15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4" ht="12.75">
      <c r="A41" s="12">
        <f aca="true" t="shared" si="6" ref="A41:A72">+A40+1</f>
        <v>34</v>
      </c>
      <c r="B41" s="157"/>
      <c r="C41" s="5" t="s">
        <v>428</v>
      </c>
      <c r="D41" s="159"/>
    </row>
    <row r="42" spans="1:15" s="60" customFormat="1" ht="12.75">
      <c r="A42" s="12">
        <f t="shared" si="6"/>
        <v>35</v>
      </c>
      <c r="B42" s="157">
        <v>581</v>
      </c>
      <c r="C42" s="60" t="s">
        <v>429</v>
      </c>
      <c r="D42" s="159" t="s">
        <v>221</v>
      </c>
      <c r="E42" s="60">
        <v>5524405</v>
      </c>
      <c r="F42" s="60">
        <v>3430053.7362420876</v>
      </c>
      <c r="G42" s="60">
        <v>604909.0902461375</v>
      </c>
      <c r="H42" s="60">
        <v>687498.6382256679</v>
      </c>
      <c r="I42" s="60">
        <v>442141.8822547161</v>
      </c>
      <c r="J42" s="60">
        <v>336495.7692991441</v>
      </c>
      <c r="K42" s="60">
        <v>0</v>
      </c>
      <c r="L42" s="60">
        <v>0</v>
      </c>
      <c r="M42" s="60">
        <v>0</v>
      </c>
      <c r="N42" s="60">
        <v>21243.042023295147</v>
      </c>
      <c r="O42" s="60">
        <v>2062.8417089519144</v>
      </c>
    </row>
    <row r="43" spans="1:15" s="60" customFormat="1" ht="12.75">
      <c r="A43" s="12">
        <f t="shared" si="6"/>
        <v>36</v>
      </c>
      <c r="B43" s="157">
        <v>582</v>
      </c>
      <c r="C43" s="60" t="s">
        <v>430</v>
      </c>
      <c r="D43" s="159" t="s">
        <v>222</v>
      </c>
      <c r="E43" s="60">
        <v>1979161</v>
      </c>
      <c r="F43" s="60">
        <v>988432.1967993658</v>
      </c>
      <c r="G43" s="60">
        <v>239210.39609789918</v>
      </c>
      <c r="H43" s="60">
        <v>250472.28310717223</v>
      </c>
      <c r="I43" s="60">
        <v>165784.33334274712</v>
      </c>
      <c r="J43" s="60">
        <v>137783.38074907972</v>
      </c>
      <c r="K43" s="60">
        <v>43880.198751566575</v>
      </c>
      <c r="L43" s="60">
        <v>46869.787895400405</v>
      </c>
      <c r="M43" s="60">
        <v>93337.02533267703</v>
      </c>
      <c r="N43" s="60">
        <v>7369.546668487336</v>
      </c>
      <c r="O43" s="60">
        <v>6021.851255604546</v>
      </c>
    </row>
    <row r="44" spans="1:15" s="60" customFormat="1" ht="12.75">
      <c r="A44" s="12">
        <f t="shared" si="6"/>
        <v>37</v>
      </c>
      <c r="B44" s="157">
        <v>583</v>
      </c>
      <c r="C44" s="60" t="s">
        <v>431</v>
      </c>
      <c r="D44" s="159" t="s">
        <v>201</v>
      </c>
      <c r="E44" s="60">
        <v>2645201</v>
      </c>
      <c r="F44" s="60">
        <v>1660062.1802073075</v>
      </c>
      <c r="G44" s="60">
        <v>304035.39106922236</v>
      </c>
      <c r="H44" s="60">
        <v>276849.4503327692</v>
      </c>
      <c r="I44" s="60">
        <v>138337.56549269622</v>
      </c>
      <c r="J44" s="60">
        <v>139418.11925579022</v>
      </c>
      <c r="K44" s="60">
        <v>25210.442024644224</v>
      </c>
      <c r="L44" s="60">
        <v>18066.3256505412</v>
      </c>
      <c r="M44" s="60">
        <v>66564.65601256168</v>
      </c>
      <c r="N44" s="60">
        <v>9875.71915724806</v>
      </c>
      <c r="O44" s="60">
        <v>6781.150797219171</v>
      </c>
    </row>
    <row r="45" spans="1:15" s="60" customFormat="1" ht="12.75">
      <c r="A45" s="12">
        <f t="shared" si="6"/>
        <v>38</v>
      </c>
      <c r="B45" s="157">
        <v>584</v>
      </c>
      <c r="C45" s="60" t="s">
        <v>432</v>
      </c>
      <c r="D45" s="159" t="s">
        <v>223</v>
      </c>
      <c r="E45" s="60">
        <v>2526429</v>
      </c>
      <c r="F45" s="60">
        <v>1707954.5695486085</v>
      </c>
      <c r="G45" s="60">
        <v>272724.70850504935</v>
      </c>
      <c r="H45" s="60">
        <v>249950.89471544884</v>
      </c>
      <c r="I45" s="60">
        <v>120808.0374649435</v>
      </c>
      <c r="J45" s="60">
        <v>112927.51136314648</v>
      </c>
      <c r="K45" s="60">
        <v>39183.93402545348</v>
      </c>
      <c r="L45" s="60">
        <v>4244.221391103831</v>
      </c>
      <c r="M45" s="60">
        <v>2723.470623115747</v>
      </c>
      <c r="N45" s="60">
        <v>14206.962232641055</v>
      </c>
      <c r="O45" s="60">
        <v>1704.690130489814</v>
      </c>
    </row>
    <row r="46" spans="1:15" s="60" customFormat="1" ht="12.75">
      <c r="A46" s="12">
        <f t="shared" si="6"/>
        <v>39</v>
      </c>
      <c r="B46" s="157">
        <v>585</v>
      </c>
      <c r="C46" s="60" t="s">
        <v>433</v>
      </c>
      <c r="D46" s="159" t="s">
        <v>205</v>
      </c>
      <c r="E46" s="60">
        <v>1297759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1297759</v>
      </c>
      <c r="O46" s="60">
        <v>0</v>
      </c>
    </row>
    <row r="47" spans="1:15" s="60" customFormat="1" ht="12.75">
      <c r="A47" s="12">
        <f t="shared" si="6"/>
        <v>40</v>
      </c>
      <c r="B47" s="157">
        <v>586</v>
      </c>
      <c r="C47" s="60" t="s">
        <v>434</v>
      </c>
      <c r="D47" s="159" t="s">
        <v>224</v>
      </c>
      <c r="E47" s="60">
        <v>2001308</v>
      </c>
      <c r="F47" s="60">
        <v>1104913.997713572</v>
      </c>
      <c r="G47" s="60">
        <v>436401.21408004407</v>
      </c>
      <c r="H47" s="60">
        <v>150568.00526881064</v>
      </c>
      <c r="I47" s="60">
        <v>16483.375032674383</v>
      </c>
      <c r="J47" s="60">
        <v>264859.7896076388</v>
      </c>
      <c r="K47" s="60">
        <v>12483.13380024925</v>
      </c>
      <c r="L47" s="60">
        <v>7942.77421145243</v>
      </c>
      <c r="M47" s="60">
        <v>4281.371273754856</v>
      </c>
      <c r="N47" s="60">
        <v>0</v>
      </c>
      <c r="O47" s="60">
        <v>3374.3390118034663</v>
      </c>
    </row>
    <row r="48" spans="1:15" s="60" customFormat="1" ht="12.75">
      <c r="A48" s="12">
        <f t="shared" si="6"/>
        <v>41</v>
      </c>
      <c r="B48" s="157">
        <v>587</v>
      </c>
      <c r="C48" s="60" t="s">
        <v>435</v>
      </c>
      <c r="D48" s="159" t="s">
        <v>224</v>
      </c>
      <c r="E48" s="60">
        <v>3742029</v>
      </c>
      <c r="F48" s="60">
        <v>2065958.973806191</v>
      </c>
      <c r="G48" s="60">
        <v>815979.3488672075</v>
      </c>
      <c r="H48" s="60">
        <v>281530.7999508532</v>
      </c>
      <c r="I48" s="60">
        <v>30820.47710304635</v>
      </c>
      <c r="J48" s="60">
        <v>495232.6246862966</v>
      </c>
      <c r="K48" s="60">
        <v>23340.85942364339</v>
      </c>
      <c r="L48" s="60">
        <v>14851.332948105503</v>
      </c>
      <c r="M48" s="60">
        <v>8005.272285004412</v>
      </c>
      <c r="N48" s="60">
        <v>0</v>
      </c>
      <c r="O48" s="60">
        <v>6309.310929651964</v>
      </c>
    </row>
    <row r="49" spans="1:15" s="60" customFormat="1" ht="12.75">
      <c r="A49" s="12">
        <f t="shared" si="6"/>
        <v>42</v>
      </c>
      <c r="B49" s="157">
        <v>589</v>
      </c>
      <c r="C49" s="60" t="s">
        <v>436</v>
      </c>
      <c r="D49" s="159" t="s">
        <v>221</v>
      </c>
      <c r="E49" s="60">
        <v>575019</v>
      </c>
      <c r="F49" s="60">
        <v>357024.162667326</v>
      </c>
      <c r="G49" s="60">
        <v>62963.20059160103</v>
      </c>
      <c r="H49" s="60">
        <v>71559.7027107689</v>
      </c>
      <c r="I49" s="60">
        <v>46021.24264825345</v>
      </c>
      <c r="J49" s="60">
        <v>35024.85077879419</v>
      </c>
      <c r="K49" s="60">
        <v>0</v>
      </c>
      <c r="L49" s="60">
        <v>0</v>
      </c>
      <c r="M49" s="60">
        <v>0</v>
      </c>
      <c r="N49" s="60">
        <v>2211.1255024193833</v>
      </c>
      <c r="O49" s="60">
        <v>214.7151008370713</v>
      </c>
    </row>
    <row r="50" spans="1:15" s="60" customFormat="1" ht="12.75">
      <c r="A50" s="12">
        <f t="shared" si="6"/>
        <v>43</v>
      </c>
      <c r="B50" s="157">
        <v>580</v>
      </c>
      <c r="C50" s="60" t="s">
        <v>437</v>
      </c>
      <c r="D50" s="159" t="s">
        <v>225</v>
      </c>
      <c r="E50" s="60">
        <v>2480577</v>
      </c>
      <c r="F50" s="60">
        <v>1383165.432475795</v>
      </c>
      <c r="G50" s="60">
        <v>334498.4810260114</v>
      </c>
      <c r="H50" s="60">
        <v>240637.06993955566</v>
      </c>
      <c r="I50" s="60">
        <v>117406.8296572808</v>
      </c>
      <c r="J50" s="60">
        <v>186030.28254780185</v>
      </c>
      <c r="K50" s="60">
        <v>17615.795922556797</v>
      </c>
      <c r="L50" s="60">
        <v>11243.71341273445</v>
      </c>
      <c r="M50" s="60">
        <v>21382.658666720017</v>
      </c>
      <c r="N50" s="60">
        <v>165360.9601164655</v>
      </c>
      <c r="O50" s="60">
        <v>3235.776235078599</v>
      </c>
    </row>
    <row r="51" spans="1:15" s="60" customFormat="1" ht="12.75">
      <c r="A51" s="12">
        <f t="shared" si="6"/>
        <v>44</v>
      </c>
      <c r="B51" s="157">
        <v>588</v>
      </c>
      <c r="C51" s="60" t="s">
        <v>438</v>
      </c>
      <c r="D51" s="159" t="s">
        <v>225</v>
      </c>
      <c r="E51" s="60">
        <v>2665759</v>
      </c>
      <c r="F51" s="60">
        <v>1486422.5944654178</v>
      </c>
      <c r="G51" s="60">
        <v>359469.72671334894</v>
      </c>
      <c r="H51" s="60">
        <v>258601.29918361735</v>
      </c>
      <c r="I51" s="60">
        <v>126171.57734686857</v>
      </c>
      <c r="J51" s="60">
        <v>199917.9626249641</v>
      </c>
      <c r="K51" s="60">
        <v>18930.86427985065</v>
      </c>
      <c r="L51" s="60">
        <v>12083.088016787053</v>
      </c>
      <c r="M51" s="60">
        <v>22978.933846736818</v>
      </c>
      <c r="N51" s="60">
        <v>177705.61755555618</v>
      </c>
      <c r="O51" s="60">
        <v>3477.3359668524254</v>
      </c>
    </row>
    <row r="52" spans="1:15" s="60" customFormat="1" ht="12.75">
      <c r="A52" s="87">
        <f t="shared" si="6"/>
        <v>45</v>
      </c>
      <c r="B52" s="161"/>
      <c r="C52" s="162" t="s">
        <v>284</v>
      </c>
      <c r="D52" s="163"/>
      <c r="E52" s="162">
        <f aca="true" t="shared" si="7" ref="E52:O52">SUM(E42:E51)</f>
        <v>25437647</v>
      </c>
      <c r="F52" s="162">
        <f t="shared" si="7"/>
        <v>14183987.843925672</v>
      </c>
      <c r="G52" s="162">
        <f t="shared" si="7"/>
        <v>3430191.5571965217</v>
      </c>
      <c r="H52" s="162">
        <f t="shared" si="7"/>
        <v>2467668.143434664</v>
      </c>
      <c r="I52" s="162">
        <f t="shared" si="7"/>
        <v>1203975.3203432267</v>
      </c>
      <c r="J52" s="162">
        <f t="shared" si="7"/>
        <v>1907690.2909126559</v>
      </c>
      <c r="K52" s="162">
        <f t="shared" si="7"/>
        <v>180645.22822796437</v>
      </c>
      <c r="L52" s="162">
        <f t="shared" si="7"/>
        <v>115301.24352612486</v>
      </c>
      <c r="M52" s="162">
        <f t="shared" si="7"/>
        <v>219273.38804057057</v>
      </c>
      <c r="N52" s="162">
        <f t="shared" si="7"/>
        <v>1695731.9732561128</v>
      </c>
      <c r="O52" s="162">
        <f t="shared" si="7"/>
        <v>33182.011136488974</v>
      </c>
    </row>
    <row r="53" spans="1:4" ht="12.75">
      <c r="A53" s="12">
        <f t="shared" si="6"/>
        <v>46</v>
      </c>
      <c r="B53" s="157"/>
      <c r="D53" s="159"/>
    </row>
    <row r="54" spans="1:4" ht="12.75">
      <c r="A54" s="12">
        <f t="shared" si="6"/>
        <v>47</v>
      </c>
      <c r="B54" s="157"/>
      <c r="C54" s="5" t="s">
        <v>439</v>
      </c>
      <c r="D54" s="159"/>
    </row>
    <row r="55" spans="1:15" s="60" customFormat="1" ht="12.75">
      <c r="A55" s="12">
        <f t="shared" si="6"/>
        <v>48</v>
      </c>
      <c r="B55" s="157">
        <v>901</v>
      </c>
      <c r="C55" s="60" t="s">
        <v>440</v>
      </c>
      <c r="D55" s="159" t="s">
        <v>226</v>
      </c>
      <c r="E55" s="60">
        <v>30421</v>
      </c>
      <c r="F55" s="60">
        <v>25346.657669711934</v>
      </c>
      <c r="G55" s="60">
        <v>3481.078422607898</v>
      </c>
      <c r="H55" s="60">
        <v>723.4694950583834</v>
      </c>
      <c r="I55" s="60">
        <v>229.35994331345532</v>
      </c>
      <c r="J55" s="60">
        <v>183.68127351760694</v>
      </c>
      <c r="K55" s="60">
        <v>227.515723412153</v>
      </c>
      <c r="L55" s="60">
        <v>107.46894149746456</v>
      </c>
      <c r="M55" s="60">
        <v>61.68696517118184</v>
      </c>
      <c r="N55" s="60">
        <v>54.745267514092866</v>
      </c>
      <c r="O55" s="60">
        <v>5.336298195833823</v>
      </c>
    </row>
    <row r="56" spans="1:15" s="60" customFormat="1" ht="12.75">
      <c r="A56" s="12">
        <f t="shared" si="6"/>
        <v>49</v>
      </c>
      <c r="B56" s="157">
        <v>902</v>
      </c>
      <c r="C56" s="60" t="s">
        <v>441</v>
      </c>
      <c r="D56" s="159" t="s">
        <v>227</v>
      </c>
      <c r="E56" s="60">
        <v>16953311</v>
      </c>
      <c r="F56" s="60">
        <v>14131977.94762045</v>
      </c>
      <c r="G56" s="60">
        <v>2117498.402270122</v>
      </c>
      <c r="H56" s="60">
        <v>501242.1726470067</v>
      </c>
      <c r="I56" s="60">
        <v>66180.94923674101</v>
      </c>
      <c r="J56" s="60">
        <v>59108.59584481406</v>
      </c>
      <c r="K56" s="60">
        <v>6147.437954696296</v>
      </c>
      <c r="L56" s="60">
        <v>35323.77043356474</v>
      </c>
      <c r="M56" s="60">
        <v>33463.94047329554</v>
      </c>
      <c r="N56" s="60">
        <v>0</v>
      </c>
      <c r="O56" s="60">
        <v>2367.7835193104797</v>
      </c>
    </row>
    <row r="57" spans="1:15" s="60" customFormat="1" ht="12.75">
      <c r="A57" s="12">
        <f t="shared" si="6"/>
        <v>50</v>
      </c>
      <c r="B57" s="157">
        <v>903</v>
      </c>
      <c r="C57" s="60" t="s">
        <v>442</v>
      </c>
      <c r="D57" s="159" t="s">
        <v>211</v>
      </c>
      <c r="E57" s="60">
        <v>17868394</v>
      </c>
      <c r="F57" s="60">
        <v>14552140.262848817</v>
      </c>
      <c r="G57" s="60">
        <v>2209104.0232316796</v>
      </c>
      <c r="H57" s="60">
        <v>242763.52896214474</v>
      </c>
      <c r="I57" s="60">
        <v>178580.8244577155</v>
      </c>
      <c r="J57" s="60">
        <v>148113.18254968256</v>
      </c>
      <c r="K57" s="60">
        <v>309577.90571620926</v>
      </c>
      <c r="L57" s="60">
        <v>104278.87350440733</v>
      </c>
      <c r="M57" s="60">
        <v>52139.43675220368</v>
      </c>
      <c r="N57" s="60">
        <v>66658.0943475457</v>
      </c>
      <c r="O57" s="60">
        <v>5037.867629601935</v>
      </c>
    </row>
    <row r="58" spans="1:15" s="60" customFormat="1" ht="12.75">
      <c r="A58" s="12">
        <f t="shared" si="6"/>
        <v>51</v>
      </c>
      <c r="B58" s="157">
        <v>904</v>
      </c>
      <c r="C58" s="60" t="s">
        <v>443</v>
      </c>
      <c r="D58" s="159" t="s">
        <v>228</v>
      </c>
      <c r="E58" s="60">
        <v>7455741</v>
      </c>
      <c r="F58" s="60">
        <v>6544397.670315593</v>
      </c>
      <c r="G58" s="60">
        <v>510605.5975765753</v>
      </c>
      <c r="H58" s="60">
        <v>260428.07326688006</v>
      </c>
      <c r="I58" s="60">
        <v>73565.69790833545</v>
      </c>
      <c r="J58" s="60">
        <v>47709.853032100415</v>
      </c>
      <c r="K58" s="60">
        <v>0</v>
      </c>
      <c r="L58" s="60">
        <v>9531.933920565552</v>
      </c>
      <c r="M58" s="60">
        <v>0</v>
      </c>
      <c r="N58" s="60">
        <v>9502.173979950381</v>
      </c>
      <c r="O58" s="60">
        <v>0</v>
      </c>
    </row>
    <row r="59" spans="1:15" s="60" customFormat="1" ht="12.75">
      <c r="A59" s="12">
        <f t="shared" si="6"/>
        <v>52</v>
      </c>
      <c r="B59" s="157">
        <v>905</v>
      </c>
      <c r="C59" s="60" t="s">
        <v>444</v>
      </c>
      <c r="D59" s="159" t="s">
        <v>229</v>
      </c>
      <c r="E59" s="60">
        <v>-62561</v>
      </c>
      <c r="F59" s="60">
        <v>-55239.56964264399</v>
      </c>
      <c r="G59" s="60">
        <v>-6554.024643945738</v>
      </c>
      <c r="H59" s="60">
        <v>-483.1639527309947</v>
      </c>
      <c r="I59" s="60">
        <v>-47.21682536728596</v>
      </c>
      <c r="J59" s="60">
        <v>-39.16115279528324</v>
      </c>
      <c r="K59" s="60">
        <v>-4.2924386697532695</v>
      </c>
      <c r="L59" s="60">
        <v>-1.117210064730303</v>
      </c>
      <c r="M59" s="60">
        <v>-1.0584095350076554</v>
      </c>
      <c r="N59" s="60">
        <v>-190.86651947971387</v>
      </c>
      <c r="O59" s="60">
        <v>-0.5292047675038277</v>
      </c>
    </row>
    <row r="60" spans="1:15" s="60" customFormat="1" ht="12.75">
      <c r="A60" s="87">
        <f t="shared" si="6"/>
        <v>53</v>
      </c>
      <c r="B60" s="161"/>
      <c r="C60" s="162" t="s">
        <v>284</v>
      </c>
      <c r="D60" s="163"/>
      <c r="E60" s="162">
        <f aca="true" t="shared" si="8" ref="E60:O60">SUM(E55:E59)</f>
        <v>42245306</v>
      </c>
      <c r="F60" s="162">
        <f t="shared" si="8"/>
        <v>35198622.96881193</v>
      </c>
      <c r="G60" s="162">
        <f t="shared" si="8"/>
        <v>4834135.076857039</v>
      </c>
      <c r="H60" s="162">
        <f t="shared" si="8"/>
        <v>1004674.0804183589</v>
      </c>
      <c r="I60" s="162">
        <f t="shared" si="8"/>
        <v>318509.61472073814</v>
      </c>
      <c r="J60" s="162">
        <f t="shared" si="8"/>
        <v>255076.15154731937</v>
      </c>
      <c r="K60" s="162">
        <f t="shared" si="8"/>
        <v>315948.56695564796</v>
      </c>
      <c r="L60" s="162">
        <f t="shared" si="8"/>
        <v>149240.92958997036</v>
      </c>
      <c r="M60" s="162">
        <f t="shared" si="8"/>
        <v>85664.00578113539</v>
      </c>
      <c r="N60" s="162">
        <f t="shared" si="8"/>
        <v>76024.14707553048</v>
      </c>
      <c r="O60" s="162">
        <f t="shared" si="8"/>
        <v>7410.458242340745</v>
      </c>
    </row>
    <row r="61" spans="1:15" s="60" customFormat="1" ht="13.5">
      <c r="A61" s="12">
        <f t="shared" si="6"/>
        <v>54</v>
      </c>
      <c r="B61" s="164"/>
      <c r="C61" s="165"/>
      <c r="D61" s="3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</row>
    <row r="62" spans="1:15" s="60" customFormat="1" ht="13.5">
      <c r="A62" s="12">
        <f t="shared" si="6"/>
        <v>55</v>
      </c>
      <c r="B62" s="164"/>
      <c r="C62" s="5" t="s">
        <v>445</v>
      </c>
      <c r="D62" s="3"/>
      <c r="E62" s="3"/>
      <c r="F62" s="165"/>
      <c r="G62" s="165"/>
      <c r="H62" s="165"/>
      <c r="I62" s="165"/>
      <c r="J62" s="165"/>
      <c r="K62" s="3"/>
      <c r="L62" s="3"/>
      <c r="M62" s="3"/>
      <c r="N62" s="3"/>
      <c r="O62" s="3"/>
    </row>
    <row r="63" spans="1:15" s="60" customFormat="1" ht="12.75">
      <c r="A63" s="12">
        <f t="shared" si="6"/>
        <v>56</v>
      </c>
      <c r="B63" s="157">
        <v>908.01</v>
      </c>
      <c r="C63" s="60" t="s">
        <v>446</v>
      </c>
      <c r="D63" s="159" t="s">
        <v>230</v>
      </c>
      <c r="E63" s="60">
        <v>540660</v>
      </c>
      <c r="F63" s="60">
        <v>485097.92375142267</v>
      </c>
      <c r="G63" s="60">
        <v>49739.24312315047</v>
      </c>
      <c r="H63" s="60">
        <v>3666.5929251081266</v>
      </c>
      <c r="I63" s="60">
        <v>358.3887821534259</v>
      </c>
      <c r="J63" s="60">
        <v>250.08447985431368</v>
      </c>
      <c r="K63" s="60">
        <v>78.76676530844524</v>
      </c>
      <c r="L63" s="60">
        <v>8.861261097200092</v>
      </c>
      <c r="M63" s="60">
        <v>7.8766765308445255</v>
      </c>
      <c r="N63" s="60">
        <v>1448.323897109037</v>
      </c>
      <c r="O63" s="60">
        <v>3.9383382654222627</v>
      </c>
    </row>
    <row r="64" spans="1:15" s="60" customFormat="1" ht="12.75">
      <c r="A64" s="12">
        <f t="shared" si="6"/>
        <v>57</v>
      </c>
      <c r="B64" s="157">
        <v>908.02</v>
      </c>
      <c r="C64" s="60" t="s">
        <v>447</v>
      </c>
      <c r="D64" s="159" t="s">
        <v>206</v>
      </c>
      <c r="E64" s="60">
        <v>1010</v>
      </c>
      <c r="F64" s="60">
        <v>538.442859100295</v>
      </c>
      <c r="G64" s="60">
        <v>122.277350169726</v>
      </c>
      <c r="H64" s="60">
        <v>139.47986975183744</v>
      </c>
      <c r="I64" s="60">
        <v>93.43796922412683</v>
      </c>
      <c r="J64" s="60">
        <v>61.31231963058839</v>
      </c>
      <c r="K64" s="60">
        <v>28.23738816584574</v>
      </c>
      <c r="L64" s="60">
        <v>22.683926022127164</v>
      </c>
      <c r="M64" s="60">
        <v>0</v>
      </c>
      <c r="N64" s="60">
        <v>3.7765515463929935</v>
      </c>
      <c r="O64" s="60">
        <v>0.3517663890605734</v>
      </c>
    </row>
    <row r="65" spans="1:15" s="60" customFormat="1" ht="12.75">
      <c r="A65" s="12">
        <f t="shared" si="6"/>
        <v>58</v>
      </c>
      <c r="B65" s="157">
        <v>909</v>
      </c>
      <c r="C65" s="60" t="s">
        <v>448</v>
      </c>
      <c r="D65" s="159" t="s">
        <v>229</v>
      </c>
      <c r="E65" s="60">
        <v>1320056</v>
      </c>
      <c r="F65" s="60">
        <v>1165571.6076180057</v>
      </c>
      <c r="G65" s="60">
        <v>138291.89999182295</v>
      </c>
      <c r="H65" s="60">
        <v>10194.90536894017</v>
      </c>
      <c r="I65" s="60">
        <v>996.2892796956256</v>
      </c>
      <c r="J65" s="60">
        <v>826.3121547662349</v>
      </c>
      <c r="K65" s="60">
        <v>90.57175269960234</v>
      </c>
      <c r="L65" s="60">
        <v>23.573469880718417</v>
      </c>
      <c r="M65" s="60">
        <v>22.33276093962797</v>
      </c>
      <c r="N65" s="60">
        <v>4027.341222779578</v>
      </c>
      <c r="O65" s="60">
        <v>11.166380469813985</v>
      </c>
    </row>
    <row r="66" spans="1:15" s="60" customFormat="1" ht="12.75">
      <c r="A66" s="12">
        <f t="shared" si="6"/>
        <v>59</v>
      </c>
      <c r="B66" s="157">
        <v>911</v>
      </c>
      <c r="C66" s="60" t="s">
        <v>449</v>
      </c>
      <c r="D66" s="159" t="s">
        <v>205</v>
      </c>
      <c r="E66" s="60">
        <v>2633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2633</v>
      </c>
      <c r="O66" s="60">
        <v>0</v>
      </c>
    </row>
    <row r="67" spans="1:15" s="60" customFormat="1" ht="12.75">
      <c r="A67" s="12">
        <f t="shared" si="6"/>
        <v>60</v>
      </c>
      <c r="B67" s="157">
        <v>912</v>
      </c>
      <c r="C67" s="60" t="s">
        <v>450</v>
      </c>
      <c r="D67" s="159" t="s">
        <v>229</v>
      </c>
      <c r="E67" s="60">
        <v>280914</v>
      </c>
      <c r="F67" s="60">
        <v>248039.0093923322</v>
      </c>
      <c r="G67" s="60">
        <v>29429.153607349195</v>
      </c>
      <c r="H67" s="60">
        <v>2169.522843584256</v>
      </c>
      <c r="I67" s="60">
        <v>212.0149499085016</v>
      </c>
      <c r="J67" s="60">
        <v>175.8430344197535</v>
      </c>
      <c r="K67" s="60">
        <v>19.274086355318328</v>
      </c>
      <c r="L67" s="60">
        <v>5.016543023986962</v>
      </c>
      <c r="M67" s="60">
        <v>4.752514443777121</v>
      </c>
      <c r="N67" s="60">
        <v>857.036771361141</v>
      </c>
      <c r="O67" s="60">
        <v>2.3762572218885607</v>
      </c>
    </row>
    <row r="68" spans="1:15" s="60" customFormat="1" ht="12.75">
      <c r="A68" s="12">
        <f t="shared" si="6"/>
        <v>61</v>
      </c>
      <c r="B68" s="157">
        <v>913</v>
      </c>
      <c r="C68" s="60" t="s">
        <v>451</v>
      </c>
      <c r="D68" s="159" t="s">
        <v>229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</row>
    <row r="69" spans="1:15" s="60" customFormat="1" ht="12.75">
      <c r="A69" s="12">
        <f t="shared" si="6"/>
        <v>62</v>
      </c>
      <c r="B69" s="157">
        <v>916</v>
      </c>
      <c r="C69" s="60" t="s">
        <v>452</v>
      </c>
      <c r="D69" s="159" t="s">
        <v>229</v>
      </c>
      <c r="E69" s="60">
        <v>109818</v>
      </c>
      <c r="F69" s="60">
        <v>96966.14598577193</v>
      </c>
      <c r="G69" s="60">
        <v>11504.769398648248</v>
      </c>
      <c r="H69" s="60">
        <v>848.1338047827301</v>
      </c>
      <c r="I69" s="60">
        <v>82.88322322508607</v>
      </c>
      <c r="J69" s="60">
        <v>68.74249896377002</v>
      </c>
      <c r="K69" s="60">
        <v>7.534838475007825</v>
      </c>
      <c r="L69" s="60">
        <v>1.9611223428102558</v>
      </c>
      <c r="M69" s="60">
        <v>1.8579053773991896</v>
      </c>
      <c r="N69" s="60">
        <v>335.04226972432053</v>
      </c>
      <c r="O69" s="60">
        <v>0.9289526886995948</v>
      </c>
    </row>
    <row r="70" spans="1:15" s="60" customFormat="1" ht="12.75">
      <c r="A70" s="87">
        <f t="shared" si="6"/>
        <v>63</v>
      </c>
      <c r="B70" s="161"/>
      <c r="C70" s="162" t="s">
        <v>284</v>
      </c>
      <c r="D70" s="163"/>
      <c r="E70" s="162">
        <f aca="true" t="shared" si="9" ref="E70:O70">SUM(E63:E69)</f>
        <v>2255091</v>
      </c>
      <c r="F70" s="162">
        <f t="shared" si="9"/>
        <v>1996213.129606633</v>
      </c>
      <c r="G70" s="162">
        <f t="shared" si="9"/>
        <v>229087.3434711406</v>
      </c>
      <c r="H70" s="162">
        <f t="shared" si="9"/>
        <v>17018.634812167118</v>
      </c>
      <c r="I70" s="162">
        <f t="shared" si="9"/>
        <v>1743.0142042067662</v>
      </c>
      <c r="J70" s="162">
        <f t="shared" si="9"/>
        <v>1382.2944876346608</v>
      </c>
      <c r="K70" s="162">
        <f t="shared" si="9"/>
        <v>224.38483100421948</v>
      </c>
      <c r="L70" s="162">
        <f t="shared" si="9"/>
        <v>62.09632236684289</v>
      </c>
      <c r="M70" s="162">
        <f t="shared" si="9"/>
        <v>36.81985729164881</v>
      </c>
      <c r="N70" s="162">
        <f t="shared" si="9"/>
        <v>9304.52071252047</v>
      </c>
      <c r="O70" s="162">
        <f t="shared" si="9"/>
        <v>18.76169503488498</v>
      </c>
    </row>
    <row r="71" spans="1:4" s="60" customFormat="1" ht="12.75">
      <c r="A71" s="12">
        <f t="shared" si="6"/>
        <v>64</v>
      </c>
      <c r="B71" s="157"/>
      <c r="D71" s="3"/>
    </row>
    <row r="72" spans="1:4" s="60" customFormat="1" ht="12.75">
      <c r="A72" s="12">
        <f t="shared" si="6"/>
        <v>65</v>
      </c>
      <c r="B72" s="157"/>
      <c r="C72" s="5" t="s">
        <v>453</v>
      </c>
      <c r="D72" s="3"/>
    </row>
    <row r="73" spans="1:15" s="60" customFormat="1" ht="12.75">
      <c r="A73" s="12">
        <f aca="true" t="shared" si="10" ref="A73:A104">+A72+1</f>
        <v>66</v>
      </c>
      <c r="B73" s="157">
        <v>920</v>
      </c>
      <c r="C73" s="60" t="s">
        <v>454</v>
      </c>
      <c r="D73" s="159" t="s">
        <v>231</v>
      </c>
      <c r="E73" s="60">
        <v>21375825</v>
      </c>
      <c r="F73" s="60">
        <v>12920379.029400507</v>
      </c>
      <c r="G73" s="60">
        <v>2534900.909059944</v>
      </c>
      <c r="H73" s="60">
        <v>2230563.384059186</v>
      </c>
      <c r="I73" s="60">
        <v>1349528.3723899121</v>
      </c>
      <c r="J73" s="60">
        <v>1064083.0798806755</v>
      </c>
      <c r="K73" s="60">
        <v>393736.09220774454</v>
      </c>
      <c r="L73" s="60">
        <v>292375.1550400183</v>
      </c>
      <c r="M73" s="60">
        <v>155818.90726780568</v>
      </c>
      <c r="N73" s="60">
        <v>415264.4467640496</v>
      </c>
      <c r="O73" s="60">
        <v>19175.623930163474</v>
      </c>
    </row>
    <row r="74" spans="1:15" s="60" customFormat="1" ht="12.75">
      <c r="A74" s="12">
        <f t="shared" si="10"/>
        <v>67</v>
      </c>
      <c r="B74" s="157">
        <v>921</v>
      </c>
      <c r="C74" s="60" t="s">
        <v>455</v>
      </c>
      <c r="D74" s="159" t="s">
        <v>231</v>
      </c>
      <c r="E74" s="60">
        <v>12414241</v>
      </c>
      <c r="F74" s="60">
        <v>7503649.523811313</v>
      </c>
      <c r="G74" s="60">
        <v>1472171.0528688007</v>
      </c>
      <c r="H74" s="60">
        <v>1295423.751620641</v>
      </c>
      <c r="I74" s="60">
        <v>783753.1627989148</v>
      </c>
      <c r="J74" s="60">
        <v>617977.7294051087</v>
      </c>
      <c r="K74" s="60">
        <v>228666.48370601656</v>
      </c>
      <c r="L74" s="60">
        <v>169800.02582726753</v>
      </c>
      <c r="M74" s="60">
        <v>90493.51158045085</v>
      </c>
      <c r="N74" s="60">
        <v>241169.30789153549</v>
      </c>
      <c r="O74" s="60">
        <v>11136.450489953793</v>
      </c>
    </row>
    <row r="75" spans="1:15" s="60" customFormat="1" ht="12.75">
      <c r="A75" s="12">
        <f t="shared" si="10"/>
        <v>68</v>
      </c>
      <c r="B75" s="157">
        <v>922</v>
      </c>
      <c r="C75" s="60" t="s">
        <v>456</v>
      </c>
      <c r="D75" s="159" t="s">
        <v>231</v>
      </c>
      <c r="E75" s="60">
        <v>-149062</v>
      </c>
      <c r="F75" s="60">
        <v>-90098.86350026248</v>
      </c>
      <c r="G75" s="60">
        <v>-17676.85688418077</v>
      </c>
      <c r="H75" s="60">
        <v>-15554.592122392018</v>
      </c>
      <c r="I75" s="60">
        <v>-9410.789910807423</v>
      </c>
      <c r="J75" s="60">
        <v>-7420.268085707721</v>
      </c>
      <c r="K75" s="60">
        <v>-2745.675985683398</v>
      </c>
      <c r="L75" s="60">
        <v>-2038.8464707479225</v>
      </c>
      <c r="M75" s="60">
        <v>-1086.5862700108019</v>
      </c>
      <c r="N75" s="60">
        <v>-2895.801634020804</v>
      </c>
      <c r="O75" s="60">
        <v>-133.71913618669817</v>
      </c>
    </row>
    <row r="76" spans="1:15" s="60" customFormat="1" ht="12.75">
      <c r="A76" s="12">
        <f t="shared" si="10"/>
        <v>69</v>
      </c>
      <c r="B76" s="157">
        <v>923</v>
      </c>
      <c r="C76" s="60" t="s">
        <v>457</v>
      </c>
      <c r="D76" s="159" t="s">
        <v>231</v>
      </c>
      <c r="E76" s="60">
        <v>9453322</v>
      </c>
      <c r="F76" s="60">
        <v>5713955.055628048</v>
      </c>
      <c r="G76" s="60">
        <v>1121043.7272683682</v>
      </c>
      <c r="H76" s="60">
        <v>986452.4017632606</v>
      </c>
      <c r="I76" s="60">
        <v>596820.2982732946</v>
      </c>
      <c r="J76" s="60">
        <v>470583.94185317983</v>
      </c>
      <c r="K76" s="60">
        <v>174127.27053395598</v>
      </c>
      <c r="L76" s="60">
        <v>129301.04383775672</v>
      </c>
      <c r="M76" s="60">
        <v>68909.91594900817</v>
      </c>
      <c r="N76" s="60">
        <v>183648.04775546296</v>
      </c>
      <c r="O76" s="60">
        <v>8480.297137665602</v>
      </c>
    </row>
    <row r="77" spans="1:15" s="60" customFormat="1" ht="12.75">
      <c r="A77" s="12">
        <f t="shared" si="10"/>
        <v>70</v>
      </c>
      <c r="B77" s="157">
        <v>924</v>
      </c>
      <c r="C77" s="60" t="s">
        <v>458</v>
      </c>
      <c r="D77" s="159" t="s">
        <v>232</v>
      </c>
      <c r="E77" s="60">
        <v>6267961</v>
      </c>
      <c r="F77" s="60">
        <v>3680898.060859583</v>
      </c>
      <c r="G77" s="60">
        <v>750743.6280713347</v>
      </c>
      <c r="H77" s="60">
        <v>736484.2885229257</v>
      </c>
      <c r="I77" s="60">
        <v>434455.0800497659</v>
      </c>
      <c r="J77" s="60">
        <v>332775.1187564329</v>
      </c>
      <c r="K77" s="60">
        <v>126836.19402608977</v>
      </c>
      <c r="L77" s="60">
        <v>89079.4220996372</v>
      </c>
      <c r="M77" s="60">
        <v>55848.37178745962</v>
      </c>
      <c r="N77" s="60">
        <v>54425.90227543905</v>
      </c>
      <c r="O77" s="60">
        <v>6414.933551331316</v>
      </c>
    </row>
    <row r="78" spans="1:15" s="60" customFormat="1" ht="12.75">
      <c r="A78" s="12">
        <f t="shared" si="10"/>
        <v>71</v>
      </c>
      <c r="B78" s="157">
        <v>925</v>
      </c>
      <c r="C78" s="60" t="s">
        <v>459</v>
      </c>
      <c r="D78" s="159" t="s">
        <v>233</v>
      </c>
      <c r="E78" s="60">
        <v>6340796</v>
      </c>
      <c r="F78" s="60">
        <v>3864448.6862899023</v>
      </c>
      <c r="G78" s="60">
        <v>748592.4896267062</v>
      </c>
      <c r="H78" s="60">
        <v>673620.4160623612</v>
      </c>
      <c r="I78" s="60">
        <v>406461.329864168</v>
      </c>
      <c r="J78" s="60">
        <v>297608.40765611135</v>
      </c>
      <c r="K78" s="60">
        <v>124535.37194373098</v>
      </c>
      <c r="L78" s="60">
        <v>89837.73283228143</v>
      </c>
      <c r="M78" s="60">
        <v>60250.150913239944</v>
      </c>
      <c r="N78" s="60">
        <v>69081.98863068948</v>
      </c>
      <c r="O78" s="60">
        <v>6359.426180808223</v>
      </c>
    </row>
    <row r="79" spans="1:15" s="60" customFormat="1" ht="12.75">
      <c r="A79" s="12">
        <f t="shared" si="10"/>
        <v>72</v>
      </c>
      <c r="B79" s="157">
        <v>926</v>
      </c>
      <c r="C79" s="60" t="s">
        <v>460</v>
      </c>
      <c r="D79" s="159" t="s">
        <v>233</v>
      </c>
      <c r="E79" s="60">
        <v>24206996</v>
      </c>
      <c r="F79" s="60">
        <v>14753146.748645585</v>
      </c>
      <c r="G79" s="60">
        <v>2857870.747146529</v>
      </c>
      <c r="H79" s="60">
        <v>2571652.9465921805</v>
      </c>
      <c r="I79" s="60">
        <v>1551730.6953538002</v>
      </c>
      <c r="J79" s="60">
        <v>1136167.372944636</v>
      </c>
      <c r="K79" s="60">
        <v>475433.5655177059</v>
      </c>
      <c r="L79" s="60">
        <v>342969.81630068296</v>
      </c>
      <c r="M79" s="60">
        <v>230014.52217611094</v>
      </c>
      <c r="N79" s="60">
        <v>263731.4656480268</v>
      </c>
      <c r="O79" s="60">
        <v>24278.119674741145</v>
      </c>
    </row>
    <row r="80" spans="1:15" s="60" customFormat="1" ht="12.75">
      <c r="A80" s="12">
        <f t="shared" si="10"/>
        <v>73</v>
      </c>
      <c r="B80" s="157">
        <v>928</v>
      </c>
      <c r="C80" s="60" t="s">
        <v>461</v>
      </c>
      <c r="D80" s="159" t="s">
        <v>202</v>
      </c>
      <c r="E80" s="60">
        <v>6175018</v>
      </c>
      <c r="F80" s="60">
        <v>3621143.4239614736</v>
      </c>
      <c r="G80" s="60">
        <v>740067.4072632423</v>
      </c>
      <c r="H80" s="60">
        <v>728325.5345059035</v>
      </c>
      <c r="I80" s="60">
        <v>429163.2266159981</v>
      </c>
      <c r="J80" s="60">
        <v>329383.1142655852</v>
      </c>
      <c r="K80" s="60">
        <v>125040.7730005374</v>
      </c>
      <c r="L80" s="60">
        <v>87693.9351887166</v>
      </c>
      <c r="M80" s="60">
        <v>54789.88233844837</v>
      </c>
      <c r="N80" s="60">
        <v>53090.721591051144</v>
      </c>
      <c r="O80" s="60">
        <v>6319.981269043673</v>
      </c>
    </row>
    <row r="81" spans="1:15" s="60" customFormat="1" ht="12.75">
      <c r="A81" s="12">
        <f t="shared" si="10"/>
        <v>74</v>
      </c>
      <c r="B81" s="157">
        <v>930</v>
      </c>
      <c r="C81" s="60" t="s">
        <v>462</v>
      </c>
      <c r="D81" s="159" t="s">
        <v>231</v>
      </c>
      <c r="E81" s="60">
        <v>2637803</v>
      </c>
      <c r="F81" s="60">
        <v>1594390.605503635</v>
      </c>
      <c r="G81" s="60">
        <v>312809.8785717533</v>
      </c>
      <c r="H81" s="60">
        <v>275254.25503630727</v>
      </c>
      <c r="I81" s="60">
        <v>166533.45493215945</v>
      </c>
      <c r="J81" s="60">
        <v>131309.15603764934</v>
      </c>
      <c r="K81" s="60">
        <v>48587.51628224243</v>
      </c>
      <c r="L81" s="60">
        <v>36079.45242300709</v>
      </c>
      <c r="M81" s="60">
        <v>19228.244105092537</v>
      </c>
      <c r="N81" s="60">
        <v>51244.141616407804</v>
      </c>
      <c r="O81" s="60">
        <v>2366.29549174626</v>
      </c>
    </row>
    <row r="82" spans="1:15" s="60" customFormat="1" ht="12.75">
      <c r="A82" s="12">
        <f t="shared" si="10"/>
        <v>75</v>
      </c>
      <c r="B82" s="157">
        <v>931</v>
      </c>
      <c r="C82" s="60" t="s">
        <v>463</v>
      </c>
      <c r="D82" s="159" t="s">
        <v>231</v>
      </c>
      <c r="E82" s="60">
        <v>2333435</v>
      </c>
      <c r="F82" s="60">
        <v>1410418.7623387245</v>
      </c>
      <c r="G82" s="60">
        <v>276715.7058374257</v>
      </c>
      <c r="H82" s="60">
        <v>243493.5105467109</v>
      </c>
      <c r="I82" s="60">
        <v>147317.67020115734</v>
      </c>
      <c r="J82" s="60">
        <v>116157.79514949079</v>
      </c>
      <c r="K82" s="60">
        <v>42981.15176002695</v>
      </c>
      <c r="L82" s="60">
        <v>31916.355036626897</v>
      </c>
      <c r="M82" s="60">
        <v>17009.55597645715</v>
      </c>
      <c r="N82" s="60">
        <v>45331.23724276701</v>
      </c>
      <c r="O82" s="60">
        <v>2093.2559106130875</v>
      </c>
    </row>
    <row r="83" spans="1:15" s="60" customFormat="1" ht="12.75">
      <c r="A83" s="87">
        <f>+A82+1</f>
        <v>76</v>
      </c>
      <c r="B83" s="161"/>
      <c r="C83" s="162" t="s">
        <v>284</v>
      </c>
      <c r="D83" s="163"/>
      <c r="E83" s="162">
        <f aca="true" t="shared" si="11" ref="E83:O83">SUM(E73:E82)</f>
        <v>91056335</v>
      </c>
      <c r="F83" s="162">
        <f t="shared" si="11"/>
        <v>54972331.03293851</v>
      </c>
      <c r="G83" s="162">
        <f t="shared" si="11"/>
        <v>10797238.688829921</v>
      </c>
      <c r="H83" s="162">
        <f t="shared" si="11"/>
        <v>9725715.896587085</v>
      </c>
      <c r="I83" s="162">
        <f t="shared" si="11"/>
        <v>5856352.500568363</v>
      </c>
      <c r="J83" s="162">
        <f t="shared" si="11"/>
        <v>4488625.4478631625</v>
      </c>
      <c r="K83" s="162">
        <f t="shared" si="11"/>
        <v>1737198.7429923671</v>
      </c>
      <c r="L83" s="162">
        <f t="shared" si="11"/>
        <v>1267014.0921152465</v>
      </c>
      <c r="M83" s="162">
        <f t="shared" si="11"/>
        <v>751276.4758240625</v>
      </c>
      <c r="N83" s="162">
        <f t="shared" si="11"/>
        <v>1374091.4577814084</v>
      </c>
      <c r="O83" s="162">
        <f t="shared" si="11"/>
        <v>86490.66449987987</v>
      </c>
    </row>
    <row r="84" spans="1:4" s="60" customFormat="1" ht="12.75">
      <c r="A84" s="12">
        <f t="shared" si="10"/>
        <v>77</v>
      </c>
      <c r="B84" s="157"/>
      <c r="D84" s="3"/>
    </row>
    <row r="85" spans="1:15" s="169" customFormat="1" ht="12.75">
      <c r="A85" s="87">
        <f t="shared" si="10"/>
        <v>78</v>
      </c>
      <c r="B85" s="166"/>
      <c r="C85" s="168" t="s">
        <v>88</v>
      </c>
      <c r="D85" s="175"/>
      <c r="E85" s="168">
        <f aca="true" t="shared" si="12" ref="E85:O85">SUM(E83,E70,E60,E52,E39,E34,E27,E23,E15)</f>
        <v>1323024158</v>
      </c>
      <c r="F85" s="168">
        <f t="shared" si="12"/>
        <v>725975170.482429</v>
      </c>
      <c r="G85" s="168">
        <f t="shared" si="12"/>
        <v>160012249.06393182</v>
      </c>
      <c r="H85" s="168">
        <f t="shared" si="12"/>
        <v>173736404.4728064</v>
      </c>
      <c r="I85" s="168">
        <f t="shared" si="12"/>
        <v>114916257.4038105</v>
      </c>
      <c r="J85" s="168">
        <f t="shared" si="12"/>
        <v>77218001.84576236</v>
      </c>
      <c r="K85" s="168">
        <f t="shared" si="12"/>
        <v>34732418.802975826</v>
      </c>
      <c r="L85" s="168">
        <f t="shared" si="12"/>
        <v>27638747.246081766</v>
      </c>
      <c r="M85" s="168">
        <f t="shared" si="12"/>
        <v>625205.1081890515</v>
      </c>
      <c r="N85" s="168">
        <f t="shared" si="12"/>
        <v>7501471.183904579</v>
      </c>
      <c r="O85" s="168">
        <f t="shared" si="12"/>
        <v>668232.390108676</v>
      </c>
    </row>
    <row r="86" spans="1:4" s="60" customFormat="1" ht="12.75">
      <c r="A86" s="12">
        <f t="shared" si="10"/>
        <v>79</v>
      </c>
      <c r="B86" s="157"/>
      <c r="D86" s="3"/>
    </row>
    <row r="87" spans="1:4" s="60" customFormat="1" ht="12.75">
      <c r="A87" s="12">
        <f t="shared" si="10"/>
        <v>80</v>
      </c>
      <c r="B87" s="157"/>
      <c r="C87" s="5" t="s">
        <v>464</v>
      </c>
      <c r="D87" s="3"/>
    </row>
    <row r="88" spans="1:15" s="60" customFormat="1" ht="12.75">
      <c r="A88" s="12">
        <f t="shared" si="10"/>
        <v>81</v>
      </c>
      <c r="B88" s="157">
        <v>591</v>
      </c>
      <c r="C88" s="60" t="s">
        <v>465</v>
      </c>
      <c r="D88" s="159" t="s">
        <v>234</v>
      </c>
      <c r="E88" s="60">
        <v>-4740</v>
      </c>
      <c r="F88" s="60">
        <v>-2179.036193127141</v>
      </c>
      <c r="G88" s="60">
        <v>-579.575727020855</v>
      </c>
      <c r="H88" s="60">
        <v>-619.4926852198705</v>
      </c>
      <c r="I88" s="60">
        <v>-478.0537878127019</v>
      </c>
      <c r="J88" s="60">
        <v>-357.5953772490881</v>
      </c>
      <c r="K88" s="60">
        <v>-111.5271684254474</v>
      </c>
      <c r="L88" s="60">
        <v>-159.5663763064608</v>
      </c>
      <c r="M88" s="60">
        <v>-223.08783732899178</v>
      </c>
      <c r="N88" s="60">
        <v>-17.690858719136063</v>
      </c>
      <c r="O88" s="60">
        <v>-14.373988790306864</v>
      </c>
    </row>
    <row r="89" spans="1:15" s="60" customFormat="1" ht="12.75">
      <c r="A89" s="12">
        <f t="shared" si="10"/>
        <v>82</v>
      </c>
      <c r="B89" s="157">
        <v>592</v>
      </c>
      <c r="C89" s="60" t="s">
        <v>466</v>
      </c>
      <c r="D89" s="159" t="s">
        <v>222</v>
      </c>
      <c r="E89" s="60">
        <v>4018148</v>
      </c>
      <c r="F89" s="60">
        <v>2006742.6827352492</v>
      </c>
      <c r="G89" s="60">
        <v>485651.6345360389</v>
      </c>
      <c r="H89" s="60">
        <v>508515.8324272346</v>
      </c>
      <c r="I89" s="60">
        <v>336579.9889208067</v>
      </c>
      <c r="J89" s="60">
        <v>279731.67205202265</v>
      </c>
      <c r="K89" s="60">
        <v>89086.80640595168</v>
      </c>
      <c r="L89" s="60">
        <v>95156.35387536808</v>
      </c>
      <c r="M89" s="60">
        <v>189495.43855524916</v>
      </c>
      <c r="N89" s="60">
        <v>14961.859700594876</v>
      </c>
      <c r="O89" s="60">
        <v>12225.730791484317</v>
      </c>
    </row>
    <row r="90" spans="1:15" s="60" customFormat="1" ht="12.75">
      <c r="A90" s="12">
        <f t="shared" si="10"/>
        <v>83</v>
      </c>
      <c r="B90" s="157">
        <v>593</v>
      </c>
      <c r="C90" s="60" t="s">
        <v>431</v>
      </c>
      <c r="D90" s="159" t="s">
        <v>201</v>
      </c>
      <c r="E90" s="60">
        <v>31625118</v>
      </c>
      <c r="F90" s="60">
        <v>19847135.373226218</v>
      </c>
      <c r="G90" s="60">
        <v>3634943.0983657967</v>
      </c>
      <c r="H90" s="60">
        <v>3309917.2936230423</v>
      </c>
      <c r="I90" s="60">
        <v>1653916.595577896</v>
      </c>
      <c r="J90" s="60">
        <v>1666835.326616933</v>
      </c>
      <c r="K90" s="60">
        <v>301407.41813629004</v>
      </c>
      <c r="L90" s="60">
        <v>215994.80739830065</v>
      </c>
      <c r="M90" s="60">
        <v>795824.249660677</v>
      </c>
      <c r="N90" s="60">
        <v>118070.71889161937</v>
      </c>
      <c r="O90" s="60">
        <v>81073.11850322541</v>
      </c>
    </row>
    <row r="91" spans="1:15" s="60" customFormat="1" ht="12.75">
      <c r="A91" s="12">
        <f t="shared" si="10"/>
        <v>84</v>
      </c>
      <c r="B91" s="157">
        <v>594</v>
      </c>
      <c r="C91" s="60" t="s">
        <v>432</v>
      </c>
      <c r="D91" s="159" t="s">
        <v>223</v>
      </c>
      <c r="E91" s="60">
        <v>12170524</v>
      </c>
      <c r="F91" s="60">
        <v>8227700.869330193</v>
      </c>
      <c r="G91" s="60">
        <v>1313792.1589143043</v>
      </c>
      <c r="H91" s="60">
        <v>1204084.248144651</v>
      </c>
      <c r="I91" s="60">
        <v>581966.5303715221</v>
      </c>
      <c r="J91" s="60">
        <v>544003.8043045924</v>
      </c>
      <c r="K91" s="60">
        <v>188760.10743670145</v>
      </c>
      <c r="L91" s="60">
        <v>20445.616441919625</v>
      </c>
      <c r="M91" s="60">
        <v>13119.729302476006</v>
      </c>
      <c r="N91" s="60">
        <v>68438.96061177716</v>
      </c>
      <c r="O91" s="60">
        <v>8211.975141866013</v>
      </c>
    </row>
    <row r="92" spans="1:15" s="60" customFormat="1" ht="12.75">
      <c r="A92" s="12">
        <f t="shared" si="10"/>
        <v>85</v>
      </c>
      <c r="B92" s="157">
        <v>595</v>
      </c>
      <c r="C92" s="60" t="s">
        <v>467</v>
      </c>
      <c r="D92" s="159" t="s">
        <v>235</v>
      </c>
      <c r="E92" s="60">
        <v>315694</v>
      </c>
      <c r="F92" s="60">
        <v>214627.25206060673</v>
      </c>
      <c r="G92" s="60">
        <v>55391.418212257624</v>
      </c>
      <c r="H92" s="60">
        <v>34318.986595348026</v>
      </c>
      <c r="I92" s="60">
        <v>7664.939764776786</v>
      </c>
      <c r="J92" s="60">
        <v>939.1753641612393</v>
      </c>
      <c r="K92" s="60">
        <v>2569.5613502026063</v>
      </c>
      <c r="L92" s="60">
        <v>0</v>
      </c>
      <c r="M92" s="60">
        <v>0</v>
      </c>
      <c r="N92" s="60">
        <v>166.70519046651697</v>
      </c>
      <c r="O92" s="60">
        <v>15.961462180449422</v>
      </c>
    </row>
    <row r="93" spans="1:15" s="60" customFormat="1" ht="12.75">
      <c r="A93" s="12">
        <f t="shared" si="10"/>
        <v>86</v>
      </c>
      <c r="B93" s="157">
        <v>596</v>
      </c>
      <c r="C93" s="60" t="s">
        <v>433</v>
      </c>
      <c r="D93" s="159" t="s">
        <v>205</v>
      </c>
      <c r="E93" s="60">
        <v>2263517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2263517</v>
      </c>
      <c r="O93" s="60">
        <v>0</v>
      </c>
    </row>
    <row r="94" spans="1:15" s="60" customFormat="1" ht="12.75">
      <c r="A94" s="12">
        <f t="shared" si="10"/>
        <v>87</v>
      </c>
      <c r="B94" s="157">
        <v>597</v>
      </c>
      <c r="C94" s="60" t="s">
        <v>468</v>
      </c>
      <c r="D94" s="159" t="s">
        <v>224</v>
      </c>
      <c r="E94" s="60">
        <v>433208</v>
      </c>
      <c r="F94" s="60">
        <v>239172.37282892046</v>
      </c>
      <c r="G94" s="60">
        <v>94464.46881199082</v>
      </c>
      <c r="H94" s="60">
        <v>32592.316838033385</v>
      </c>
      <c r="I94" s="60">
        <v>3568.0314729940637</v>
      </c>
      <c r="J94" s="60">
        <v>57332.19461289616</v>
      </c>
      <c r="K94" s="60">
        <v>2702.129520962479</v>
      </c>
      <c r="L94" s="60">
        <v>1719.3122350956896</v>
      </c>
      <c r="M94" s="60">
        <v>926.7560449270145</v>
      </c>
      <c r="N94" s="60">
        <v>0</v>
      </c>
      <c r="O94" s="60">
        <v>730.4176341799243</v>
      </c>
    </row>
    <row r="95" spans="1:15" s="60" customFormat="1" ht="12.75">
      <c r="A95" s="12">
        <f t="shared" si="10"/>
        <v>88</v>
      </c>
      <c r="B95" s="157">
        <v>590</v>
      </c>
      <c r="C95" s="60" t="s">
        <v>437</v>
      </c>
      <c r="D95" s="159" t="s">
        <v>236</v>
      </c>
      <c r="E95" s="60">
        <v>12257</v>
      </c>
      <c r="F95" s="60">
        <v>7363.923826030128</v>
      </c>
      <c r="G95" s="60">
        <v>1346.6544991165156</v>
      </c>
      <c r="H95" s="60">
        <v>1227.3067939033292</v>
      </c>
      <c r="I95" s="60">
        <v>623.0143292817544</v>
      </c>
      <c r="J95" s="60">
        <v>614.6373979728256</v>
      </c>
      <c r="K95" s="60">
        <v>140.9476863718832</v>
      </c>
      <c r="L95" s="60">
        <v>80.34989129202748</v>
      </c>
      <c r="M95" s="60">
        <v>240.9709330075363</v>
      </c>
      <c r="N95" s="60">
        <v>594.5359626201979</v>
      </c>
      <c r="O95" s="60">
        <v>24.65868040379932</v>
      </c>
    </row>
    <row r="96" spans="1:15" s="60" customFormat="1" ht="12.75">
      <c r="A96" s="87">
        <f t="shared" si="10"/>
        <v>89</v>
      </c>
      <c r="B96" s="161"/>
      <c r="C96" s="162" t="s">
        <v>284</v>
      </c>
      <c r="D96" s="42"/>
      <c r="E96" s="162">
        <f aca="true" t="shared" si="13" ref="E96:O96">SUM(E88:E95)</f>
        <v>50833726</v>
      </c>
      <c r="F96" s="162">
        <f t="shared" si="13"/>
        <v>30540563.43781409</v>
      </c>
      <c r="G96" s="162">
        <f t="shared" si="13"/>
        <v>5585009.857612484</v>
      </c>
      <c r="H96" s="162">
        <f t="shared" si="13"/>
        <v>5090036.491736993</v>
      </c>
      <c r="I96" s="162">
        <f t="shared" si="13"/>
        <v>2583841.0466494644</v>
      </c>
      <c r="J96" s="162">
        <f t="shared" si="13"/>
        <v>2549099.2149713296</v>
      </c>
      <c r="K96" s="162">
        <f t="shared" si="13"/>
        <v>584555.4433680547</v>
      </c>
      <c r="L96" s="162">
        <f t="shared" si="13"/>
        <v>333236.8734656697</v>
      </c>
      <c r="M96" s="162">
        <f t="shared" si="13"/>
        <v>999384.0566590078</v>
      </c>
      <c r="N96" s="162">
        <f t="shared" si="13"/>
        <v>2465732.0894983592</v>
      </c>
      <c r="O96" s="162">
        <f t="shared" si="13"/>
        <v>102267.4882245496</v>
      </c>
    </row>
    <row r="97" spans="1:4" s="60" customFormat="1" ht="12.75">
      <c r="A97" s="12">
        <f t="shared" si="10"/>
        <v>90</v>
      </c>
      <c r="B97" s="157"/>
      <c r="D97" s="3"/>
    </row>
    <row r="98" spans="1:4" s="60" customFormat="1" ht="12.75">
      <c r="A98" s="12">
        <f t="shared" si="10"/>
        <v>91</v>
      </c>
      <c r="B98" s="157"/>
      <c r="C98" s="5" t="s">
        <v>469</v>
      </c>
      <c r="D98" s="3"/>
    </row>
    <row r="99" spans="1:15" s="60" customFormat="1" ht="12.75">
      <c r="A99" s="12">
        <f t="shared" si="10"/>
        <v>92</v>
      </c>
      <c r="B99" s="157">
        <v>935</v>
      </c>
      <c r="C99" s="60" t="s">
        <v>470</v>
      </c>
      <c r="D99" s="159" t="s">
        <v>209</v>
      </c>
      <c r="E99" s="60">
        <v>4423072</v>
      </c>
      <c r="F99" s="60">
        <v>2677441.388381319</v>
      </c>
      <c r="G99" s="60">
        <v>522723.8032970749</v>
      </c>
      <c r="H99" s="60">
        <v>477016.4179624711</v>
      </c>
      <c r="I99" s="60">
        <v>288797.5621287727</v>
      </c>
      <c r="J99" s="60">
        <v>210984.70383953868</v>
      </c>
      <c r="K99" s="60">
        <v>88184.55583853633</v>
      </c>
      <c r="L99" s="60">
        <v>63858.551519434746</v>
      </c>
      <c r="M99" s="60">
        <v>42970.844183281704</v>
      </c>
      <c r="N99" s="60">
        <v>46570.01644054703</v>
      </c>
      <c r="O99" s="60">
        <v>4524.156409024015</v>
      </c>
    </row>
    <row r="100" spans="1:15" s="60" customFormat="1" ht="12.75">
      <c r="A100" s="12">
        <f t="shared" si="10"/>
        <v>93</v>
      </c>
      <c r="B100" s="157">
        <v>411</v>
      </c>
      <c r="C100" s="60" t="s">
        <v>471</v>
      </c>
      <c r="D100" s="159" t="s">
        <v>200</v>
      </c>
      <c r="E100" s="60">
        <v>20888623</v>
      </c>
      <c r="F100" s="60">
        <v>11135970.188899187</v>
      </c>
      <c r="G100" s="60">
        <v>2528916.306073656</v>
      </c>
      <c r="H100" s="60">
        <v>2884695.460727956</v>
      </c>
      <c r="I100" s="60">
        <v>1932465.85446375</v>
      </c>
      <c r="J100" s="60">
        <v>1268049.4356622375</v>
      </c>
      <c r="K100" s="60">
        <v>584000.1543574387</v>
      </c>
      <c r="L100" s="60">
        <v>469144.53350109304</v>
      </c>
      <c r="M100" s="60">
        <v>0</v>
      </c>
      <c r="N100" s="60">
        <v>78105.90246799035</v>
      </c>
      <c r="O100" s="60">
        <v>7275.163846690733</v>
      </c>
    </row>
    <row r="101" spans="1:15" s="60" customFormat="1" ht="12.75">
      <c r="A101" s="12">
        <f t="shared" si="10"/>
        <v>94</v>
      </c>
      <c r="B101" s="157">
        <v>411.01</v>
      </c>
      <c r="C101" s="60" t="s">
        <v>472</v>
      </c>
      <c r="D101" s="159" t="s">
        <v>207</v>
      </c>
      <c r="E101" s="60">
        <v>-2270969</v>
      </c>
      <c r="F101" s="60">
        <v>-1452217.3362385605</v>
      </c>
      <c r="G101" s="60">
        <v>-270395.0328165022</v>
      </c>
      <c r="H101" s="60">
        <v>-224770.45298262849</v>
      </c>
      <c r="I101" s="60">
        <v>-108155.15345129978</v>
      </c>
      <c r="J101" s="60">
        <v>-105477.01575671471</v>
      </c>
      <c r="K101" s="60">
        <v>-29325.28165874377</v>
      </c>
      <c r="L101" s="60">
        <v>-14346.88303704387</v>
      </c>
      <c r="M101" s="60">
        <v>-32783.868989479924</v>
      </c>
      <c r="N101" s="60">
        <v>-30185.85765820021</v>
      </c>
      <c r="O101" s="60">
        <v>-3312.1174108266127</v>
      </c>
    </row>
    <row r="102" spans="1:15" s="60" customFormat="1" ht="12.75">
      <c r="A102" s="12">
        <f t="shared" si="10"/>
        <v>95</v>
      </c>
      <c r="B102" s="157">
        <v>411.02</v>
      </c>
      <c r="C102" s="60" t="s">
        <v>473</v>
      </c>
      <c r="D102" s="159" t="s">
        <v>237</v>
      </c>
      <c r="E102" s="60">
        <v>2048627</v>
      </c>
      <c r="F102" s="60">
        <v>1285514.7538333023</v>
      </c>
      <c r="G102" s="60">
        <v>243602.0056434509</v>
      </c>
      <c r="H102" s="60">
        <v>209813.237720395</v>
      </c>
      <c r="I102" s="60">
        <v>106045.69930245334</v>
      </c>
      <c r="J102" s="60">
        <v>97649.6902817206</v>
      </c>
      <c r="K102" s="60">
        <v>29313.34315534785</v>
      </c>
      <c r="L102" s="60">
        <v>16055.44609604802</v>
      </c>
      <c r="M102" s="60">
        <v>32185.88705734248</v>
      </c>
      <c r="N102" s="60">
        <v>25284.19707126914</v>
      </c>
      <c r="O102" s="60">
        <v>3162.739838670403</v>
      </c>
    </row>
    <row r="103" spans="1:15" s="60" customFormat="1" ht="12.75">
      <c r="A103" s="12">
        <f t="shared" si="10"/>
        <v>96</v>
      </c>
      <c r="B103" s="157">
        <v>411.03</v>
      </c>
      <c r="C103" s="60" t="s">
        <v>474</v>
      </c>
      <c r="D103" s="159" t="s">
        <v>200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</row>
    <row r="104" spans="1:15" s="60" customFormat="1" ht="12.75">
      <c r="A104" s="12">
        <f t="shared" si="10"/>
        <v>97</v>
      </c>
      <c r="B104" s="157">
        <v>414</v>
      </c>
      <c r="C104" s="60" t="s">
        <v>475</v>
      </c>
      <c r="D104" s="159" t="s">
        <v>200</v>
      </c>
      <c r="E104" s="60">
        <v>-249423</v>
      </c>
      <c r="F104" s="60">
        <v>-132970.32994591372</v>
      </c>
      <c r="G104" s="60">
        <v>-30196.815357805513</v>
      </c>
      <c r="H104" s="60">
        <v>-34445.03718129956</v>
      </c>
      <c r="I104" s="60">
        <v>-23074.830294840976</v>
      </c>
      <c r="J104" s="60">
        <v>-15141.289801208164</v>
      </c>
      <c r="K104" s="60">
        <v>-6973.320859890833</v>
      </c>
      <c r="L104" s="60">
        <v>-5601.874138828736</v>
      </c>
      <c r="M104" s="60">
        <v>0</v>
      </c>
      <c r="N104" s="60">
        <v>-932.6324914415641</v>
      </c>
      <c r="O104" s="60">
        <v>-86.86992877094593</v>
      </c>
    </row>
    <row r="105" spans="1:15" s="60" customFormat="1" ht="12.75">
      <c r="A105" s="87">
        <f>+A103+1</f>
        <v>97</v>
      </c>
      <c r="B105" s="161"/>
      <c r="C105" s="162" t="s">
        <v>284</v>
      </c>
      <c r="D105" s="42"/>
      <c r="E105" s="162">
        <f aca="true" t="shared" si="14" ref="E105:O105">SUM(E99:E104)</f>
        <v>24839930</v>
      </c>
      <c r="F105" s="162">
        <f t="shared" si="14"/>
        <v>13513738.664929334</v>
      </c>
      <c r="G105" s="162">
        <f t="shared" si="14"/>
        <v>2994650.2668398735</v>
      </c>
      <c r="H105" s="162">
        <f t="shared" si="14"/>
        <v>3312309.626246894</v>
      </c>
      <c r="I105" s="162">
        <f t="shared" si="14"/>
        <v>2196079.1321488353</v>
      </c>
      <c r="J105" s="162">
        <f t="shared" si="14"/>
        <v>1456065.524225574</v>
      </c>
      <c r="K105" s="162">
        <f t="shared" si="14"/>
        <v>665199.4508326884</v>
      </c>
      <c r="L105" s="162">
        <f t="shared" si="14"/>
        <v>529109.7739407032</v>
      </c>
      <c r="M105" s="162">
        <f t="shared" si="14"/>
        <v>42372.86225114426</v>
      </c>
      <c r="N105" s="162">
        <f t="shared" si="14"/>
        <v>118841.62583016475</v>
      </c>
      <c r="O105" s="162">
        <f t="shared" si="14"/>
        <v>11563.072754787592</v>
      </c>
    </row>
    <row r="106" spans="1:15" s="60" customFormat="1" ht="12.75">
      <c r="A106" s="12">
        <f aca="true" t="shared" si="15" ref="A106:A148">+A105+1</f>
        <v>98</v>
      </c>
      <c r="B106" s="15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169" customFormat="1" ht="12.75">
      <c r="A107" s="87">
        <f t="shared" si="15"/>
        <v>99</v>
      </c>
      <c r="B107" s="166"/>
      <c r="C107" s="168" t="s">
        <v>476</v>
      </c>
      <c r="D107" s="175"/>
      <c r="E107" s="168">
        <f aca="true" t="shared" si="16" ref="E107:O107">SUM(E105,E96)</f>
        <v>75673656</v>
      </c>
      <c r="F107" s="168">
        <f t="shared" si="16"/>
        <v>44054302.102743424</v>
      </c>
      <c r="G107" s="168">
        <f t="shared" si="16"/>
        <v>8579660.124452358</v>
      </c>
      <c r="H107" s="168">
        <f t="shared" si="16"/>
        <v>8402346.117983887</v>
      </c>
      <c r="I107" s="168">
        <f t="shared" si="16"/>
        <v>4779920.178798299</v>
      </c>
      <c r="J107" s="168">
        <f t="shared" si="16"/>
        <v>4005164.7391969035</v>
      </c>
      <c r="K107" s="168">
        <f t="shared" si="16"/>
        <v>1249754.8942007432</v>
      </c>
      <c r="L107" s="168">
        <f t="shared" si="16"/>
        <v>862346.6474063729</v>
      </c>
      <c r="M107" s="168">
        <f t="shared" si="16"/>
        <v>1041756.918910152</v>
      </c>
      <c r="N107" s="168">
        <f t="shared" si="16"/>
        <v>2584573.715328524</v>
      </c>
      <c r="O107" s="168">
        <f t="shared" si="16"/>
        <v>113830.56097933718</v>
      </c>
    </row>
    <row r="108" spans="1:15" s="169" customFormat="1" ht="12.75">
      <c r="A108" s="12">
        <f t="shared" si="15"/>
        <v>100</v>
      </c>
      <c r="B108" s="170"/>
      <c r="C108" s="13"/>
      <c r="D108" s="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s="169" customFormat="1" ht="12.75">
      <c r="A109" s="87">
        <f t="shared" si="15"/>
        <v>101</v>
      </c>
      <c r="B109" s="166"/>
      <c r="C109" s="168" t="s">
        <v>477</v>
      </c>
      <c r="D109" s="175"/>
      <c r="E109" s="168">
        <f aca="true" t="shared" si="17" ref="E109:O109">SUM(E107,E85)</f>
        <v>1398697814</v>
      </c>
      <c r="F109" s="168">
        <f t="shared" si="17"/>
        <v>770029472.5851724</v>
      </c>
      <c r="G109" s="168">
        <f t="shared" si="17"/>
        <v>168591909.18838418</v>
      </c>
      <c r="H109" s="168">
        <f t="shared" si="17"/>
        <v>182138750.59079027</v>
      </c>
      <c r="I109" s="168">
        <f t="shared" si="17"/>
        <v>119696177.5826088</v>
      </c>
      <c r="J109" s="168">
        <f t="shared" si="17"/>
        <v>81223166.58495925</v>
      </c>
      <c r="K109" s="168">
        <f t="shared" si="17"/>
        <v>35982173.69717657</v>
      </c>
      <c r="L109" s="168">
        <f t="shared" si="17"/>
        <v>28501093.89348814</v>
      </c>
      <c r="M109" s="168">
        <f t="shared" si="17"/>
        <v>1666962.0270992036</v>
      </c>
      <c r="N109" s="168">
        <f t="shared" si="17"/>
        <v>10086044.899233103</v>
      </c>
      <c r="O109" s="168">
        <f t="shared" si="17"/>
        <v>782062.9510880132</v>
      </c>
    </row>
    <row r="110" spans="1:15" s="60" customFormat="1" ht="12.75">
      <c r="A110" s="12">
        <f t="shared" si="15"/>
        <v>102</v>
      </c>
      <c r="B110" s="15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60" customFormat="1" ht="12.75">
      <c r="A111" s="12">
        <f t="shared" si="15"/>
        <v>103</v>
      </c>
      <c r="B111" s="174"/>
      <c r="C111" s="5" t="s">
        <v>36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60" customFormat="1" ht="12.75">
      <c r="A112" s="12">
        <f t="shared" si="15"/>
        <v>104</v>
      </c>
      <c r="B112" s="157">
        <v>403.01</v>
      </c>
      <c r="C112" s="60" t="s">
        <v>478</v>
      </c>
      <c r="D112" s="159" t="s">
        <v>200</v>
      </c>
      <c r="E112" s="60">
        <v>17488620</v>
      </c>
      <c r="F112" s="60">
        <v>9323388.667840198</v>
      </c>
      <c r="G112" s="60">
        <v>2117289.219529974</v>
      </c>
      <c r="H112" s="60">
        <v>2415158.851227108</v>
      </c>
      <c r="I112" s="60">
        <v>1617921.9181509395</v>
      </c>
      <c r="J112" s="60">
        <v>1061651.3458791096</v>
      </c>
      <c r="K112" s="60">
        <v>488943.5162623496</v>
      </c>
      <c r="L112" s="60">
        <v>392782.7349594986</v>
      </c>
      <c r="M112" s="60">
        <v>0</v>
      </c>
      <c r="N112" s="60">
        <v>65392.74743096974</v>
      </c>
      <c r="O112" s="60">
        <v>6090.998719853985</v>
      </c>
    </row>
    <row r="113" spans="1:15" s="60" customFormat="1" ht="12.75">
      <c r="A113" s="12">
        <f t="shared" si="15"/>
        <v>105</v>
      </c>
      <c r="B113" s="157">
        <v>403.02</v>
      </c>
      <c r="C113" s="60" t="s">
        <v>479</v>
      </c>
      <c r="D113" s="159" t="s">
        <v>200</v>
      </c>
      <c r="E113" s="60">
        <v>6376707</v>
      </c>
      <c r="F113" s="60">
        <v>3399497.374975113</v>
      </c>
      <c r="G113" s="60">
        <v>772006.7670977653</v>
      </c>
      <c r="H113" s="60">
        <v>880616.1007976535</v>
      </c>
      <c r="I113" s="60">
        <v>589927.2796210634</v>
      </c>
      <c r="J113" s="60">
        <v>387099.70076694095</v>
      </c>
      <c r="K113" s="60">
        <v>178278.7631473918</v>
      </c>
      <c r="L113" s="60">
        <v>143216.5840126539</v>
      </c>
      <c r="M113" s="60">
        <v>0</v>
      </c>
      <c r="N113" s="60">
        <v>23843.52740766834</v>
      </c>
      <c r="O113" s="60">
        <v>2220.902173749784</v>
      </c>
    </row>
    <row r="114" spans="1:15" s="60" customFormat="1" ht="12.75">
      <c r="A114" s="12">
        <f t="shared" si="15"/>
        <v>106</v>
      </c>
      <c r="B114" s="157">
        <v>403.03</v>
      </c>
      <c r="C114" s="60" t="s">
        <v>480</v>
      </c>
      <c r="D114" s="159" t="s">
        <v>200</v>
      </c>
      <c r="E114" s="60">
        <v>38349039</v>
      </c>
      <c r="F114" s="60">
        <v>20444322.973176945</v>
      </c>
      <c r="G114" s="60">
        <v>4642790.960866811</v>
      </c>
      <c r="H114" s="60">
        <v>5295959.371116965</v>
      </c>
      <c r="I114" s="60">
        <v>3547778.540452316</v>
      </c>
      <c r="J114" s="60">
        <v>2327988.6501919795</v>
      </c>
      <c r="K114" s="60">
        <v>1072155.1485447097</v>
      </c>
      <c r="L114" s="60">
        <v>861293.825441257</v>
      </c>
      <c r="M114" s="60">
        <v>0</v>
      </c>
      <c r="N114" s="60">
        <v>143393.19063181707</v>
      </c>
      <c r="O114" s="60">
        <v>13356.339577201092</v>
      </c>
    </row>
    <row r="115" spans="1:15" s="60" customFormat="1" ht="12.75">
      <c r="A115" s="12">
        <f t="shared" si="15"/>
        <v>107</v>
      </c>
      <c r="B115" s="157">
        <v>403.04</v>
      </c>
      <c r="C115" s="60" t="s">
        <v>481</v>
      </c>
      <c r="D115" s="159" t="s">
        <v>219</v>
      </c>
      <c r="E115" s="60">
        <v>6721461</v>
      </c>
      <c r="F115" s="60">
        <v>3479703.305297601</v>
      </c>
      <c r="G115" s="60">
        <v>789627.1100988141</v>
      </c>
      <c r="H115" s="60">
        <v>900547.3379220203</v>
      </c>
      <c r="I115" s="60">
        <v>603140.7009917238</v>
      </c>
      <c r="J115" s="60">
        <v>395612.5126509634</v>
      </c>
      <c r="K115" s="60">
        <v>182228.32910506323</v>
      </c>
      <c r="L115" s="60">
        <v>146374.9974954507</v>
      </c>
      <c r="M115" s="60">
        <v>184206.28960402423</v>
      </c>
      <c r="N115" s="60">
        <v>24379.68625207928</v>
      </c>
      <c r="O115" s="60">
        <v>15640.730582259745</v>
      </c>
    </row>
    <row r="116" spans="1:15" s="60" customFormat="1" ht="12.75">
      <c r="A116" s="12">
        <f t="shared" si="15"/>
        <v>108</v>
      </c>
      <c r="B116" s="157">
        <v>403.05</v>
      </c>
      <c r="C116" s="60" t="s">
        <v>482</v>
      </c>
      <c r="D116" s="159" t="s">
        <v>207</v>
      </c>
      <c r="E116" s="60">
        <v>85267758</v>
      </c>
      <c r="F116" s="60">
        <v>54526202.86309245</v>
      </c>
      <c r="G116" s="60">
        <v>10152484.786273863</v>
      </c>
      <c r="H116" s="60">
        <v>8439425.01657801</v>
      </c>
      <c r="I116" s="60">
        <v>4060886.542677727</v>
      </c>
      <c r="J116" s="60">
        <v>3960330.8781871246</v>
      </c>
      <c r="K116" s="60">
        <v>1101072.2822546684</v>
      </c>
      <c r="L116" s="60">
        <v>538680.427102687</v>
      </c>
      <c r="M116" s="60">
        <v>1230931.3809649886</v>
      </c>
      <c r="N116" s="60">
        <v>1133384.2099217833</v>
      </c>
      <c r="O116" s="60">
        <v>124359.61294669818</v>
      </c>
    </row>
    <row r="117" spans="1:15" s="60" customFormat="1" ht="12.75">
      <c r="A117" s="12">
        <f t="shared" si="15"/>
        <v>109</v>
      </c>
      <c r="B117" s="157">
        <v>403.06</v>
      </c>
      <c r="C117" s="60" t="s">
        <v>483</v>
      </c>
      <c r="D117" s="159" t="s">
        <v>209</v>
      </c>
      <c r="E117" s="60">
        <v>15181137</v>
      </c>
      <c r="F117" s="60">
        <v>9189677.338846624</v>
      </c>
      <c r="G117" s="60">
        <v>1794124.4616895104</v>
      </c>
      <c r="H117" s="60">
        <v>1637244.7910270363</v>
      </c>
      <c r="I117" s="60">
        <v>991228.5750588978</v>
      </c>
      <c r="J117" s="60">
        <v>724154.545504225</v>
      </c>
      <c r="K117" s="60">
        <v>302672.4013240051</v>
      </c>
      <c r="L117" s="60">
        <v>219179.20830547123</v>
      </c>
      <c r="M117" s="60">
        <v>147487.14751920218</v>
      </c>
      <c r="N117" s="60">
        <v>159840.4456622449</v>
      </c>
      <c r="O117" s="60">
        <v>15528.085062784783</v>
      </c>
    </row>
    <row r="118" spans="1:15" s="60" customFormat="1" ht="12.75">
      <c r="A118" s="12">
        <f t="shared" si="15"/>
        <v>110</v>
      </c>
      <c r="B118" s="157">
        <v>403.07</v>
      </c>
      <c r="C118" s="60" t="s">
        <v>484</v>
      </c>
      <c r="D118" s="159" t="s">
        <v>200</v>
      </c>
      <c r="E118" s="60">
        <v>108699</v>
      </c>
      <c r="F118" s="60">
        <v>57948.713209250454</v>
      </c>
      <c r="G118" s="60">
        <v>13159.827411979255</v>
      </c>
      <c r="H118" s="60">
        <v>15011.210259559384</v>
      </c>
      <c r="I118" s="60">
        <v>10056.053283854813</v>
      </c>
      <c r="J118" s="60">
        <v>6598.601813391413</v>
      </c>
      <c r="K118" s="60">
        <v>3038.9859962765013</v>
      </c>
      <c r="L118" s="60">
        <v>2441.307004632872</v>
      </c>
      <c r="M118" s="60">
        <v>0</v>
      </c>
      <c r="N118" s="60">
        <v>406.4429470706654</v>
      </c>
      <c r="O118" s="60">
        <v>37.858073984648776</v>
      </c>
    </row>
    <row r="119" spans="1:15" s="60" customFormat="1" ht="12.75">
      <c r="A119" s="12">
        <f t="shared" si="15"/>
        <v>111</v>
      </c>
      <c r="B119" s="157">
        <v>403.08</v>
      </c>
      <c r="C119" s="60" t="s">
        <v>485</v>
      </c>
      <c r="D119" s="159" t="s">
        <v>207</v>
      </c>
      <c r="E119" s="60">
        <v>4342358</v>
      </c>
      <c r="F119" s="60">
        <v>2776809.1804662254</v>
      </c>
      <c r="G119" s="60">
        <v>517026.88760216493</v>
      </c>
      <c r="H119" s="60">
        <v>429787.3615503958</v>
      </c>
      <c r="I119" s="60">
        <v>206805.28700765144</v>
      </c>
      <c r="J119" s="60">
        <v>201684.37490220967</v>
      </c>
      <c r="K119" s="60">
        <v>56073.36401910343</v>
      </c>
      <c r="L119" s="60">
        <v>27432.916226937377</v>
      </c>
      <c r="M119" s="60">
        <v>62686.58699322628</v>
      </c>
      <c r="N119" s="60">
        <v>57718.88585398874</v>
      </c>
      <c r="O119" s="60">
        <v>6333.155378097293</v>
      </c>
    </row>
    <row r="120" spans="1:15" s="60" customFormat="1" ht="12.75">
      <c r="A120" s="12">
        <f t="shared" si="15"/>
        <v>112</v>
      </c>
      <c r="B120" s="157">
        <v>404</v>
      </c>
      <c r="C120" s="60" t="s">
        <v>486</v>
      </c>
      <c r="D120" s="159" t="s">
        <v>200</v>
      </c>
      <c r="E120" s="60">
        <v>1211305</v>
      </c>
      <c r="F120" s="60">
        <v>645760.918259884</v>
      </c>
      <c r="G120" s="60">
        <v>146648.67885875242</v>
      </c>
      <c r="H120" s="60">
        <v>167279.86497994995</v>
      </c>
      <c r="I120" s="60">
        <v>112061.26664458509</v>
      </c>
      <c r="J120" s="60">
        <v>73532.59339616817</v>
      </c>
      <c r="K120" s="60">
        <v>33865.435121019575</v>
      </c>
      <c r="L120" s="60">
        <v>27205.10199032945</v>
      </c>
      <c r="M120" s="60">
        <v>0</v>
      </c>
      <c r="N120" s="60">
        <v>4529.26313950848</v>
      </c>
      <c r="O120" s="60">
        <v>421.877609802988</v>
      </c>
    </row>
    <row r="121" spans="1:15" s="60" customFormat="1" ht="12.75">
      <c r="A121" s="12">
        <f t="shared" si="15"/>
        <v>113</v>
      </c>
      <c r="B121" s="157">
        <v>404.01</v>
      </c>
      <c r="C121" s="60" t="s">
        <v>487</v>
      </c>
      <c r="D121" s="159" t="s">
        <v>200</v>
      </c>
      <c r="E121" s="60">
        <v>6739649</v>
      </c>
      <c r="F121" s="60">
        <v>3592986.016725192</v>
      </c>
      <c r="G121" s="60">
        <v>815946.9512812314</v>
      </c>
      <c r="H121" s="60">
        <v>930737.9848446549</v>
      </c>
      <c r="I121" s="60">
        <v>623504.0750924922</v>
      </c>
      <c r="J121" s="60">
        <v>409132.19176829245</v>
      </c>
      <c r="K121" s="60">
        <v>188425.82664807333</v>
      </c>
      <c r="L121" s="60">
        <v>151368.01913970627</v>
      </c>
      <c r="M121" s="60">
        <v>0</v>
      </c>
      <c r="N121" s="60">
        <v>25200.625597124745</v>
      </c>
      <c r="O121" s="60">
        <v>2347.3089032333705</v>
      </c>
    </row>
    <row r="122" spans="1:15" s="60" customFormat="1" ht="12.75">
      <c r="A122" s="12">
        <f t="shared" si="15"/>
        <v>114</v>
      </c>
      <c r="B122" s="157">
        <v>404.02</v>
      </c>
      <c r="C122" s="60" t="s">
        <v>488</v>
      </c>
      <c r="D122" s="159" t="s">
        <v>209</v>
      </c>
      <c r="E122" s="60">
        <v>29401936</v>
      </c>
      <c r="F122" s="60">
        <v>17798028.235791482</v>
      </c>
      <c r="G122" s="60">
        <v>3474755.059428647</v>
      </c>
      <c r="H122" s="60">
        <v>3170919.7118839184</v>
      </c>
      <c r="I122" s="60">
        <v>1919753.3837717762</v>
      </c>
      <c r="J122" s="60">
        <v>1402500.0631391644</v>
      </c>
      <c r="K122" s="60">
        <v>586198.1597751678</v>
      </c>
      <c r="L122" s="60">
        <v>424493.439136221</v>
      </c>
      <c r="M122" s="60">
        <v>285644.45944873174</v>
      </c>
      <c r="N122" s="60">
        <v>309569.6029600946</v>
      </c>
      <c r="O122" s="60">
        <v>30073.88466480173</v>
      </c>
    </row>
    <row r="123" spans="1:15" s="60" customFormat="1" ht="12.75">
      <c r="A123" s="12">
        <f t="shared" si="15"/>
        <v>115</v>
      </c>
      <c r="B123" s="157">
        <v>404.03</v>
      </c>
      <c r="C123" s="60" t="s">
        <v>489</v>
      </c>
      <c r="D123" s="159" t="s">
        <v>200</v>
      </c>
      <c r="E123" s="60">
        <v>968936</v>
      </c>
      <c r="F123" s="60">
        <v>516551.1585398053</v>
      </c>
      <c r="G123" s="60">
        <v>117305.86788520162</v>
      </c>
      <c r="H123" s="60">
        <v>133808.97730481817</v>
      </c>
      <c r="I123" s="60">
        <v>89639.02192885995</v>
      </c>
      <c r="J123" s="60">
        <v>58819.51854810276</v>
      </c>
      <c r="K123" s="60">
        <v>27089.32865332862</v>
      </c>
      <c r="L123" s="60">
        <v>21761.655984332483</v>
      </c>
      <c r="M123" s="60">
        <v>0</v>
      </c>
      <c r="N123" s="60">
        <v>3623.006682332517</v>
      </c>
      <c r="O123" s="60">
        <v>337.4644732186096</v>
      </c>
    </row>
    <row r="124" spans="1:15" s="60" customFormat="1" ht="12.75">
      <c r="A124" s="12">
        <f t="shared" si="15"/>
        <v>116</v>
      </c>
      <c r="B124" s="157">
        <v>405</v>
      </c>
      <c r="C124" s="60" t="s">
        <v>490</v>
      </c>
      <c r="D124" s="159" t="s">
        <v>202</v>
      </c>
      <c r="E124" s="60">
        <v>1559450</v>
      </c>
      <c r="F124" s="60">
        <v>914489.984077248</v>
      </c>
      <c r="G124" s="60">
        <v>186897.93588563844</v>
      </c>
      <c r="H124" s="60">
        <v>183932.6225098018</v>
      </c>
      <c r="I124" s="60">
        <v>108381.64257113393</v>
      </c>
      <c r="J124" s="60">
        <v>83182.99599150431</v>
      </c>
      <c r="K124" s="60">
        <v>31578.018631798004</v>
      </c>
      <c r="L124" s="60">
        <v>22146.3819587318</v>
      </c>
      <c r="M124" s="60">
        <v>13836.734081211314</v>
      </c>
      <c r="N124" s="60">
        <v>13407.625011808013</v>
      </c>
      <c r="O124" s="60">
        <v>1596.0592811243882</v>
      </c>
    </row>
    <row r="125" spans="1:15" s="60" customFormat="1" ht="12.75">
      <c r="A125" s="12">
        <f t="shared" si="15"/>
        <v>117</v>
      </c>
      <c r="B125" s="157">
        <v>406</v>
      </c>
      <c r="C125" s="60" t="s">
        <v>491</v>
      </c>
      <c r="D125" s="159" t="s">
        <v>238</v>
      </c>
      <c r="E125" s="60">
        <v>25800</v>
      </c>
      <c r="F125" s="60">
        <v>12654.604947912385</v>
      </c>
      <c r="G125" s="60">
        <v>2867.4840884210034</v>
      </c>
      <c r="H125" s="60">
        <v>3269.110818076033</v>
      </c>
      <c r="I125" s="60">
        <v>2188.515729571693</v>
      </c>
      <c r="J125" s="60">
        <v>1434.3917025798023</v>
      </c>
      <c r="K125" s="60">
        <v>660.9168482625096</v>
      </c>
      <c r="L125" s="60">
        <v>530.7812236183084</v>
      </c>
      <c r="M125" s="60">
        <v>1955.5410269906968</v>
      </c>
      <c r="N125" s="60">
        <v>88.4771769416857</v>
      </c>
      <c r="O125" s="60">
        <v>150.17643762588247</v>
      </c>
    </row>
    <row r="126" spans="1:15" s="60" customFormat="1" ht="12.75">
      <c r="A126" s="12">
        <f t="shared" si="15"/>
        <v>118</v>
      </c>
      <c r="B126" s="157">
        <v>406.01</v>
      </c>
      <c r="C126" s="60" t="s">
        <v>492</v>
      </c>
      <c r="D126" s="159" t="s">
        <v>207</v>
      </c>
      <c r="E126" s="60">
        <v>11200</v>
      </c>
      <c r="F126" s="60">
        <v>7162.067895190061</v>
      </c>
      <c r="G126" s="60">
        <v>1333.5384003677834</v>
      </c>
      <c r="H126" s="60">
        <v>1108.5263926568082</v>
      </c>
      <c r="I126" s="60">
        <v>533.4012567562822</v>
      </c>
      <c r="J126" s="60">
        <v>520.1931758976916</v>
      </c>
      <c r="K126" s="60">
        <v>144.6268771515288</v>
      </c>
      <c r="L126" s="60">
        <v>70.75617941719652</v>
      </c>
      <c r="M126" s="60">
        <v>161.68399158340566</v>
      </c>
      <c r="N126" s="60">
        <v>148.87107916129298</v>
      </c>
      <c r="O126" s="60">
        <v>16.334751817949986</v>
      </c>
    </row>
    <row r="127" spans="1:15" s="60" customFormat="1" ht="12.75">
      <c r="A127" s="12">
        <f t="shared" si="15"/>
        <v>119</v>
      </c>
      <c r="B127" s="157">
        <v>406.02</v>
      </c>
      <c r="C127" s="60" t="s">
        <v>493</v>
      </c>
      <c r="D127" s="159" t="s">
        <v>209</v>
      </c>
      <c r="E127" s="60">
        <v>715283</v>
      </c>
      <c r="F127" s="60">
        <v>432986.01257351344</v>
      </c>
      <c r="G127" s="60">
        <v>84532.97848050893</v>
      </c>
      <c r="H127" s="60">
        <v>77141.34757233212</v>
      </c>
      <c r="I127" s="60">
        <v>46703.28374309866</v>
      </c>
      <c r="J127" s="60">
        <v>34119.673366487536</v>
      </c>
      <c r="K127" s="60">
        <v>14260.883307767945</v>
      </c>
      <c r="L127" s="60">
        <v>10326.97100713618</v>
      </c>
      <c r="M127" s="60">
        <v>6949.087498451368</v>
      </c>
      <c r="N127" s="60">
        <v>7531.1324503973265</v>
      </c>
      <c r="O127" s="60">
        <v>731.6300003065573</v>
      </c>
    </row>
    <row r="128" spans="1:15" s="60" customFormat="1" ht="12.75">
      <c r="A128" s="12">
        <f t="shared" si="15"/>
        <v>120</v>
      </c>
      <c r="B128" s="157">
        <v>406.03</v>
      </c>
      <c r="C128" s="60" t="s">
        <v>494</v>
      </c>
      <c r="D128" s="159" t="s">
        <v>200</v>
      </c>
      <c r="E128" s="60">
        <v>3022730</v>
      </c>
      <c r="F128" s="60">
        <v>1611452.854938846</v>
      </c>
      <c r="G128" s="60">
        <v>365951.8957213226</v>
      </c>
      <c r="H128" s="60">
        <v>417435.63039106096</v>
      </c>
      <c r="I128" s="60">
        <v>279641.3393196484</v>
      </c>
      <c r="J128" s="60">
        <v>183495.63160095885</v>
      </c>
      <c r="K128" s="60">
        <v>84508.91121836325</v>
      </c>
      <c r="L128" s="60">
        <v>67888.49871768757</v>
      </c>
      <c r="M128" s="60">
        <v>0</v>
      </c>
      <c r="N128" s="60">
        <v>11302.470946364847</v>
      </c>
      <c r="O128" s="60">
        <v>1052.767145747591</v>
      </c>
    </row>
    <row r="129" spans="1:15" s="60" customFormat="1" ht="12.75">
      <c r="A129" s="12">
        <f t="shared" si="15"/>
        <v>121</v>
      </c>
      <c r="B129" s="157">
        <v>407</v>
      </c>
      <c r="C129" s="60" t="s">
        <v>495</v>
      </c>
      <c r="D129" s="159" t="s">
        <v>200</v>
      </c>
      <c r="E129" s="60">
        <v>1496258</v>
      </c>
      <c r="F129" s="60">
        <v>797672.708387811</v>
      </c>
      <c r="G129" s="60">
        <v>181146.99347549892</v>
      </c>
      <c r="H129" s="60">
        <v>206631.55540113343</v>
      </c>
      <c r="I129" s="60">
        <v>138423.07817361737</v>
      </c>
      <c r="J129" s="60">
        <v>90830.74133249992</v>
      </c>
      <c r="K129" s="60">
        <v>41832.09697252675</v>
      </c>
      <c r="L129" s="60">
        <v>33604.956219817774</v>
      </c>
      <c r="M129" s="60">
        <v>0</v>
      </c>
      <c r="N129" s="60">
        <v>5594.747983864246</v>
      </c>
      <c r="O129" s="60">
        <v>521.1220532306885</v>
      </c>
    </row>
    <row r="130" spans="1:15" s="60" customFormat="1" ht="12.75">
      <c r="A130" s="12">
        <f t="shared" si="15"/>
        <v>122</v>
      </c>
      <c r="B130" s="157">
        <v>407.01</v>
      </c>
      <c r="C130" s="60" t="s">
        <v>496</v>
      </c>
      <c r="D130" s="159" t="s">
        <v>237</v>
      </c>
      <c r="E130" s="60">
        <v>16334321</v>
      </c>
      <c r="F130" s="60">
        <v>10249796.883155959</v>
      </c>
      <c r="G130" s="60">
        <v>1942312.268862969</v>
      </c>
      <c r="H130" s="60">
        <v>1672904.2304793603</v>
      </c>
      <c r="I130" s="60">
        <v>845534.3471875305</v>
      </c>
      <c r="J130" s="60">
        <v>778590.4347703143</v>
      </c>
      <c r="K130" s="60">
        <v>233724.12678472197</v>
      </c>
      <c r="L130" s="60">
        <v>128014.914540834</v>
      </c>
      <c r="M130" s="60">
        <v>256627.78576303908</v>
      </c>
      <c r="N130" s="60">
        <v>201598.52974180755</v>
      </c>
      <c r="O130" s="60">
        <v>25217.478713465447</v>
      </c>
    </row>
    <row r="131" spans="1:15" s="169" customFormat="1" ht="12.75">
      <c r="A131" s="87">
        <f t="shared" si="15"/>
        <v>123</v>
      </c>
      <c r="B131" s="166"/>
      <c r="C131" s="168" t="s">
        <v>497</v>
      </c>
      <c r="D131" s="175"/>
      <c r="E131" s="168">
        <f aca="true" t="shared" si="18" ref="E131:O131">SUM(E112:E130)</f>
        <v>235322647</v>
      </c>
      <c r="F131" s="168">
        <f t="shared" si="18"/>
        <v>139777091.86219725</v>
      </c>
      <c r="G131" s="168">
        <f t="shared" si="18"/>
        <v>28118209.672939446</v>
      </c>
      <c r="H131" s="168">
        <f t="shared" si="18"/>
        <v>26978919.603056513</v>
      </c>
      <c r="I131" s="168">
        <f t="shared" si="18"/>
        <v>15794108.252663245</v>
      </c>
      <c r="J131" s="168">
        <f t="shared" si="18"/>
        <v>12181279.03868791</v>
      </c>
      <c r="K131" s="168">
        <f t="shared" si="18"/>
        <v>4626751.12149175</v>
      </c>
      <c r="L131" s="168">
        <f t="shared" si="18"/>
        <v>3218813.4766464205</v>
      </c>
      <c r="M131" s="168">
        <f t="shared" si="18"/>
        <v>2190486.696891449</v>
      </c>
      <c r="N131" s="168">
        <f t="shared" si="18"/>
        <v>2190953.4888770273</v>
      </c>
      <c r="O131" s="168">
        <f t="shared" si="18"/>
        <v>246033.7865490047</v>
      </c>
    </row>
    <row r="132" spans="1:15" ht="12.75">
      <c r="A132" s="12">
        <f t="shared" si="15"/>
        <v>124</v>
      </c>
      <c r="B132" s="157"/>
      <c r="C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</row>
    <row r="133" spans="1:15" s="60" customFormat="1" ht="12.75">
      <c r="A133" s="12">
        <f t="shared" si="15"/>
        <v>125</v>
      </c>
      <c r="B133" s="174"/>
      <c r="C133" s="5" t="s">
        <v>498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s="60" customFormat="1" ht="12.75">
      <c r="A134" s="12">
        <f t="shared" si="15"/>
        <v>126</v>
      </c>
      <c r="B134" s="157">
        <v>236</v>
      </c>
      <c r="C134" s="60" t="s">
        <v>499</v>
      </c>
      <c r="D134" s="159" t="s">
        <v>232</v>
      </c>
      <c r="E134" s="60">
        <v>34881204</v>
      </c>
      <c r="F134" s="60">
        <v>20484198.3164936</v>
      </c>
      <c r="G134" s="60">
        <v>4177888.414183872</v>
      </c>
      <c r="H134" s="60">
        <v>4098535.1872423952</v>
      </c>
      <c r="I134" s="60">
        <v>2417742.592216546</v>
      </c>
      <c r="J134" s="60">
        <v>1851893.5908291964</v>
      </c>
      <c r="K134" s="60">
        <v>705843.4406990756</v>
      </c>
      <c r="L134" s="60">
        <v>495726.9986937624</v>
      </c>
      <c r="M134" s="60">
        <v>310796.19821920135</v>
      </c>
      <c r="N134" s="60">
        <v>302880.15514992096</v>
      </c>
      <c r="O134" s="60">
        <v>35699.106272427685</v>
      </c>
    </row>
    <row r="135" spans="1:15" s="60" customFormat="1" ht="12.75">
      <c r="A135" s="12">
        <f t="shared" si="15"/>
        <v>127</v>
      </c>
      <c r="B135" s="157">
        <v>236.11</v>
      </c>
      <c r="C135" s="60" t="s">
        <v>500</v>
      </c>
      <c r="D135" s="159" t="s">
        <v>233</v>
      </c>
      <c r="E135" s="60">
        <v>6112130</v>
      </c>
      <c r="F135" s="60">
        <v>3725086.3691140832</v>
      </c>
      <c r="G135" s="60">
        <v>721596.2496856988</v>
      </c>
      <c r="H135" s="60">
        <v>649327.8688712331</v>
      </c>
      <c r="I135" s="60">
        <v>391803.2512168309</v>
      </c>
      <c r="J135" s="60">
        <v>286875.8554426207</v>
      </c>
      <c r="K135" s="60">
        <v>120044.29458358797</v>
      </c>
      <c r="L135" s="60">
        <v>86597.94479686339</v>
      </c>
      <c r="M135" s="60">
        <v>58077.369923483</v>
      </c>
      <c r="N135" s="60">
        <v>66590.7080387535</v>
      </c>
      <c r="O135" s="60">
        <v>6130.088326844667</v>
      </c>
    </row>
    <row r="136" spans="1:15" s="60" customFormat="1" ht="12.75">
      <c r="A136" s="12">
        <f t="shared" si="15"/>
        <v>128</v>
      </c>
      <c r="B136" s="157">
        <v>236.21</v>
      </c>
      <c r="C136" s="60" t="s">
        <v>501</v>
      </c>
      <c r="D136" s="159" t="s">
        <v>239</v>
      </c>
      <c r="E136" s="60">
        <v>80658081</v>
      </c>
      <c r="F136" s="60">
        <v>45219504.84049046</v>
      </c>
      <c r="G136" s="60">
        <v>9691018.141529925</v>
      </c>
      <c r="H136" s="60">
        <v>10228351.758263906</v>
      </c>
      <c r="I136" s="60">
        <v>6536731.795089709</v>
      </c>
      <c r="J136" s="60">
        <v>4579600.282907035</v>
      </c>
      <c r="K136" s="60">
        <v>1949638.8784255597</v>
      </c>
      <c r="L136" s="60">
        <v>1501368.3017588018</v>
      </c>
      <c r="M136" s="60">
        <v>278845.048222942</v>
      </c>
      <c r="N136" s="60">
        <v>616461.6808577398</v>
      </c>
      <c r="O136" s="60">
        <v>56560.27245391125</v>
      </c>
    </row>
    <row r="137" spans="1:15" s="60" customFormat="1" ht="12.75">
      <c r="A137" s="12">
        <f t="shared" si="15"/>
        <v>129</v>
      </c>
      <c r="B137" s="157">
        <v>236.23</v>
      </c>
      <c r="C137" s="60" t="s">
        <v>502</v>
      </c>
      <c r="D137" s="159" t="s">
        <v>239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  <c r="O137" s="60">
        <v>0</v>
      </c>
    </row>
    <row r="138" spans="1:15" s="60" customFormat="1" ht="12.75">
      <c r="A138" s="12">
        <f t="shared" si="15"/>
        <v>130</v>
      </c>
      <c r="B138" s="157">
        <v>236.24</v>
      </c>
      <c r="C138" s="60" t="s">
        <v>503</v>
      </c>
      <c r="D138" s="159" t="s">
        <v>239</v>
      </c>
      <c r="E138" s="60">
        <v>-84717</v>
      </c>
      <c r="F138" s="60">
        <v>-47495.06489711589</v>
      </c>
      <c r="G138" s="60">
        <v>-10178.694728628501</v>
      </c>
      <c r="H138" s="60">
        <v>-10743.068334403388</v>
      </c>
      <c r="I138" s="60">
        <v>-6865.676701192714</v>
      </c>
      <c r="J138" s="60">
        <v>-4810.057372515908</v>
      </c>
      <c r="K138" s="60">
        <v>-2047.7496466048844</v>
      </c>
      <c r="L138" s="60">
        <v>-1576.920958733204</v>
      </c>
      <c r="M138" s="60">
        <v>-292.8772375616397</v>
      </c>
      <c r="N138" s="60">
        <v>-647.4835945728134</v>
      </c>
      <c r="O138" s="60">
        <v>-59.40652867104538</v>
      </c>
    </row>
    <row r="139" spans="1:15" s="60" customFormat="1" ht="12.75">
      <c r="A139" s="12">
        <f t="shared" si="15"/>
        <v>131</v>
      </c>
      <c r="B139" s="157">
        <v>236.25</v>
      </c>
      <c r="C139" s="60" t="s">
        <v>504</v>
      </c>
      <c r="D139" s="159" t="s">
        <v>217</v>
      </c>
      <c r="E139" s="60">
        <v>1688936</v>
      </c>
      <c r="F139" s="60">
        <v>853675.5975798045</v>
      </c>
      <c r="G139" s="60">
        <v>209787.17670186513</v>
      </c>
      <c r="H139" s="60">
        <v>243804.7987051426</v>
      </c>
      <c r="I139" s="60">
        <v>167040.15158214018</v>
      </c>
      <c r="J139" s="60">
        <v>113833.38032450054</v>
      </c>
      <c r="K139" s="60">
        <v>51648.83265078656</v>
      </c>
      <c r="L139" s="60">
        <v>41876.751771619776</v>
      </c>
      <c r="M139" s="60">
        <v>0</v>
      </c>
      <c r="N139" s="60">
        <v>6695.032773929774</v>
      </c>
      <c r="O139" s="60">
        <v>574.277910210941</v>
      </c>
    </row>
    <row r="140" spans="1:15" s="169" customFormat="1" ht="12.75">
      <c r="A140" s="87">
        <f t="shared" si="15"/>
        <v>132</v>
      </c>
      <c r="B140" s="166"/>
      <c r="C140" s="168" t="s">
        <v>505</v>
      </c>
      <c r="D140" s="175"/>
      <c r="E140" s="168">
        <f aca="true" t="shared" si="19" ref="E140:O140">SUM(E134:E139)</f>
        <v>123255634</v>
      </c>
      <c r="F140" s="168">
        <f t="shared" si="19"/>
        <v>70234970.05878083</v>
      </c>
      <c r="G140" s="168">
        <f t="shared" si="19"/>
        <v>14790111.287372733</v>
      </c>
      <c r="H140" s="168">
        <f t="shared" si="19"/>
        <v>15209276.544748275</v>
      </c>
      <c r="I140" s="168">
        <f t="shared" si="19"/>
        <v>9506452.113404036</v>
      </c>
      <c r="J140" s="168">
        <f t="shared" si="19"/>
        <v>6827393.052130837</v>
      </c>
      <c r="K140" s="168">
        <f t="shared" si="19"/>
        <v>2825127.696712405</v>
      </c>
      <c r="L140" s="168">
        <f t="shared" si="19"/>
        <v>2123993.076062314</v>
      </c>
      <c r="M140" s="168">
        <f t="shared" si="19"/>
        <v>647425.7391280647</v>
      </c>
      <c r="N140" s="168">
        <f t="shared" si="19"/>
        <v>991980.0932257711</v>
      </c>
      <c r="O140" s="168">
        <f t="shared" si="19"/>
        <v>98904.3384347235</v>
      </c>
    </row>
    <row r="141" spans="1:2" ht="15.75">
      <c r="A141" s="12">
        <f t="shared" si="15"/>
        <v>133</v>
      </c>
      <c r="B141" s="177"/>
    </row>
    <row r="142" spans="1:4" s="60" customFormat="1" ht="12.75">
      <c r="A142" s="12">
        <f t="shared" si="15"/>
        <v>134</v>
      </c>
      <c r="B142" s="174"/>
      <c r="C142" s="5" t="s">
        <v>506</v>
      </c>
      <c r="D142" s="3"/>
    </row>
    <row r="143" spans="1:15" s="60" customFormat="1" ht="12.75">
      <c r="A143" s="12">
        <f t="shared" si="15"/>
        <v>135</v>
      </c>
      <c r="B143" s="157" t="s">
        <v>507</v>
      </c>
      <c r="C143" s="60" t="s">
        <v>508</v>
      </c>
      <c r="D143" s="159" t="s">
        <v>240</v>
      </c>
      <c r="E143" s="60">
        <v>19561022</v>
      </c>
      <c r="F143" s="60">
        <v>11346937.744779145</v>
      </c>
      <c r="G143" s="60">
        <v>2327001.196891653</v>
      </c>
      <c r="H143" s="60">
        <v>2365091.7863482507</v>
      </c>
      <c r="I143" s="60">
        <v>1399535.0048240477</v>
      </c>
      <c r="J143" s="60">
        <v>1072573.2052517869</v>
      </c>
      <c r="K143" s="60">
        <v>405442.0820462155</v>
      </c>
      <c r="L143" s="60">
        <v>285074.6092334587</v>
      </c>
      <c r="M143" s="60">
        <v>176186.63391809777</v>
      </c>
      <c r="N143" s="60">
        <v>162328.54354678397</v>
      </c>
      <c r="O143" s="60">
        <v>20851.19316056244</v>
      </c>
    </row>
    <row r="144" spans="1:15" s="60" customFormat="1" ht="12.75">
      <c r="A144" s="12">
        <f t="shared" si="15"/>
        <v>136</v>
      </c>
      <c r="B144" s="157" t="s">
        <v>509</v>
      </c>
      <c r="C144" s="60" t="s">
        <v>510</v>
      </c>
      <c r="D144" s="159" t="s">
        <v>240</v>
      </c>
      <c r="E144" s="60">
        <v>114916376</v>
      </c>
      <c r="F144" s="60">
        <v>66660574.50002521</v>
      </c>
      <c r="G144" s="60">
        <v>13670581.449908456</v>
      </c>
      <c r="H144" s="60">
        <v>13894354.650514027</v>
      </c>
      <c r="I144" s="60">
        <v>8221937.015331925</v>
      </c>
      <c r="J144" s="60">
        <v>6301113.803882002</v>
      </c>
      <c r="K144" s="60">
        <v>2381876.3020994375</v>
      </c>
      <c r="L144" s="60">
        <v>1674745.8789589424</v>
      </c>
      <c r="M144" s="60">
        <v>1035054.787500698</v>
      </c>
      <c r="N144" s="60">
        <v>953641.7854728961</v>
      </c>
      <c r="O144" s="60">
        <v>122495.82630640783</v>
      </c>
    </row>
    <row r="145" spans="1:15" s="60" customFormat="1" ht="12.75">
      <c r="A145" s="12">
        <f t="shared" si="15"/>
        <v>137</v>
      </c>
      <c r="B145" s="157" t="s">
        <v>511</v>
      </c>
      <c r="C145" s="60" t="s">
        <v>512</v>
      </c>
      <c r="D145" s="159" t="s">
        <v>240</v>
      </c>
      <c r="E145" s="60">
        <v>-64901149</v>
      </c>
      <c r="F145" s="60">
        <v>-37647792.49609939</v>
      </c>
      <c r="G145" s="60">
        <v>-7720713.744028481</v>
      </c>
      <c r="H145" s="60">
        <v>-7847093.798292542</v>
      </c>
      <c r="I145" s="60">
        <v>-4643491.013854044</v>
      </c>
      <c r="J145" s="60">
        <v>-3558670.574955327</v>
      </c>
      <c r="K145" s="60">
        <v>-1345208.7001257732</v>
      </c>
      <c r="L145" s="60">
        <v>-945843.7135839568</v>
      </c>
      <c r="M145" s="60">
        <v>-584566.3370618834</v>
      </c>
      <c r="N145" s="60">
        <v>-538586.8382379416</v>
      </c>
      <c r="O145" s="60">
        <v>-69181.78376065647</v>
      </c>
    </row>
    <row r="146" spans="1:15" s="169" customFormat="1" ht="12.75">
      <c r="A146" s="87">
        <f t="shared" si="15"/>
        <v>138</v>
      </c>
      <c r="B146" s="166"/>
      <c r="C146" s="168" t="s">
        <v>513</v>
      </c>
      <c r="D146" s="175"/>
      <c r="E146" s="168">
        <f aca="true" t="shared" si="20" ref="E146:O146">SUM(E143:E145)</f>
        <v>69576249</v>
      </c>
      <c r="F146" s="168">
        <f t="shared" si="20"/>
        <v>40359719.74870496</v>
      </c>
      <c r="G146" s="168">
        <f t="shared" si="20"/>
        <v>8276868.9027716275</v>
      </c>
      <c r="H146" s="168">
        <f t="shared" si="20"/>
        <v>8412352.638569737</v>
      </c>
      <c r="I146" s="168">
        <f t="shared" si="20"/>
        <v>4977981.006301928</v>
      </c>
      <c r="J146" s="168">
        <f t="shared" si="20"/>
        <v>3815016.434178462</v>
      </c>
      <c r="K146" s="168">
        <f t="shared" si="20"/>
        <v>1442109.6840198797</v>
      </c>
      <c r="L146" s="168">
        <f t="shared" si="20"/>
        <v>1013976.7746084443</v>
      </c>
      <c r="M146" s="168">
        <f t="shared" si="20"/>
        <v>626675.0843569124</v>
      </c>
      <c r="N146" s="168">
        <f t="shared" si="20"/>
        <v>577383.4907817385</v>
      </c>
      <c r="O146" s="168">
        <f t="shared" si="20"/>
        <v>74165.23570631382</v>
      </c>
    </row>
    <row r="147" ht="12.75">
      <c r="A147" s="12">
        <f t="shared" si="15"/>
        <v>139</v>
      </c>
    </row>
    <row r="148" spans="1:15" s="169" customFormat="1" ht="13.5" thickBot="1">
      <c r="A148" s="92">
        <f t="shared" si="15"/>
        <v>140</v>
      </c>
      <c r="B148" s="178"/>
      <c r="C148" s="173" t="s">
        <v>88</v>
      </c>
      <c r="D148" s="179"/>
      <c r="E148" s="173">
        <f aca="true" t="shared" si="21" ref="E148:O148">SUM(E146,E140,E131,E109)</f>
        <v>1826852344</v>
      </c>
      <c r="F148" s="173">
        <f t="shared" si="21"/>
        <v>1020401254.2548554</v>
      </c>
      <c r="G148" s="173">
        <f t="shared" si="21"/>
        <v>219777099.05146798</v>
      </c>
      <c r="H148" s="173">
        <f t="shared" si="21"/>
        <v>232739299.37716478</v>
      </c>
      <c r="I148" s="173">
        <f t="shared" si="21"/>
        <v>149974718.95497802</v>
      </c>
      <c r="J148" s="173">
        <f t="shared" si="21"/>
        <v>104046855.10995647</v>
      </c>
      <c r="K148" s="173">
        <f t="shared" si="21"/>
        <v>44876162.199400604</v>
      </c>
      <c r="L148" s="173">
        <f t="shared" si="21"/>
        <v>34857877.22080532</v>
      </c>
      <c r="M148" s="173">
        <f t="shared" si="21"/>
        <v>5131549.5474756295</v>
      </c>
      <c r="N148" s="173">
        <f t="shared" si="21"/>
        <v>13846361.97211764</v>
      </c>
      <c r="O148" s="173">
        <f t="shared" si="21"/>
        <v>1201166.3117780553</v>
      </c>
    </row>
    <row r="149" ht="13.5" thickTop="1"/>
    <row r="150" ht="12.75">
      <c r="E150" s="137"/>
    </row>
  </sheetData>
  <sheetProtection/>
  <printOptions horizontalCentered="1"/>
  <pageMargins left="0.25" right="0.25" top="0.6" bottom="0.75" header="0.22" footer="0.46"/>
  <pageSetup fitToHeight="4" horizontalDpi="600" verticalDpi="600" orientation="landscape" pageOrder="overThenDown" scale="60" r:id="rId1"/>
  <headerFooter alignWithMargins="0">
    <oddFooter>&amp;R&amp;"Times New Roman,Regular"Exhibit No.___(DWH-3)
Page &amp;P of &amp;N</oddFooter>
  </headerFooter>
  <rowBreaks count="2" manualBreakCount="2">
    <brk id="60" max="14" man="1"/>
    <brk id="10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IV151"/>
  <sheetViews>
    <sheetView showGridLines="0" workbookViewId="0" topLeftCell="A1">
      <pane xSplit="3" ySplit="7" topLeftCell="D2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5.00390625" style="3" bestFit="1" customWidth="1"/>
    <col min="2" max="2" width="12.7109375" style="157" bestFit="1" customWidth="1"/>
    <col min="3" max="3" width="52.140625" style="3" bestFit="1" customWidth="1"/>
    <col min="4" max="4" width="11.7109375" style="3" bestFit="1" customWidth="1"/>
    <col min="5" max="5" width="15.57421875" style="3" bestFit="1" customWidth="1"/>
    <col min="6" max="6" width="15.8515625" style="3" bestFit="1" customWidth="1"/>
    <col min="7" max="7" width="14.421875" style="3" bestFit="1" customWidth="1"/>
    <col min="8" max="8" width="16.7109375" style="3" bestFit="1" customWidth="1"/>
    <col min="9" max="9" width="14.28125" style="3" bestFit="1" customWidth="1"/>
    <col min="10" max="10" width="13.57421875" style="3" bestFit="1" customWidth="1"/>
    <col min="11" max="11" width="12.8515625" style="3" bestFit="1" customWidth="1"/>
    <col min="12" max="12" width="13.421875" style="3" bestFit="1" customWidth="1"/>
    <col min="13" max="13" width="15.8515625" style="3" bestFit="1" customWidth="1"/>
    <col min="14" max="14" width="12.57421875" style="3" bestFit="1" customWidth="1"/>
    <col min="15" max="15" width="16.28125" style="3" bestFit="1" customWidth="1"/>
    <col min="16" max="16384" width="9.140625" style="3" customWidth="1"/>
  </cols>
  <sheetData>
    <row r="1" spans="1:16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75">
      <c r="A2" s="1" t="s">
        <v>556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.75">
      <c r="A3" s="1" t="s">
        <v>559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 t="s">
        <v>267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56" s="155" customFormat="1" ht="15.75">
      <c r="A5" s="150"/>
      <c r="B5" s="150"/>
      <c r="C5" s="151"/>
      <c r="D5" s="152"/>
      <c r="E5" s="151"/>
      <c r="F5" s="153"/>
      <c r="G5" s="153"/>
      <c r="H5" s="154"/>
      <c r="I5" s="154"/>
      <c r="J5" s="154"/>
      <c r="K5" s="154"/>
      <c r="L5" s="154"/>
      <c r="M5" s="154"/>
      <c r="N5" s="154"/>
      <c r="O5" s="15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5" ht="38.25">
      <c r="A6" s="156" t="s">
        <v>2</v>
      </c>
      <c r="B6" s="156" t="s">
        <v>84</v>
      </c>
      <c r="C6" s="156" t="s">
        <v>85</v>
      </c>
      <c r="D6" s="156" t="s">
        <v>86</v>
      </c>
      <c r="E6" s="156" t="s">
        <v>65</v>
      </c>
      <c r="F6" s="156" t="str">
        <f>+'DWH-3, p1-4 ECOS Summary'!G6</f>
        <v>Residential
Sch 7</v>
      </c>
      <c r="G6" s="156" t="str">
        <f>+'DWH-3, p1-4 ECOS Summary'!H6</f>
        <v>Sec Volt
Sch 24
(kW&lt; 50)</v>
      </c>
      <c r="H6" s="156" t="str">
        <f>+'DWH-3, p1-4 ECOS Summary'!I6</f>
        <v>Sec Volt
Sch 25
(kW &gt; 50 &amp; &lt; 350)</v>
      </c>
      <c r="I6" s="156" t="str">
        <f>+'DWH-3, p1-4 ECOS Summary'!J6</f>
        <v>Sec Volt
Sch 26
(kW &gt; 350)</v>
      </c>
      <c r="J6" s="156" t="str">
        <f>+'DWH-3, p1-4 ECOS Summary'!K6</f>
        <v>Pri Volt
Sch 31/35/43</v>
      </c>
      <c r="K6" s="156" t="str">
        <f>+'DWH-3, p1-4 ECOS Summary'!L6</f>
        <v>Campus
Sch 40</v>
      </c>
      <c r="L6" s="156" t="str">
        <f>+'DWH-3, p1-4 ECOS Summary'!M6</f>
        <v>High Volt
Sch 46/49</v>
      </c>
      <c r="M6" s="156" t="str">
        <f>+'DWH-3, p1-4 ECOS Summary'!N6</f>
        <v>Choice /
Retail Wheeling
Sch 448/449</v>
      </c>
      <c r="N6" s="156" t="str">
        <f>+'DWH-3, p1-4 ECOS Summary'!O6</f>
        <v>Lighting
Sch 50-59</v>
      </c>
      <c r="O6" s="156" t="str">
        <f>+'DWH-3, p1-4 ECOS Summary'!P6</f>
        <v>Firm Resale /
Special Contract</v>
      </c>
    </row>
    <row r="7" spans="2:16" ht="12.75">
      <c r="B7" s="9" t="s">
        <v>15</v>
      </c>
      <c r="C7" s="9" t="s">
        <v>16</v>
      </c>
      <c r="D7" s="9" t="s">
        <v>17</v>
      </c>
      <c r="E7" s="9" t="s">
        <v>18</v>
      </c>
      <c r="F7" s="9" t="s">
        <v>19</v>
      </c>
      <c r="G7" s="10" t="s">
        <v>555</v>
      </c>
      <c r="H7" s="10" t="s">
        <v>20</v>
      </c>
      <c r="I7" s="9" t="s">
        <v>21</v>
      </c>
      <c r="J7" s="10" t="s">
        <v>89</v>
      </c>
      <c r="K7" s="10" t="s">
        <v>90</v>
      </c>
      <c r="L7" s="10" t="s">
        <v>22</v>
      </c>
      <c r="M7" s="10" t="s">
        <v>23</v>
      </c>
      <c r="N7" s="10" t="s">
        <v>24</v>
      </c>
      <c r="O7" s="10" t="s">
        <v>25</v>
      </c>
      <c r="P7" s="10"/>
    </row>
    <row r="8" spans="1:15" ht="15.75">
      <c r="A8" s="12">
        <v>1</v>
      </c>
      <c r="C8" s="158" t="s">
        <v>280</v>
      </c>
      <c r="D8" s="159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2.75">
      <c r="A9" s="12">
        <f aca="true" t="shared" si="0" ref="A9:A40">+A8+1</f>
        <v>2</v>
      </c>
      <c r="C9" s="160"/>
      <c r="D9" s="159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5.75">
      <c r="A10" s="12">
        <f t="shared" si="0"/>
        <v>3</v>
      </c>
      <c r="C10" s="158" t="s">
        <v>281</v>
      </c>
      <c r="D10" s="159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s="60" customFormat="1" ht="12.75">
      <c r="A11" s="12">
        <f t="shared" si="0"/>
        <v>4</v>
      </c>
      <c r="B11" s="157"/>
      <c r="C11" s="5" t="s">
        <v>161</v>
      </c>
      <c r="D11" s="15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60" customFormat="1" ht="12.75">
      <c r="A12" s="12">
        <f t="shared" si="0"/>
        <v>5</v>
      </c>
      <c r="B12" s="157">
        <v>300</v>
      </c>
      <c r="C12" s="60" t="s">
        <v>282</v>
      </c>
      <c r="D12" s="159" t="s">
        <v>200</v>
      </c>
      <c r="E12" s="60">
        <v>54151318</v>
      </c>
      <c r="F12" s="60">
        <v>28868703.453434914</v>
      </c>
      <c r="G12" s="60">
        <v>6555920.46855266</v>
      </c>
      <c r="H12" s="60">
        <v>7478236.417356762</v>
      </c>
      <c r="I12" s="60">
        <v>5009692.262108817</v>
      </c>
      <c r="J12" s="60">
        <v>3287270.2154788454</v>
      </c>
      <c r="K12" s="60">
        <v>1513952.2634239101</v>
      </c>
      <c r="L12" s="60">
        <v>1216202.4668442407</v>
      </c>
      <c r="M12" s="60">
        <v>0</v>
      </c>
      <c r="N12" s="60">
        <v>202480.4393387314</v>
      </c>
      <c r="O12" s="60">
        <v>18860.013461119634</v>
      </c>
    </row>
    <row r="13" spans="1:15" s="60" customFormat="1" ht="12.75">
      <c r="A13" s="12">
        <f t="shared" si="0"/>
        <v>6</v>
      </c>
      <c r="B13" s="157">
        <v>300.01</v>
      </c>
      <c r="C13" s="60" t="s">
        <v>283</v>
      </c>
      <c r="D13" s="159" t="s">
        <v>207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</row>
    <row r="14" spans="1:15" s="60" customFormat="1" ht="12.75">
      <c r="A14" s="12">
        <f t="shared" si="0"/>
        <v>7</v>
      </c>
      <c r="B14" s="157">
        <v>300.01</v>
      </c>
      <c r="C14" s="60" t="s">
        <v>97</v>
      </c>
      <c r="D14" s="159" t="s">
        <v>209</v>
      </c>
      <c r="E14" s="60">
        <v>201052687</v>
      </c>
      <c r="F14" s="60">
        <v>121704278.2525527</v>
      </c>
      <c r="G14" s="60">
        <v>23760640.842323247</v>
      </c>
      <c r="H14" s="60">
        <v>21682991.49877503</v>
      </c>
      <c r="I14" s="60">
        <v>13127420.459137717</v>
      </c>
      <c r="J14" s="60">
        <v>9590402.693611696</v>
      </c>
      <c r="K14" s="60">
        <v>4008467.8484183084</v>
      </c>
      <c r="L14" s="60">
        <v>2902718.601666509</v>
      </c>
      <c r="M14" s="60">
        <v>1953258.6595260277</v>
      </c>
      <c r="N14" s="60">
        <v>2116860.620628865</v>
      </c>
      <c r="O14" s="60">
        <v>205647.52335990674</v>
      </c>
    </row>
    <row r="15" spans="1:15" s="60" customFormat="1" ht="12.75">
      <c r="A15" s="87">
        <f t="shared" si="0"/>
        <v>8</v>
      </c>
      <c r="B15" s="161"/>
      <c r="C15" s="162" t="s">
        <v>284</v>
      </c>
      <c r="D15" s="163"/>
      <c r="E15" s="162">
        <f aca="true" t="shared" si="1" ref="E15:O15">SUM(E12:E14)</f>
        <v>255204005</v>
      </c>
      <c r="F15" s="162">
        <f t="shared" si="1"/>
        <v>150572981.70598763</v>
      </c>
      <c r="G15" s="162">
        <f t="shared" si="1"/>
        <v>30316561.310875908</v>
      </c>
      <c r="H15" s="162">
        <f t="shared" si="1"/>
        <v>29161227.916131794</v>
      </c>
      <c r="I15" s="162">
        <f t="shared" si="1"/>
        <v>18137112.721246533</v>
      </c>
      <c r="J15" s="162">
        <f t="shared" si="1"/>
        <v>12877672.909090541</v>
      </c>
      <c r="K15" s="162">
        <f t="shared" si="1"/>
        <v>5522420.111842219</v>
      </c>
      <c r="L15" s="162">
        <f t="shared" si="1"/>
        <v>4118921.06851075</v>
      </c>
      <c r="M15" s="162">
        <f t="shared" si="1"/>
        <v>1953258.6595260277</v>
      </c>
      <c r="N15" s="162">
        <f t="shared" si="1"/>
        <v>2319341.0599675965</v>
      </c>
      <c r="O15" s="162">
        <f t="shared" si="1"/>
        <v>224507.53682102638</v>
      </c>
    </row>
    <row r="16" spans="1:15" s="60" customFormat="1" ht="12.75">
      <c r="A16" s="12">
        <f t="shared" si="0"/>
        <v>9</v>
      </c>
      <c r="B16" s="157"/>
      <c r="C16" s="3"/>
      <c r="D16" s="15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4" ht="12.75">
      <c r="A17" s="12">
        <f t="shared" si="0"/>
        <v>10</v>
      </c>
      <c r="C17" s="5" t="s">
        <v>282</v>
      </c>
      <c r="D17" s="159"/>
    </row>
    <row r="18" spans="1:15" s="60" customFormat="1" ht="12.75">
      <c r="A18" s="12">
        <f t="shared" si="0"/>
        <v>11</v>
      </c>
      <c r="B18" s="157">
        <v>310</v>
      </c>
      <c r="C18" s="60" t="s">
        <v>285</v>
      </c>
      <c r="D18" s="159" t="s">
        <v>206</v>
      </c>
      <c r="E18" s="60">
        <v>992634378</v>
      </c>
      <c r="F18" s="60">
        <v>529185042.1104583</v>
      </c>
      <c r="G18" s="60">
        <v>120174951.91011304</v>
      </c>
      <c r="H18" s="60">
        <v>137081696.7867685</v>
      </c>
      <c r="I18" s="60">
        <v>91831426.20037057</v>
      </c>
      <c r="J18" s="60">
        <v>60258134.911134936</v>
      </c>
      <c r="K18" s="60">
        <v>27751883.404305786</v>
      </c>
      <c r="L18" s="60">
        <v>22293905.74017051</v>
      </c>
      <c r="M18" s="60">
        <v>0</v>
      </c>
      <c r="N18" s="60">
        <v>3711618.708157175</v>
      </c>
      <c r="O18" s="60">
        <v>345718.22852123587</v>
      </c>
    </row>
    <row r="19" spans="1:15" s="60" customFormat="1" ht="12.75">
      <c r="A19" s="12">
        <f t="shared" si="0"/>
        <v>12</v>
      </c>
      <c r="B19" s="157">
        <v>330</v>
      </c>
      <c r="C19" s="60" t="s">
        <v>286</v>
      </c>
      <c r="D19" s="159" t="s">
        <v>206</v>
      </c>
      <c r="E19" s="60">
        <v>214371765</v>
      </c>
      <c r="F19" s="60">
        <v>114284105.00690745</v>
      </c>
      <c r="G19" s="60">
        <v>25953278.58951209</v>
      </c>
      <c r="H19" s="60">
        <v>29604500.852150004</v>
      </c>
      <c r="I19" s="60">
        <v>19832140.97088292</v>
      </c>
      <c r="J19" s="60">
        <v>13013495.223221166</v>
      </c>
      <c r="K19" s="60">
        <v>5993365.08921036</v>
      </c>
      <c r="L19" s="60">
        <v>4814646.79058696</v>
      </c>
      <c r="M19" s="60">
        <v>0</v>
      </c>
      <c r="N19" s="60">
        <v>801570.3174393518</v>
      </c>
      <c r="O19" s="60">
        <v>74662.16008969485</v>
      </c>
    </row>
    <row r="20" spans="1:15" s="60" customFormat="1" ht="12.75">
      <c r="A20" s="12">
        <f t="shared" si="0"/>
        <v>13</v>
      </c>
      <c r="B20" s="157">
        <v>340</v>
      </c>
      <c r="C20" s="60" t="s">
        <v>287</v>
      </c>
      <c r="D20" s="159" t="s">
        <v>206</v>
      </c>
      <c r="E20" s="60">
        <v>1473601148</v>
      </c>
      <c r="F20" s="60">
        <v>785594074.5570266</v>
      </c>
      <c r="G20" s="60">
        <v>178404003.54901606</v>
      </c>
      <c r="H20" s="60">
        <v>203502669.49425557</v>
      </c>
      <c r="I20" s="60">
        <v>136327028.43115047</v>
      </c>
      <c r="J20" s="60">
        <v>89455351.08334455</v>
      </c>
      <c r="K20" s="60">
        <v>41198661.00763554</v>
      </c>
      <c r="L20" s="60">
        <v>33096098.44292442</v>
      </c>
      <c r="M20" s="60">
        <v>0</v>
      </c>
      <c r="N20" s="60">
        <v>5510030.3903424665</v>
      </c>
      <c r="O20" s="60">
        <v>513231.0443044313</v>
      </c>
    </row>
    <row r="21" spans="1:15" s="60" customFormat="1" ht="12.75">
      <c r="A21" s="87">
        <f t="shared" si="0"/>
        <v>14</v>
      </c>
      <c r="B21" s="161"/>
      <c r="C21" s="162" t="s">
        <v>284</v>
      </c>
      <c r="D21" s="163"/>
      <c r="E21" s="162">
        <f aca="true" t="shared" si="2" ref="E21:O21">SUM(E18:E20)</f>
        <v>2680607291</v>
      </c>
      <c r="F21" s="162">
        <f t="shared" si="2"/>
        <v>1429063221.6743922</v>
      </c>
      <c r="G21" s="162">
        <f t="shared" si="2"/>
        <v>324532234.0486412</v>
      </c>
      <c r="H21" s="162">
        <f t="shared" si="2"/>
        <v>370188867.13317406</v>
      </c>
      <c r="I21" s="162">
        <f t="shared" si="2"/>
        <v>247990595.60240394</v>
      </c>
      <c r="J21" s="162">
        <f t="shared" si="2"/>
        <v>162726981.21770066</v>
      </c>
      <c r="K21" s="162">
        <f t="shared" si="2"/>
        <v>74943909.50115168</v>
      </c>
      <c r="L21" s="162">
        <f t="shared" si="2"/>
        <v>60204650.97368189</v>
      </c>
      <c r="M21" s="162">
        <f t="shared" si="2"/>
        <v>0</v>
      </c>
      <c r="N21" s="162">
        <f t="shared" si="2"/>
        <v>10023219.415938994</v>
      </c>
      <c r="O21" s="162">
        <f t="shared" si="2"/>
        <v>933611.4329153621</v>
      </c>
    </row>
    <row r="22" spans="1:15" s="60" customFormat="1" ht="12.75">
      <c r="A22" s="12">
        <f t="shared" si="0"/>
        <v>15</v>
      </c>
      <c r="B22" s="157"/>
      <c r="C22" s="3"/>
      <c r="D22" s="15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60" customFormat="1" ht="12.75">
      <c r="A23" s="12">
        <f t="shared" si="0"/>
        <v>16</v>
      </c>
      <c r="B23" s="157"/>
      <c r="C23" s="5" t="s">
        <v>288</v>
      </c>
      <c r="D23" s="15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s="60" customFormat="1" ht="12.75">
      <c r="A24" s="12">
        <f t="shared" si="0"/>
        <v>17</v>
      </c>
      <c r="B24" s="157">
        <v>350</v>
      </c>
      <c r="C24" s="60" t="s">
        <v>289</v>
      </c>
      <c r="D24" s="159" t="s">
        <v>206</v>
      </c>
      <c r="E24" s="60">
        <v>218280254</v>
      </c>
      <c r="F24" s="60">
        <v>116367766.38504809</v>
      </c>
      <c r="G24" s="60">
        <v>26426466.389598746</v>
      </c>
      <c r="H24" s="60">
        <v>30144258.809225734</v>
      </c>
      <c r="I24" s="60">
        <v>20193726.391570874</v>
      </c>
      <c r="J24" s="60">
        <v>13250761.091380214</v>
      </c>
      <c r="K24" s="60">
        <v>6102637.882314259</v>
      </c>
      <c r="L24" s="60">
        <v>4902428.845373393</v>
      </c>
      <c r="M24" s="60">
        <v>0</v>
      </c>
      <c r="N24" s="60">
        <v>816184.782961144</v>
      </c>
      <c r="O24" s="60">
        <v>76023.42252752947</v>
      </c>
    </row>
    <row r="25" spans="1:15" s="60" customFormat="1" ht="12.75">
      <c r="A25" s="12">
        <f t="shared" si="0"/>
        <v>18</v>
      </c>
      <c r="B25" s="157">
        <v>350.01</v>
      </c>
      <c r="C25" s="60" t="s">
        <v>290</v>
      </c>
      <c r="D25" s="159" t="s">
        <v>238</v>
      </c>
      <c r="E25" s="60">
        <v>118438915</v>
      </c>
      <c r="F25" s="60">
        <v>58092933.32497576</v>
      </c>
      <c r="G25" s="60">
        <v>13163631.946215028</v>
      </c>
      <c r="H25" s="60">
        <v>15007361.949910376</v>
      </c>
      <c r="I25" s="60">
        <v>10046722.033755997</v>
      </c>
      <c r="J25" s="60">
        <v>6584798.330951725</v>
      </c>
      <c r="K25" s="60">
        <v>3034041.6439314447</v>
      </c>
      <c r="L25" s="60">
        <v>2436633.8072761563</v>
      </c>
      <c r="M25" s="60">
        <v>8977215.405998599</v>
      </c>
      <c r="N25" s="60">
        <v>406168.24958280125</v>
      </c>
      <c r="O25" s="60">
        <v>689408.30740212</v>
      </c>
    </row>
    <row r="26" spans="1:15" s="60" customFormat="1" ht="12.75">
      <c r="A26" s="12">
        <f t="shared" si="0"/>
        <v>19</v>
      </c>
      <c r="B26" s="157">
        <v>350.02</v>
      </c>
      <c r="C26" s="60" t="s">
        <v>291</v>
      </c>
      <c r="D26" s="159" t="s">
        <v>238</v>
      </c>
      <c r="E26" s="60">
        <v>5182971</v>
      </c>
      <c r="F26" s="60">
        <v>2542188.002383194</v>
      </c>
      <c r="G26" s="60">
        <v>576049.8788080425</v>
      </c>
      <c r="H26" s="60">
        <v>656732.812630789</v>
      </c>
      <c r="I26" s="60">
        <v>439651.688349377</v>
      </c>
      <c r="J26" s="60">
        <v>288155.44950045506</v>
      </c>
      <c r="K26" s="60">
        <v>132771.81619984447</v>
      </c>
      <c r="L26" s="60">
        <v>106628.8251689228</v>
      </c>
      <c r="M26" s="60">
        <v>392849.3190776356</v>
      </c>
      <c r="N26" s="60">
        <v>17774.21093994673</v>
      </c>
      <c r="O26" s="60">
        <v>30168.99694179293</v>
      </c>
    </row>
    <row r="27" spans="1:15" s="60" customFormat="1" ht="12.75">
      <c r="A27" s="87">
        <f t="shared" si="0"/>
        <v>20</v>
      </c>
      <c r="B27" s="161"/>
      <c r="C27" s="162" t="s">
        <v>284</v>
      </c>
      <c r="D27" s="163"/>
      <c r="E27" s="162">
        <f aca="true" t="shared" si="3" ref="E27:O27">SUM(E24:E26)</f>
        <v>341902140</v>
      </c>
      <c r="F27" s="162">
        <f t="shared" si="3"/>
        <v>177002887.71240705</v>
      </c>
      <c r="G27" s="162">
        <f t="shared" si="3"/>
        <v>40166148.21462182</v>
      </c>
      <c r="H27" s="162">
        <f t="shared" si="3"/>
        <v>45808353.5717669</v>
      </c>
      <c r="I27" s="162">
        <f t="shared" si="3"/>
        <v>30680100.113676246</v>
      </c>
      <c r="J27" s="162">
        <f t="shared" si="3"/>
        <v>20123714.871832397</v>
      </c>
      <c r="K27" s="162">
        <f t="shared" si="3"/>
        <v>9269451.342445549</v>
      </c>
      <c r="L27" s="162">
        <f t="shared" si="3"/>
        <v>7445691.477818472</v>
      </c>
      <c r="M27" s="162">
        <f t="shared" si="3"/>
        <v>9370064.725076234</v>
      </c>
      <c r="N27" s="162">
        <f t="shared" si="3"/>
        <v>1240127.243483892</v>
      </c>
      <c r="O27" s="162">
        <f t="shared" si="3"/>
        <v>795600.7268714424</v>
      </c>
    </row>
    <row r="28" spans="1:15" s="60" customFormat="1" ht="12.75">
      <c r="A28" s="12">
        <f t="shared" si="0"/>
        <v>21</v>
      </c>
      <c r="B28" s="157"/>
      <c r="C28" s="3"/>
      <c r="D28" s="15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s="60" customFormat="1" ht="12.75">
      <c r="A29" s="12">
        <f t="shared" si="0"/>
        <v>22</v>
      </c>
      <c r="B29" s="157"/>
      <c r="C29" s="5" t="s">
        <v>283</v>
      </c>
      <c r="D29" s="15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s="60" customFormat="1" ht="12.75">
      <c r="A30" s="12">
        <f t="shared" si="0"/>
        <v>23</v>
      </c>
      <c r="B30" s="157">
        <v>360.01</v>
      </c>
      <c r="C30" s="60" t="s">
        <v>292</v>
      </c>
      <c r="D30" s="159" t="s">
        <v>241</v>
      </c>
      <c r="E30" s="60">
        <v>1014106.8077988987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555253.894764132</v>
      </c>
      <c r="L30" s="60">
        <v>447555.91517585807</v>
      </c>
      <c r="M30" s="60">
        <v>0</v>
      </c>
      <c r="N30" s="60">
        <v>0</v>
      </c>
      <c r="O30" s="60">
        <v>11296.997858908537</v>
      </c>
    </row>
    <row r="31" spans="1:15" s="60" customFormat="1" ht="12.75">
      <c r="A31" s="12">
        <f t="shared" si="0"/>
        <v>24</v>
      </c>
      <c r="B31" s="157">
        <v>360.02</v>
      </c>
      <c r="C31" s="60" t="s">
        <v>293</v>
      </c>
      <c r="D31" s="159" t="s">
        <v>242</v>
      </c>
      <c r="E31" s="60">
        <v>23681697.1922011</v>
      </c>
      <c r="F31" s="60">
        <v>10681260.065911185</v>
      </c>
      <c r="G31" s="60">
        <v>3161792.770544625</v>
      </c>
      <c r="H31" s="60">
        <v>3882798.741863217</v>
      </c>
      <c r="I31" s="60">
        <v>3027553.926526738</v>
      </c>
      <c r="J31" s="60">
        <v>2650314.011135989</v>
      </c>
      <c r="K31" s="60">
        <v>0</v>
      </c>
      <c r="L31" s="60">
        <v>0</v>
      </c>
      <c r="M31" s="60">
        <v>186551.965762123</v>
      </c>
      <c r="N31" s="60">
        <v>86837.80407591407</v>
      </c>
      <c r="O31" s="60">
        <v>4587.906381308378</v>
      </c>
    </row>
    <row r="32" spans="1:15" s="60" customFormat="1" ht="12.75">
      <c r="A32" s="12">
        <f t="shared" si="0"/>
        <v>25</v>
      </c>
      <c r="B32" s="157">
        <v>360.03</v>
      </c>
      <c r="C32" s="60" t="s">
        <v>294</v>
      </c>
      <c r="D32" s="159" t="s">
        <v>238</v>
      </c>
      <c r="E32" s="60">
        <v>33251524</v>
      </c>
      <c r="F32" s="60">
        <v>16309492.253334396</v>
      </c>
      <c r="G32" s="60">
        <v>3695667.286269346</v>
      </c>
      <c r="H32" s="60">
        <v>4213291.349841661</v>
      </c>
      <c r="I32" s="60">
        <v>2820600.128148475</v>
      </c>
      <c r="J32" s="60">
        <v>1848670.9350284168</v>
      </c>
      <c r="K32" s="60">
        <v>851802.0326358603</v>
      </c>
      <c r="L32" s="60">
        <v>684080.7982904478</v>
      </c>
      <c r="M32" s="60">
        <v>2520337.960928907</v>
      </c>
      <c r="N32" s="60">
        <v>114031.04544684917</v>
      </c>
      <c r="O32" s="60">
        <v>193550.21007564088</v>
      </c>
    </row>
    <row r="33" spans="1:15" s="60" customFormat="1" ht="12.75">
      <c r="A33" s="12">
        <f t="shared" si="0"/>
        <v>26</v>
      </c>
      <c r="B33" s="157">
        <v>361.01</v>
      </c>
      <c r="C33" s="60" t="s">
        <v>295</v>
      </c>
      <c r="D33" s="159" t="s">
        <v>243</v>
      </c>
      <c r="E33" s="60">
        <v>449032.8374185171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108179.71991416057</v>
      </c>
      <c r="L33" s="60">
        <v>186628.51680402915</v>
      </c>
      <c r="M33" s="60">
        <v>145880.6223035465</v>
      </c>
      <c r="N33" s="60">
        <v>0</v>
      </c>
      <c r="O33" s="60">
        <v>8343.978396780882</v>
      </c>
    </row>
    <row r="34" spans="1:15" s="60" customFormat="1" ht="12.75">
      <c r="A34" s="12">
        <f t="shared" si="0"/>
        <v>27</v>
      </c>
      <c r="B34" s="157">
        <v>361.02</v>
      </c>
      <c r="C34" s="60" t="s">
        <v>296</v>
      </c>
      <c r="D34" s="159" t="s">
        <v>244</v>
      </c>
      <c r="E34" s="60">
        <v>4324497.162581483</v>
      </c>
      <c r="F34" s="60">
        <v>2133481.6598068886</v>
      </c>
      <c r="G34" s="60">
        <v>605725.5157000524</v>
      </c>
      <c r="H34" s="60">
        <v>631769.1503056292</v>
      </c>
      <c r="I34" s="60">
        <v>513189.43759602535</v>
      </c>
      <c r="J34" s="60">
        <v>399439.4112514382</v>
      </c>
      <c r="K34" s="60">
        <v>0</v>
      </c>
      <c r="L34" s="60">
        <v>0</v>
      </c>
      <c r="M34" s="60">
        <v>21867.952803667984</v>
      </c>
      <c r="N34" s="60">
        <v>18416.055847423293</v>
      </c>
      <c r="O34" s="60">
        <v>607.9792703579361</v>
      </c>
    </row>
    <row r="35" spans="1:15" s="60" customFormat="1" ht="12.75">
      <c r="A35" s="12">
        <f t="shared" si="0"/>
        <v>28</v>
      </c>
      <c r="B35" s="157">
        <v>361.03</v>
      </c>
      <c r="C35" s="60" t="s">
        <v>297</v>
      </c>
      <c r="D35" s="159" t="s">
        <v>238</v>
      </c>
      <c r="E35" s="60">
        <v>1981028</v>
      </c>
      <c r="F35" s="60">
        <v>971671.5787113557</v>
      </c>
      <c r="G35" s="60">
        <v>220176.98715955362</v>
      </c>
      <c r="H35" s="60">
        <v>251015.50642292743</v>
      </c>
      <c r="I35" s="60">
        <v>168043.05964038573</v>
      </c>
      <c r="J35" s="60">
        <v>110138.37696814963</v>
      </c>
      <c r="K35" s="60">
        <v>50747.85977053422</v>
      </c>
      <c r="L35" s="60">
        <v>40755.521932640724</v>
      </c>
      <c r="M35" s="60">
        <v>150154.32285338474</v>
      </c>
      <c r="N35" s="60">
        <v>6793.634297768749</v>
      </c>
      <c r="O35" s="60">
        <v>11531.152243299484</v>
      </c>
    </row>
    <row r="36" spans="1:15" s="60" customFormat="1" ht="12.75">
      <c r="A36" s="12">
        <f t="shared" si="0"/>
        <v>29</v>
      </c>
      <c r="B36" s="157">
        <v>362.01</v>
      </c>
      <c r="C36" s="60" t="s">
        <v>298</v>
      </c>
      <c r="D36" s="159" t="s">
        <v>245</v>
      </c>
      <c r="E36" s="60">
        <v>17975226.875476368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5192060.252877256</v>
      </c>
      <c r="L36" s="60">
        <v>6860495.334137732</v>
      </c>
      <c r="M36" s="60">
        <v>5720782.2786284555</v>
      </c>
      <c r="N36" s="60">
        <v>0</v>
      </c>
      <c r="O36" s="60">
        <v>201889.00983292493</v>
      </c>
    </row>
    <row r="37" spans="1:15" s="60" customFormat="1" ht="12.75">
      <c r="A37" s="12">
        <f t="shared" si="0"/>
        <v>30</v>
      </c>
      <c r="B37" s="157">
        <v>362.02</v>
      </c>
      <c r="C37" s="60" t="s">
        <v>299</v>
      </c>
      <c r="D37" s="159" t="s">
        <v>246</v>
      </c>
      <c r="E37" s="60">
        <v>246301813.12452364</v>
      </c>
      <c r="F37" s="60">
        <v>133714649.68008387</v>
      </c>
      <c r="G37" s="60">
        <v>33824263.36914336</v>
      </c>
      <c r="H37" s="60">
        <v>33415519.035385825</v>
      </c>
      <c r="I37" s="60">
        <v>21931654.846323855</v>
      </c>
      <c r="J37" s="60">
        <v>21113146.32704632</v>
      </c>
      <c r="K37" s="60">
        <v>0</v>
      </c>
      <c r="L37" s="60">
        <v>0</v>
      </c>
      <c r="M37" s="60">
        <v>1197312.8161881352</v>
      </c>
      <c r="N37" s="60">
        <v>1041028.2815817193</v>
      </c>
      <c r="O37" s="60">
        <v>64238.7687705473</v>
      </c>
    </row>
    <row r="38" spans="1:15" s="60" customFormat="1" ht="12.75">
      <c r="A38" s="12">
        <f t="shared" si="0"/>
        <v>31</v>
      </c>
      <c r="B38" s="157">
        <v>362.03</v>
      </c>
      <c r="C38" s="60" t="s">
        <v>300</v>
      </c>
      <c r="D38" s="159" t="s">
        <v>238</v>
      </c>
      <c r="E38" s="60">
        <v>193641933</v>
      </c>
      <c r="F38" s="60">
        <v>94979153.62267901</v>
      </c>
      <c r="G38" s="60">
        <v>21521905.493356045</v>
      </c>
      <c r="H38" s="60">
        <v>24536315.42649048</v>
      </c>
      <c r="I38" s="60">
        <v>16425907.607564645</v>
      </c>
      <c r="J38" s="60">
        <v>10765828.758399766</v>
      </c>
      <c r="K38" s="60">
        <v>4960512.249993024</v>
      </c>
      <c r="L38" s="60">
        <v>3983779.1527734306</v>
      </c>
      <c r="M38" s="60">
        <v>14677315.67935208</v>
      </c>
      <c r="N38" s="60">
        <v>664065.5647043041</v>
      </c>
      <c r="O38" s="60">
        <v>1127149.4446872019</v>
      </c>
    </row>
    <row r="39" spans="1:15" s="60" customFormat="1" ht="12.75">
      <c r="A39" s="12">
        <f t="shared" si="0"/>
        <v>32</v>
      </c>
      <c r="B39" s="157">
        <v>364</v>
      </c>
      <c r="C39" s="60" t="s">
        <v>301</v>
      </c>
      <c r="D39" s="159" t="s">
        <v>247</v>
      </c>
      <c r="E39" s="60">
        <v>246994115</v>
      </c>
      <c r="F39" s="60">
        <v>172171815.5204807</v>
      </c>
      <c r="G39" s="60">
        <v>28911697.031548813</v>
      </c>
      <c r="H39" s="60">
        <v>23189668.2285841</v>
      </c>
      <c r="I39" s="60">
        <v>8941891.294350104</v>
      </c>
      <c r="J39" s="60">
        <v>12688144.731731066</v>
      </c>
      <c r="K39" s="60">
        <v>0</v>
      </c>
      <c r="L39" s="60">
        <v>0</v>
      </c>
      <c r="M39" s="60">
        <v>482.48482676037906</v>
      </c>
      <c r="N39" s="60">
        <v>961351.0173200552</v>
      </c>
      <c r="O39" s="60">
        <v>129064.69115840139</v>
      </c>
    </row>
    <row r="40" spans="1:15" s="60" customFormat="1" ht="12.75">
      <c r="A40" s="12">
        <f t="shared" si="0"/>
        <v>33</v>
      </c>
      <c r="B40" s="157">
        <v>364.01</v>
      </c>
      <c r="C40" s="60" t="s">
        <v>302</v>
      </c>
      <c r="D40" s="159" t="s">
        <v>238</v>
      </c>
      <c r="E40" s="60">
        <v>131503304</v>
      </c>
      <c r="F40" s="60">
        <v>64500866.723458394</v>
      </c>
      <c r="G40" s="60">
        <v>14615644.64320892</v>
      </c>
      <c r="H40" s="60">
        <v>16662747.04337757</v>
      </c>
      <c r="I40" s="60">
        <v>11154924.391265431</v>
      </c>
      <c r="J40" s="60">
        <v>7311133.648039896</v>
      </c>
      <c r="K40" s="60">
        <v>3368711.209914212</v>
      </c>
      <c r="L40" s="60">
        <v>2705406.380115132</v>
      </c>
      <c r="M40" s="60">
        <v>9967445.975070924</v>
      </c>
      <c r="N40" s="60">
        <v>450970.5851327242</v>
      </c>
      <c r="O40" s="60">
        <v>765453.4004168008</v>
      </c>
    </row>
    <row r="41" spans="1:15" s="60" customFormat="1" ht="12.75">
      <c r="A41" s="12">
        <f aca="true" t="shared" si="4" ref="A41:A72">+A40+1</f>
        <v>34</v>
      </c>
      <c r="B41" s="157">
        <v>364.02</v>
      </c>
      <c r="C41" s="60" t="s">
        <v>303</v>
      </c>
      <c r="D41" s="159" t="s">
        <v>248</v>
      </c>
      <c r="E41" s="60">
        <v>993293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778719</v>
      </c>
      <c r="L41" s="60">
        <v>0</v>
      </c>
      <c r="M41" s="60">
        <v>0</v>
      </c>
      <c r="N41" s="60">
        <v>0</v>
      </c>
      <c r="O41" s="60">
        <v>214574</v>
      </c>
    </row>
    <row r="42" spans="1:15" s="60" customFormat="1" ht="12.75">
      <c r="A42" s="12">
        <f t="shared" si="4"/>
        <v>35</v>
      </c>
      <c r="B42" s="157">
        <v>365</v>
      </c>
      <c r="C42" s="60" t="s">
        <v>304</v>
      </c>
      <c r="D42" s="159" t="s">
        <v>247</v>
      </c>
      <c r="E42" s="60">
        <v>258900436</v>
      </c>
      <c r="F42" s="60">
        <v>180471336.75700742</v>
      </c>
      <c r="G42" s="60">
        <v>30305381.83862354</v>
      </c>
      <c r="H42" s="60">
        <v>24307523.33947621</v>
      </c>
      <c r="I42" s="60">
        <v>9372934.066756394</v>
      </c>
      <c r="J42" s="60">
        <v>13299775.191308813</v>
      </c>
      <c r="K42" s="60">
        <v>0</v>
      </c>
      <c r="L42" s="60">
        <v>0</v>
      </c>
      <c r="M42" s="60">
        <v>505.74294861902524</v>
      </c>
      <c r="N42" s="60">
        <v>1007692.8251234076</v>
      </c>
      <c r="O42" s="60">
        <v>135286.23875558923</v>
      </c>
    </row>
    <row r="43" spans="1:15" s="60" customFormat="1" ht="12.75">
      <c r="A43" s="12">
        <f t="shared" si="4"/>
        <v>36</v>
      </c>
      <c r="B43" s="157">
        <v>365.01</v>
      </c>
      <c r="C43" s="60" t="s">
        <v>305</v>
      </c>
      <c r="D43" s="159" t="s">
        <v>238</v>
      </c>
      <c r="E43" s="60">
        <v>120403215</v>
      </c>
      <c r="F43" s="60">
        <v>59056400.01099065</v>
      </c>
      <c r="G43" s="60">
        <v>13381949.73671446</v>
      </c>
      <c r="H43" s="60">
        <v>15256257.856109865</v>
      </c>
      <c r="I43" s="60">
        <v>10213346.120872188</v>
      </c>
      <c r="J43" s="60">
        <v>6694006.688369457</v>
      </c>
      <c r="K43" s="60">
        <v>3084360.9836617564</v>
      </c>
      <c r="L43" s="60">
        <v>2477045.1854759026</v>
      </c>
      <c r="M43" s="60">
        <v>9126101.81062332</v>
      </c>
      <c r="N43" s="60">
        <v>412904.51774817146</v>
      </c>
      <c r="O43" s="60">
        <v>700842.0894342331</v>
      </c>
    </row>
    <row r="44" spans="1:15" s="60" customFormat="1" ht="12.75">
      <c r="A44" s="12">
        <f t="shared" si="4"/>
        <v>37</v>
      </c>
      <c r="B44" s="157">
        <v>366</v>
      </c>
      <c r="C44" s="60" t="s">
        <v>306</v>
      </c>
      <c r="D44" s="159" t="s">
        <v>249</v>
      </c>
      <c r="E44" s="60">
        <v>518029278</v>
      </c>
      <c r="F44" s="60">
        <v>357088429.6290382</v>
      </c>
      <c r="G44" s="60">
        <v>56945518.05362941</v>
      </c>
      <c r="H44" s="60">
        <v>52134233.51849144</v>
      </c>
      <c r="I44" s="60">
        <v>25144676.63924771</v>
      </c>
      <c r="J44" s="60">
        <v>23557907.916249387</v>
      </c>
      <c r="K44" s="60">
        <v>0</v>
      </c>
      <c r="L44" s="60">
        <v>0</v>
      </c>
      <c r="M44" s="60">
        <v>84248.45773105745</v>
      </c>
      <c r="N44" s="60">
        <v>2971770.438946473</v>
      </c>
      <c r="O44" s="60">
        <v>102493.3466664457</v>
      </c>
    </row>
    <row r="45" spans="1:15" s="60" customFormat="1" ht="12.75">
      <c r="A45" s="12">
        <f t="shared" si="4"/>
        <v>38</v>
      </c>
      <c r="B45" s="157">
        <v>366.01</v>
      </c>
      <c r="C45" s="60" t="s">
        <v>307</v>
      </c>
      <c r="D45" s="159" t="s">
        <v>250</v>
      </c>
      <c r="E45" s="60">
        <v>1381938</v>
      </c>
      <c r="F45" s="60">
        <v>677824.784980936</v>
      </c>
      <c r="G45" s="60">
        <v>153592.4506273002</v>
      </c>
      <c r="H45" s="60">
        <v>175104.9792910991</v>
      </c>
      <c r="I45" s="60">
        <v>117224.53683305604</v>
      </c>
      <c r="J45" s="60">
        <v>76831.02328215996</v>
      </c>
      <c r="K45" s="60">
        <v>35401.0119168293</v>
      </c>
      <c r="L45" s="60">
        <v>28430.493899404573</v>
      </c>
      <c r="M45" s="60">
        <v>104745.59906036704</v>
      </c>
      <c r="N45" s="60">
        <v>4739.146238311599</v>
      </c>
      <c r="O45" s="60">
        <v>8043.973870536308</v>
      </c>
    </row>
    <row r="46" spans="1:15" s="60" customFormat="1" ht="12.75">
      <c r="A46" s="12">
        <f t="shared" si="4"/>
        <v>39</v>
      </c>
      <c r="B46" s="157">
        <v>366.02</v>
      </c>
      <c r="C46" s="60" t="s">
        <v>308</v>
      </c>
      <c r="D46" s="159" t="s">
        <v>251</v>
      </c>
      <c r="E46" s="60">
        <v>20420610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17427418</v>
      </c>
      <c r="L46" s="60">
        <v>1801893</v>
      </c>
      <c r="M46" s="60">
        <v>674699</v>
      </c>
      <c r="N46" s="60">
        <v>0</v>
      </c>
      <c r="O46" s="60">
        <v>516600</v>
      </c>
    </row>
    <row r="47" spans="1:15" s="60" customFormat="1" ht="12.75">
      <c r="A47" s="12">
        <f t="shared" si="4"/>
        <v>40</v>
      </c>
      <c r="B47" s="157">
        <v>367</v>
      </c>
      <c r="C47" s="60" t="s">
        <v>309</v>
      </c>
      <c r="D47" s="159" t="s">
        <v>249</v>
      </c>
      <c r="E47" s="60">
        <v>588343077</v>
      </c>
      <c r="F47" s="60">
        <v>405557203.7552794</v>
      </c>
      <c r="G47" s="60">
        <v>64674918.457082614</v>
      </c>
      <c r="H47" s="60">
        <v>59210582.62136641</v>
      </c>
      <c r="I47" s="60">
        <v>28557645.392593075</v>
      </c>
      <c r="J47" s="60">
        <v>26755499.389223367</v>
      </c>
      <c r="K47" s="60">
        <v>0</v>
      </c>
      <c r="L47" s="60">
        <v>0</v>
      </c>
      <c r="M47" s="60">
        <v>95683.7749506405</v>
      </c>
      <c r="N47" s="60">
        <v>3375138.507494568</v>
      </c>
      <c r="O47" s="60">
        <v>116405.10201001487</v>
      </c>
    </row>
    <row r="48" spans="1:15" s="60" customFormat="1" ht="12.75">
      <c r="A48" s="12">
        <f t="shared" si="4"/>
        <v>41</v>
      </c>
      <c r="B48" s="157">
        <v>367.01</v>
      </c>
      <c r="C48" s="60" t="s">
        <v>310</v>
      </c>
      <c r="D48" s="159" t="s">
        <v>250</v>
      </c>
      <c r="E48" s="60">
        <v>3436739</v>
      </c>
      <c r="F48" s="60">
        <v>1685681.1765148628</v>
      </c>
      <c r="G48" s="60">
        <v>381968.775137826</v>
      </c>
      <c r="H48" s="60">
        <v>435468.2420078995</v>
      </c>
      <c r="I48" s="60">
        <v>291525.4790671508</v>
      </c>
      <c r="J48" s="60">
        <v>191070.9265710235</v>
      </c>
      <c r="K48" s="60">
        <v>88038.70961941274</v>
      </c>
      <c r="L48" s="60">
        <v>70703.741537859</v>
      </c>
      <c r="M48" s="60">
        <v>260491.63230848763</v>
      </c>
      <c r="N48" s="60">
        <v>11785.773821914416</v>
      </c>
      <c r="O48" s="60">
        <v>20004.54341356348</v>
      </c>
    </row>
    <row r="49" spans="1:15" s="60" customFormat="1" ht="12.75">
      <c r="A49" s="12">
        <f t="shared" si="4"/>
        <v>42</v>
      </c>
      <c r="B49" s="157" t="s">
        <v>311</v>
      </c>
      <c r="C49" s="60" t="s">
        <v>312</v>
      </c>
      <c r="D49" s="159" t="s">
        <v>252</v>
      </c>
      <c r="E49" s="60">
        <v>130573416</v>
      </c>
      <c r="F49" s="60">
        <v>108443996.53340034</v>
      </c>
      <c r="G49" s="60">
        <v>18868792.573499758</v>
      </c>
      <c r="H49" s="60">
        <v>3088400.8010954466</v>
      </c>
      <c r="I49" s="60">
        <v>33274.54989609035</v>
      </c>
      <c r="J49" s="60">
        <v>0</v>
      </c>
      <c r="K49" s="60">
        <v>0</v>
      </c>
      <c r="L49" s="60">
        <v>0</v>
      </c>
      <c r="M49" s="60">
        <v>0</v>
      </c>
      <c r="N49" s="60">
        <v>138951.54210836132</v>
      </c>
      <c r="O49" s="60">
        <v>0</v>
      </c>
    </row>
    <row r="50" spans="1:15" s="60" customFormat="1" ht="12.75">
      <c r="A50" s="12">
        <f t="shared" si="4"/>
        <v>43</v>
      </c>
      <c r="B50" s="157" t="s">
        <v>313</v>
      </c>
      <c r="C50" s="60" t="s">
        <v>314</v>
      </c>
      <c r="D50" s="159" t="s">
        <v>252</v>
      </c>
      <c r="E50" s="60">
        <v>248787099</v>
      </c>
      <c r="F50" s="60">
        <v>152379551.4552917</v>
      </c>
      <c r="G50" s="60">
        <v>48445055.446912915</v>
      </c>
      <c r="H50" s="60">
        <v>38617392.66751488</v>
      </c>
      <c r="I50" s="60">
        <v>9281464.214052469</v>
      </c>
      <c r="J50" s="60">
        <v>0</v>
      </c>
      <c r="K50" s="60">
        <v>0</v>
      </c>
      <c r="L50" s="60">
        <v>0</v>
      </c>
      <c r="M50" s="60">
        <v>0</v>
      </c>
      <c r="N50" s="60">
        <v>63635.21622803812</v>
      </c>
      <c r="O50" s="60">
        <v>0</v>
      </c>
    </row>
    <row r="51" spans="1:15" s="60" customFormat="1" ht="12.75">
      <c r="A51" s="12">
        <f t="shared" si="4"/>
        <v>44</v>
      </c>
      <c r="B51" s="157">
        <v>368.03</v>
      </c>
      <c r="C51" s="60" t="s">
        <v>315</v>
      </c>
      <c r="D51" s="159" t="s">
        <v>252</v>
      </c>
      <c r="E51" s="60">
        <v>4283353</v>
      </c>
      <c r="F51" s="60">
        <v>0</v>
      </c>
      <c r="G51" s="60">
        <v>0</v>
      </c>
      <c r="H51" s="60">
        <v>0</v>
      </c>
      <c r="I51" s="60">
        <v>0</v>
      </c>
      <c r="J51" s="60">
        <v>1141323.146582217</v>
      </c>
      <c r="K51" s="60">
        <v>3122632.851606399</v>
      </c>
      <c r="L51" s="60">
        <v>0</v>
      </c>
      <c r="M51" s="60">
        <v>0</v>
      </c>
      <c r="N51" s="60">
        <v>0</v>
      </c>
      <c r="O51" s="60">
        <v>19397.001811384853</v>
      </c>
    </row>
    <row r="52" spans="1:15" s="60" customFormat="1" ht="12.75">
      <c r="A52" s="12">
        <f t="shared" si="4"/>
        <v>45</v>
      </c>
      <c r="B52" s="157" t="s">
        <v>316</v>
      </c>
      <c r="C52" s="60" t="s">
        <v>317</v>
      </c>
      <c r="D52" s="159" t="s">
        <v>253</v>
      </c>
      <c r="E52" s="60">
        <v>41876544</v>
      </c>
      <c r="F52" s="60">
        <v>36271979.02099713</v>
      </c>
      <c r="G52" s="60">
        <v>5380249.839115517</v>
      </c>
      <c r="H52" s="60">
        <v>221905.30848301313</v>
      </c>
      <c r="I52" s="60">
        <v>2409.831404340414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</row>
    <row r="53" spans="1:15" s="60" customFormat="1" ht="12.75">
      <c r="A53" s="12">
        <f t="shared" si="4"/>
        <v>46</v>
      </c>
      <c r="B53" s="157" t="s">
        <v>318</v>
      </c>
      <c r="C53" s="60" t="s">
        <v>319</v>
      </c>
      <c r="D53" s="159" t="s">
        <v>254</v>
      </c>
      <c r="E53" s="60">
        <v>133560976</v>
      </c>
      <c r="F53" s="60">
        <v>133560976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</row>
    <row r="54" spans="1:15" s="60" customFormat="1" ht="12.75">
      <c r="A54" s="12">
        <f t="shared" si="4"/>
        <v>47</v>
      </c>
      <c r="B54" s="157">
        <v>370</v>
      </c>
      <c r="C54" s="60" t="s">
        <v>320</v>
      </c>
      <c r="D54" s="159" t="s">
        <v>255</v>
      </c>
      <c r="E54" s="60">
        <v>126565102</v>
      </c>
      <c r="F54" s="60">
        <v>69876077.45626661</v>
      </c>
      <c r="G54" s="60">
        <v>27598532.64613174</v>
      </c>
      <c r="H54" s="60">
        <v>9522100.018979365</v>
      </c>
      <c r="I54" s="60">
        <v>1042428.2730667576</v>
      </c>
      <c r="J54" s="60">
        <v>16750048.611902487</v>
      </c>
      <c r="K54" s="60">
        <v>789448.25219716</v>
      </c>
      <c r="L54" s="60">
        <v>502310.5030487293</v>
      </c>
      <c r="M54" s="60">
        <v>270759.01958251966</v>
      </c>
      <c r="N54" s="60">
        <v>0</v>
      </c>
      <c r="O54" s="60">
        <v>213397.21882463113</v>
      </c>
    </row>
    <row r="55" spans="1:15" s="60" customFormat="1" ht="12.75">
      <c r="A55" s="12">
        <f t="shared" si="4"/>
        <v>48</v>
      </c>
      <c r="B55" s="157">
        <v>372</v>
      </c>
      <c r="C55" s="60" t="s">
        <v>321</v>
      </c>
      <c r="D55" s="159" t="s">
        <v>256</v>
      </c>
      <c r="E55" s="60">
        <v>732314</v>
      </c>
      <c r="F55" s="60">
        <v>725911</v>
      </c>
      <c r="G55" s="60">
        <v>6403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</row>
    <row r="56" spans="1:15" s="60" customFormat="1" ht="12.75">
      <c r="A56" s="12">
        <f t="shared" si="4"/>
        <v>49</v>
      </c>
      <c r="B56" s="157">
        <v>373</v>
      </c>
      <c r="C56" s="60" t="s">
        <v>322</v>
      </c>
      <c r="D56" s="159" t="s">
        <v>205</v>
      </c>
      <c r="E56" s="60">
        <v>30326057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30326057</v>
      </c>
      <c r="O56" s="60">
        <v>0</v>
      </c>
    </row>
    <row r="57" spans="1:15" s="60" customFormat="1" ht="12.75">
      <c r="A57" s="12">
        <f t="shared" si="4"/>
        <v>50</v>
      </c>
      <c r="B57" s="157">
        <v>374</v>
      </c>
      <c r="C57" s="60" t="s">
        <v>323</v>
      </c>
      <c r="D57" s="159" t="s">
        <v>208</v>
      </c>
      <c r="E57" s="60">
        <v>6595827</v>
      </c>
      <c r="F57" s="60">
        <v>4330711.76034173</v>
      </c>
      <c r="G57" s="60">
        <v>730516.4716197324</v>
      </c>
      <c r="H57" s="60">
        <v>667715.7549770834</v>
      </c>
      <c r="I57" s="60">
        <v>327257.79730887356</v>
      </c>
      <c r="J57" s="60">
        <v>316023.5792593829</v>
      </c>
      <c r="K57" s="60">
        <v>86469.28988453875</v>
      </c>
      <c r="L57" s="60">
        <v>24715.008631042765</v>
      </c>
      <c r="M57" s="60">
        <v>70879.1112530075</v>
      </c>
      <c r="N57" s="60">
        <v>32087.050092588644</v>
      </c>
      <c r="O57" s="60">
        <v>9451.17663202103</v>
      </c>
    </row>
    <row r="58" spans="1:15" s="60" customFormat="1" ht="12.75">
      <c r="A58" s="12">
        <f t="shared" si="4"/>
        <v>51</v>
      </c>
      <c r="B58" s="157">
        <v>375</v>
      </c>
      <c r="C58" s="60" t="s">
        <v>324</v>
      </c>
      <c r="D58" s="159" t="s">
        <v>208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</row>
    <row r="59" spans="1:15" s="60" customFormat="1" ht="12.75">
      <c r="A59" s="87">
        <f t="shared" si="4"/>
        <v>52</v>
      </c>
      <c r="B59" s="161"/>
      <c r="C59" s="162" t="s">
        <v>284</v>
      </c>
      <c r="D59" s="163"/>
      <c r="E59" s="162">
        <f aca="true" t="shared" si="5" ref="E59:O59">SUM(E30:E58)</f>
        <v>3136327552</v>
      </c>
      <c r="F59" s="162">
        <f t="shared" si="5"/>
        <v>2005588470.4445746</v>
      </c>
      <c r="G59" s="162">
        <f t="shared" si="5"/>
        <v>373429752.38602555</v>
      </c>
      <c r="H59" s="162">
        <f t="shared" si="5"/>
        <v>310419809.59006417</v>
      </c>
      <c r="I59" s="162">
        <f t="shared" si="5"/>
        <v>149367951.59251374</v>
      </c>
      <c r="J59" s="162">
        <f t="shared" si="5"/>
        <v>145669302.67234933</v>
      </c>
      <c r="K59" s="162">
        <f t="shared" si="5"/>
        <v>40499755.31875528</v>
      </c>
      <c r="L59" s="162">
        <f t="shared" si="5"/>
        <v>19813799.551822208</v>
      </c>
      <c r="M59" s="162">
        <f t="shared" si="5"/>
        <v>45276246.207176</v>
      </c>
      <c r="N59" s="162">
        <f t="shared" si="5"/>
        <v>41688256.00620859</v>
      </c>
      <c r="O59" s="162">
        <f t="shared" si="5"/>
        <v>4574208.2305105915</v>
      </c>
    </row>
    <row r="60" spans="1:15" s="60" customFormat="1" ht="12.75">
      <c r="A60" s="12">
        <f t="shared" si="4"/>
        <v>53</v>
      </c>
      <c r="B60" s="157"/>
      <c r="C60" s="3"/>
      <c r="D60" s="15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s="60" customFormat="1" ht="12.75">
      <c r="A61" s="12">
        <f t="shared" si="4"/>
        <v>54</v>
      </c>
      <c r="B61" s="157"/>
      <c r="C61" s="5" t="s">
        <v>97</v>
      </c>
      <c r="D61" s="15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s="60" customFormat="1" ht="12.75">
      <c r="A62" s="12">
        <f t="shared" si="4"/>
        <v>55</v>
      </c>
      <c r="B62" s="157">
        <v>389</v>
      </c>
      <c r="C62" s="60" t="s">
        <v>325</v>
      </c>
      <c r="D62" s="159" t="s">
        <v>233</v>
      </c>
      <c r="E62" s="60">
        <v>7247293</v>
      </c>
      <c r="F62" s="60">
        <v>4416920.511716195</v>
      </c>
      <c r="G62" s="60">
        <v>855613.2558000921</v>
      </c>
      <c r="H62" s="60">
        <v>769922.9759143549</v>
      </c>
      <c r="I62" s="60">
        <v>464570.11875090684</v>
      </c>
      <c r="J62" s="60">
        <v>340155.2943112003</v>
      </c>
      <c r="K62" s="60">
        <v>142339.27874989164</v>
      </c>
      <c r="L62" s="60">
        <v>102681.1731983277</v>
      </c>
      <c r="M62" s="60">
        <v>68863.6721576388</v>
      </c>
      <c r="N62" s="60">
        <v>78958.13280056248</v>
      </c>
      <c r="O62" s="60">
        <v>7268.586600828692</v>
      </c>
    </row>
    <row r="63" spans="1:15" s="60" customFormat="1" ht="12.75">
      <c r="A63" s="12">
        <f t="shared" si="4"/>
        <v>56</v>
      </c>
      <c r="B63" s="157">
        <v>390</v>
      </c>
      <c r="C63" s="60" t="s">
        <v>326</v>
      </c>
      <c r="D63" s="159" t="s">
        <v>233</v>
      </c>
      <c r="E63" s="60">
        <v>111426007</v>
      </c>
      <c r="F63" s="60">
        <v>67909468.5225135</v>
      </c>
      <c r="G63" s="60">
        <v>13154921.241637927</v>
      </c>
      <c r="H63" s="60">
        <v>11837446.465003379</v>
      </c>
      <c r="I63" s="60">
        <v>7142693.59662006</v>
      </c>
      <c r="J63" s="60">
        <v>5229834.947339215</v>
      </c>
      <c r="K63" s="60">
        <v>2188444.357135882</v>
      </c>
      <c r="L63" s="60">
        <v>1578707.1287948578</v>
      </c>
      <c r="M63" s="60">
        <v>1058768.2898818587</v>
      </c>
      <c r="N63" s="60">
        <v>1213969.0582597398</v>
      </c>
      <c r="O63" s="60">
        <v>111753.39281357109</v>
      </c>
    </row>
    <row r="64" spans="1:15" s="60" customFormat="1" ht="12.75">
      <c r="A64" s="12">
        <f t="shared" si="4"/>
        <v>57</v>
      </c>
      <c r="B64" s="157">
        <v>391</v>
      </c>
      <c r="C64" s="60" t="s">
        <v>327</v>
      </c>
      <c r="D64" s="159" t="s">
        <v>233</v>
      </c>
      <c r="E64" s="60">
        <v>62681774</v>
      </c>
      <c r="F64" s="60">
        <v>38201907.014296085</v>
      </c>
      <c r="G64" s="60">
        <v>7400191.593118362</v>
      </c>
      <c r="H64" s="60">
        <v>6659057.1091400655</v>
      </c>
      <c r="I64" s="60">
        <v>4018062.9085504767</v>
      </c>
      <c r="J64" s="60">
        <v>2942000.176192428</v>
      </c>
      <c r="K64" s="60">
        <v>1231091.1814830324</v>
      </c>
      <c r="L64" s="60">
        <v>888088.5721706619</v>
      </c>
      <c r="M64" s="60">
        <v>595601.3003745272</v>
      </c>
      <c r="N64" s="60">
        <v>682908.2025063487</v>
      </c>
      <c r="O64" s="60">
        <v>62865.94216800291</v>
      </c>
    </row>
    <row r="65" spans="1:15" s="60" customFormat="1" ht="12.75">
      <c r="A65" s="12">
        <f t="shared" si="4"/>
        <v>58</v>
      </c>
      <c r="B65" s="157">
        <v>392</v>
      </c>
      <c r="C65" s="60" t="s">
        <v>328</v>
      </c>
      <c r="D65" s="159" t="s">
        <v>233</v>
      </c>
      <c r="E65" s="60">
        <v>9069073</v>
      </c>
      <c r="F65" s="60">
        <v>5527218.860331924</v>
      </c>
      <c r="G65" s="60">
        <v>1070692.06069338</v>
      </c>
      <c r="H65" s="60">
        <v>963461.4845770036</v>
      </c>
      <c r="I65" s="60">
        <v>581350.9017188409</v>
      </c>
      <c r="J65" s="60">
        <v>425661.44289250625</v>
      </c>
      <c r="K65" s="60">
        <v>178119.6523653888</v>
      </c>
      <c r="L65" s="60">
        <v>128492.53582838133</v>
      </c>
      <c r="M65" s="60">
        <v>86174.199090018</v>
      </c>
      <c r="N65" s="60">
        <v>98806.14324714009</v>
      </c>
      <c r="O65" s="60">
        <v>9095.719255415403</v>
      </c>
    </row>
    <row r="66" spans="1:15" s="60" customFormat="1" ht="12.75">
      <c r="A66" s="12">
        <f t="shared" si="4"/>
        <v>59</v>
      </c>
      <c r="B66" s="157">
        <v>393</v>
      </c>
      <c r="C66" s="60" t="s">
        <v>329</v>
      </c>
      <c r="D66" s="159" t="s">
        <v>202</v>
      </c>
      <c r="E66" s="60">
        <v>1076715</v>
      </c>
      <c r="F66" s="60">
        <v>631405.3565075726</v>
      </c>
      <c r="G66" s="60">
        <v>129042.81063009727</v>
      </c>
      <c r="H66" s="60">
        <v>126995.42380046891</v>
      </c>
      <c r="I66" s="60">
        <v>74831.60106510531</v>
      </c>
      <c r="J66" s="60">
        <v>57433.31272499442</v>
      </c>
      <c r="K66" s="60">
        <v>21802.89610512449</v>
      </c>
      <c r="L66" s="60">
        <v>15290.866427712273</v>
      </c>
      <c r="M66" s="60">
        <v>9553.508696175857</v>
      </c>
      <c r="N66" s="60">
        <v>9257.23233485451</v>
      </c>
      <c r="O66" s="60">
        <v>1101.9917078943508</v>
      </c>
    </row>
    <row r="67" spans="1:15" s="60" customFormat="1" ht="12.75">
      <c r="A67" s="12">
        <f t="shared" si="4"/>
        <v>60</v>
      </c>
      <c r="B67" s="157">
        <v>394</v>
      </c>
      <c r="C67" s="60" t="s">
        <v>330</v>
      </c>
      <c r="D67" s="159" t="s">
        <v>257</v>
      </c>
      <c r="E67" s="60">
        <v>6059838</v>
      </c>
      <c r="F67" s="60">
        <v>3397258.67394669</v>
      </c>
      <c r="G67" s="60">
        <v>723834.9824136384</v>
      </c>
      <c r="H67" s="60">
        <v>758699.3394661724</v>
      </c>
      <c r="I67" s="60">
        <v>474287.58892728033</v>
      </c>
      <c r="J67" s="60">
        <v>338781.79829369456</v>
      </c>
      <c r="K67" s="60">
        <v>140633.26649288347</v>
      </c>
      <c r="L67" s="60">
        <v>105603.15222747816</v>
      </c>
      <c r="M67" s="60">
        <v>73387.17387518838</v>
      </c>
      <c r="N67" s="60">
        <v>39819.580784850135</v>
      </c>
      <c r="O67" s="60">
        <v>7532.443572125081</v>
      </c>
    </row>
    <row r="68" spans="1:15" s="60" customFormat="1" ht="12.75">
      <c r="A68" s="12">
        <f t="shared" si="4"/>
        <v>61</v>
      </c>
      <c r="B68" s="157">
        <v>395</v>
      </c>
      <c r="C68" s="60" t="s">
        <v>331</v>
      </c>
      <c r="D68" s="159" t="s">
        <v>257</v>
      </c>
      <c r="E68" s="60">
        <v>14149262</v>
      </c>
      <c r="F68" s="60">
        <v>7932341.270417507</v>
      </c>
      <c r="G68" s="60">
        <v>1690099.7701483045</v>
      </c>
      <c r="H68" s="60">
        <v>1771505.398879279</v>
      </c>
      <c r="I68" s="60">
        <v>1107425.538286731</v>
      </c>
      <c r="J68" s="60">
        <v>791029.7973128386</v>
      </c>
      <c r="K68" s="60">
        <v>328368.0081090666</v>
      </c>
      <c r="L68" s="60">
        <v>246575.34886121913</v>
      </c>
      <c r="M68" s="60">
        <v>171353.4834758942</v>
      </c>
      <c r="N68" s="60">
        <v>92975.70021756525</v>
      </c>
      <c r="O68" s="60">
        <v>17587.684291595528</v>
      </c>
    </row>
    <row r="69" spans="1:15" s="60" customFormat="1" ht="12.75">
      <c r="A69" s="12">
        <f t="shared" si="4"/>
        <v>62</v>
      </c>
      <c r="B69" s="157">
        <v>396</v>
      </c>
      <c r="C69" s="60" t="s">
        <v>332</v>
      </c>
      <c r="D69" s="159" t="s">
        <v>257</v>
      </c>
      <c r="E69" s="60">
        <v>3374496</v>
      </c>
      <c r="F69" s="60">
        <v>1891805.6565535923</v>
      </c>
      <c r="G69" s="60">
        <v>403076.49359849107</v>
      </c>
      <c r="H69" s="60">
        <v>422491.14353077434</v>
      </c>
      <c r="I69" s="60">
        <v>264112.9303596485</v>
      </c>
      <c r="J69" s="60">
        <v>188654.84905947634</v>
      </c>
      <c r="K69" s="60">
        <v>78313.37987041392</v>
      </c>
      <c r="L69" s="60">
        <v>58806.42597690172</v>
      </c>
      <c r="M69" s="60">
        <v>40866.5585933366</v>
      </c>
      <c r="N69" s="60">
        <v>22174.02776776436</v>
      </c>
      <c r="O69" s="60">
        <v>4194.53468960091</v>
      </c>
    </row>
    <row r="70" spans="1:15" s="60" customFormat="1" ht="12.75">
      <c r="A70" s="12">
        <f t="shared" si="4"/>
        <v>63</v>
      </c>
      <c r="B70" s="157">
        <v>397</v>
      </c>
      <c r="C70" s="60" t="s">
        <v>333</v>
      </c>
      <c r="D70" s="159" t="s">
        <v>233</v>
      </c>
      <c r="E70" s="60">
        <v>69535036</v>
      </c>
      <c r="F70" s="60">
        <v>42378682.1908986</v>
      </c>
      <c r="G70" s="60">
        <v>8209285.666266924</v>
      </c>
      <c r="H70" s="60">
        <v>7387119.831836769</v>
      </c>
      <c r="I70" s="60">
        <v>4457374.626894288</v>
      </c>
      <c r="J70" s="60">
        <v>3263661.4299325156</v>
      </c>
      <c r="K70" s="60">
        <v>1365691.558501602</v>
      </c>
      <c r="L70" s="60">
        <v>985187.031194675</v>
      </c>
      <c r="M70" s="60">
        <v>660720.8957294278</v>
      </c>
      <c r="N70" s="60">
        <v>757573.4286967413</v>
      </c>
      <c r="O70" s="60">
        <v>69739.34004844853</v>
      </c>
    </row>
    <row r="71" spans="1:15" s="60" customFormat="1" ht="12.75">
      <c r="A71" s="12">
        <f t="shared" si="4"/>
        <v>64</v>
      </c>
      <c r="B71" s="157">
        <v>398</v>
      </c>
      <c r="C71" s="60" t="s">
        <v>334</v>
      </c>
      <c r="D71" s="159" t="s">
        <v>233</v>
      </c>
      <c r="E71" s="60">
        <v>732863</v>
      </c>
      <c r="F71" s="60">
        <v>446649.1994980562</v>
      </c>
      <c r="G71" s="60">
        <v>86521.58778255866</v>
      </c>
      <c r="H71" s="60">
        <v>77856.3888471905</v>
      </c>
      <c r="I71" s="60">
        <v>46978.40296206403</v>
      </c>
      <c r="J71" s="60">
        <v>34397.28867796421</v>
      </c>
      <c r="K71" s="60">
        <v>14393.676486169643</v>
      </c>
      <c r="L71" s="60">
        <v>10383.357294047037</v>
      </c>
      <c r="M71" s="60">
        <v>6963.653514279558</v>
      </c>
      <c r="N71" s="60">
        <v>7984.428679593694</v>
      </c>
      <c r="O71" s="60">
        <v>735.0162580763766</v>
      </c>
    </row>
    <row r="72" spans="1:15" s="60" customFormat="1" ht="12.75">
      <c r="A72" s="12">
        <f t="shared" si="4"/>
        <v>65</v>
      </c>
      <c r="B72" s="157">
        <v>399</v>
      </c>
      <c r="C72" s="60" t="s">
        <v>335</v>
      </c>
      <c r="D72" s="159" t="s">
        <v>233</v>
      </c>
      <c r="E72" s="60">
        <v>44312</v>
      </c>
      <c r="F72" s="60">
        <v>27006.30176193622</v>
      </c>
      <c r="G72" s="60">
        <v>5231.461538951673</v>
      </c>
      <c r="H72" s="60">
        <v>4707.5269219440825</v>
      </c>
      <c r="I72" s="60">
        <v>2840.5131546482507</v>
      </c>
      <c r="J72" s="60">
        <v>2079.8057152536694</v>
      </c>
      <c r="K72" s="60">
        <v>870.3026247131443</v>
      </c>
      <c r="L72" s="60">
        <v>627.8217462388089</v>
      </c>
      <c r="M72" s="60">
        <v>421.0519763240276</v>
      </c>
      <c r="N72" s="60">
        <v>482.7723648896939</v>
      </c>
      <c r="O72" s="60">
        <v>44.44219510042177</v>
      </c>
    </row>
    <row r="73" spans="1:15" s="60" customFormat="1" ht="12.75">
      <c r="A73" s="87">
        <f aca="true" t="shared" si="6" ref="A73:A104">+A72+1</f>
        <v>66</v>
      </c>
      <c r="B73" s="161"/>
      <c r="C73" s="162" t="s">
        <v>284</v>
      </c>
      <c r="D73" s="163"/>
      <c r="E73" s="162">
        <f aca="true" t="shared" si="7" ref="E73:O73">SUM(E62:E72)</f>
        <v>285396669</v>
      </c>
      <c r="F73" s="162">
        <f t="shared" si="7"/>
        <v>172760663.55844164</v>
      </c>
      <c r="G73" s="162">
        <f t="shared" si="7"/>
        <v>33728510.923628725</v>
      </c>
      <c r="H73" s="162">
        <f t="shared" si="7"/>
        <v>30779263.0879174</v>
      </c>
      <c r="I73" s="162">
        <f t="shared" si="7"/>
        <v>18634528.727290045</v>
      </c>
      <c r="J73" s="162">
        <f t="shared" si="7"/>
        <v>13613690.142452087</v>
      </c>
      <c r="K73" s="162">
        <f t="shared" si="7"/>
        <v>5690067.557924168</v>
      </c>
      <c r="L73" s="162">
        <f t="shared" si="7"/>
        <v>4120443.413720501</v>
      </c>
      <c r="M73" s="162">
        <f t="shared" si="7"/>
        <v>2772673.787364669</v>
      </c>
      <c r="N73" s="162">
        <f t="shared" si="7"/>
        <v>3004908.70766005</v>
      </c>
      <c r="O73" s="162">
        <f t="shared" si="7"/>
        <v>291919.0936006593</v>
      </c>
    </row>
    <row r="74" spans="1:15" ht="13.5">
      <c r="A74" s="12">
        <f t="shared" si="6"/>
        <v>67</v>
      </c>
      <c r="B74" s="164"/>
      <c r="C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</row>
    <row r="75" spans="1:15" ht="12.75">
      <c r="A75" s="87">
        <f t="shared" si="6"/>
        <v>68</v>
      </c>
      <c r="B75" s="166"/>
      <c r="C75" s="167" t="s">
        <v>336</v>
      </c>
      <c r="D75" s="42"/>
      <c r="E75" s="167">
        <f aca="true" t="shared" si="8" ref="E75:O75">SUM(E73,E59,E27,E21,E15)</f>
        <v>6699437657</v>
      </c>
      <c r="F75" s="167">
        <f t="shared" si="8"/>
        <v>3934988225.0958033</v>
      </c>
      <c r="G75" s="167">
        <f t="shared" si="8"/>
        <v>802173206.8837932</v>
      </c>
      <c r="H75" s="167">
        <f t="shared" si="8"/>
        <v>786357521.2990544</v>
      </c>
      <c r="I75" s="167">
        <f t="shared" si="8"/>
        <v>464810288.7571305</v>
      </c>
      <c r="J75" s="167">
        <f t="shared" si="8"/>
        <v>355011361.813425</v>
      </c>
      <c r="K75" s="167">
        <f t="shared" si="8"/>
        <v>135925603.8321189</v>
      </c>
      <c r="L75" s="167">
        <f t="shared" si="8"/>
        <v>95703506.48555382</v>
      </c>
      <c r="M75" s="167">
        <f t="shared" si="8"/>
        <v>59372243.37914293</v>
      </c>
      <c r="N75" s="167">
        <f t="shared" si="8"/>
        <v>58275852.43325913</v>
      </c>
      <c r="O75" s="167">
        <f t="shared" si="8"/>
        <v>6819847.020719081</v>
      </c>
    </row>
    <row r="76" ht="12.75">
      <c r="A76" s="12">
        <f t="shared" si="6"/>
        <v>69</v>
      </c>
    </row>
    <row r="77" spans="1:3" ht="15.75">
      <c r="A77" s="12">
        <f t="shared" si="6"/>
        <v>70</v>
      </c>
      <c r="C77" s="158" t="s">
        <v>337</v>
      </c>
    </row>
    <row r="78" spans="1:4" s="60" customFormat="1" ht="12.75">
      <c r="A78" s="12">
        <f t="shared" si="6"/>
        <v>71</v>
      </c>
      <c r="B78" s="157"/>
      <c r="C78" s="5" t="s">
        <v>161</v>
      </c>
      <c r="D78" s="3"/>
    </row>
    <row r="79" spans="1:15" s="60" customFormat="1" ht="12.75">
      <c r="A79" s="12">
        <f t="shared" si="6"/>
        <v>72</v>
      </c>
      <c r="B79" s="157">
        <v>111</v>
      </c>
      <c r="C79" s="60" t="s">
        <v>338</v>
      </c>
      <c r="D79" s="159" t="s">
        <v>200</v>
      </c>
      <c r="E79" s="60">
        <v>-41165924</v>
      </c>
      <c r="F79" s="60">
        <v>-21946037.44164896</v>
      </c>
      <c r="G79" s="60">
        <v>-4983821.88515676</v>
      </c>
      <c r="H79" s="60">
        <v>-5684968.037360435</v>
      </c>
      <c r="I79" s="60">
        <v>-3808376.5740542016</v>
      </c>
      <c r="J79" s="60">
        <v>-2498988.4061153554</v>
      </c>
      <c r="K79" s="60">
        <v>-1150909.084350203</v>
      </c>
      <c r="L79" s="60">
        <v>-924559.1828203062</v>
      </c>
      <c r="M79" s="60">
        <v>0</v>
      </c>
      <c r="N79" s="60">
        <v>-153925.97419890738</v>
      </c>
      <c r="O79" s="60">
        <v>-14337.414294873262</v>
      </c>
    </row>
    <row r="80" spans="1:15" s="60" customFormat="1" ht="12.75">
      <c r="A80" s="12">
        <f t="shared" si="6"/>
        <v>73</v>
      </c>
      <c r="B80" s="157">
        <v>111.01</v>
      </c>
      <c r="C80" s="60" t="s">
        <v>339</v>
      </c>
      <c r="D80" s="159" t="s">
        <v>202</v>
      </c>
      <c r="E80" s="60">
        <v>-22882575</v>
      </c>
      <c r="F80" s="60">
        <v>-13418760.234311093</v>
      </c>
      <c r="G80" s="60">
        <v>-2742445.115424229</v>
      </c>
      <c r="H80" s="60">
        <v>-2698933.6173184314</v>
      </c>
      <c r="I80" s="60">
        <v>-1590337.0193062713</v>
      </c>
      <c r="J80" s="60">
        <v>-1220584.9142327723</v>
      </c>
      <c r="K80" s="60">
        <v>-463359.761257825</v>
      </c>
      <c r="L80" s="60">
        <v>-324964.7286859644</v>
      </c>
      <c r="M80" s="60">
        <v>-203033.18821916313</v>
      </c>
      <c r="N80" s="60">
        <v>-196736.66029983183</v>
      </c>
      <c r="O80" s="60">
        <v>-23419.76094441944</v>
      </c>
    </row>
    <row r="81" spans="1:15" s="60" customFormat="1" ht="12.75">
      <c r="A81" s="12">
        <f t="shared" si="6"/>
        <v>74</v>
      </c>
      <c r="B81" s="157">
        <v>111.02</v>
      </c>
      <c r="C81" s="60" t="s">
        <v>340</v>
      </c>
      <c r="D81" s="159" t="s">
        <v>209</v>
      </c>
      <c r="E81" s="60">
        <v>-7549536</v>
      </c>
      <c r="F81" s="60">
        <v>-4570000.250838049</v>
      </c>
      <c r="G81" s="60">
        <v>-892212.9621783651</v>
      </c>
      <c r="H81" s="60">
        <v>-814197.1507582788</v>
      </c>
      <c r="I81" s="60">
        <v>-492935.1346763982</v>
      </c>
      <c r="J81" s="60">
        <v>-360119.98382254137</v>
      </c>
      <c r="K81" s="60">
        <v>-150518.11929515054</v>
      </c>
      <c r="L81" s="60">
        <v>-108997.19326382826</v>
      </c>
      <c r="M81" s="60">
        <v>-73344.93653100738</v>
      </c>
      <c r="N81" s="60">
        <v>-79488.19635730589</v>
      </c>
      <c r="O81" s="60">
        <v>-7722.0722790760665</v>
      </c>
    </row>
    <row r="82" spans="1:15" s="60" customFormat="1" ht="12.75">
      <c r="A82" s="87">
        <f t="shared" si="6"/>
        <v>75</v>
      </c>
      <c r="B82" s="161"/>
      <c r="C82" s="162" t="s">
        <v>284</v>
      </c>
      <c r="D82" s="163"/>
      <c r="E82" s="162">
        <f aca="true" t="shared" si="9" ref="E82:O82">SUM(E79:E81)</f>
        <v>-71598035</v>
      </c>
      <c r="F82" s="162">
        <f t="shared" si="9"/>
        <v>-39934797.9267981</v>
      </c>
      <c r="G82" s="162">
        <f t="shared" si="9"/>
        <v>-8618479.962759353</v>
      </c>
      <c r="H82" s="162">
        <f t="shared" si="9"/>
        <v>-9198098.805437146</v>
      </c>
      <c r="I82" s="162">
        <f t="shared" si="9"/>
        <v>-5891648.72803687</v>
      </c>
      <c r="J82" s="162">
        <f t="shared" si="9"/>
        <v>-4079693.304170669</v>
      </c>
      <c r="K82" s="162">
        <f t="shared" si="9"/>
        <v>-1764786.9649031784</v>
      </c>
      <c r="L82" s="162">
        <f t="shared" si="9"/>
        <v>-1358521.1047700988</v>
      </c>
      <c r="M82" s="162">
        <f t="shared" si="9"/>
        <v>-276378.1247501705</v>
      </c>
      <c r="N82" s="162">
        <f t="shared" si="9"/>
        <v>-430150.8308560451</v>
      </c>
      <c r="O82" s="162">
        <f t="shared" si="9"/>
        <v>-45479.247518368764</v>
      </c>
    </row>
    <row r="83" spans="1:4" s="60" customFormat="1" ht="12.75">
      <c r="A83" s="12">
        <f t="shared" si="6"/>
        <v>76</v>
      </c>
      <c r="B83" s="157"/>
      <c r="D83" s="3"/>
    </row>
    <row r="84" spans="1:4" s="60" customFormat="1" ht="12.75">
      <c r="A84" s="12">
        <f t="shared" si="6"/>
        <v>77</v>
      </c>
      <c r="B84" s="157"/>
      <c r="C84" s="5" t="s">
        <v>282</v>
      </c>
      <c r="D84" s="3"/>
    </row>
    <row r="85" spans="1:15" s="60" customFormat="1" ht="12.75">
      <c r="A85" s="12">
        <f t="shared" si="6"/>
        <v>78</v>
      </c>
      <c r="B85" s="157">
        <v>108.01</v>
      </c>
      <c r="C85" s="60" t="s">
        <v>341</v>
      </c>
      <c r="D85" s="159" t="s">
        <v>200</v>
      </c>
      <c r="E85" s="60">
        <v>-585705821</v>
      </c>
      <c r="F85" s="60">
        <v>-312246650.3474511</v>
      </c>
      <c r="G85" s="60">
        <v>-70909461.15927115</v>
      </c>
      <c r="H85" s="60">
        <v>-80885318.44155744</v>
      </c>
      <c r="I85" s="60">
        <v>-54185309.383158356</v>
      </c>
      <c r="J85" s="60">
        <v>-35555428.22440415</v>
      </c>
      <c r="K85" s="60">
        <v>-16375052.0975964</v>
      </c>
      <c r="L85" s="60">
        <v>-13154561.895339858</v>
      </c>
      <c r="M85" s="60">
        <v>0</v>
      </c>
      <c r="N85" s="60">
        <v>-2190047.746563295</v>
      </c>
      <c r="O85" s="60">
        <v>-203991.7046583451</v>
      </c>
    </row>
    <row r="86" spans="1:15" s="60" customFormat="1" ht="12.75">
      <c r="A86" s="12">
        <f t="shared" si="6"/>
        <v>79</v>
      </c>
      <c r="B86" s="157">
        <v>108.02</v>
      </c>
      <c r="C86" s="60" t="s">
        <v>342</v>
      </c>
      <c r="D86" s="159" t="s">
        <v>200</v>
      </c>
      <c r="E86" s="60">
        <v>-131986298</v>
      </c>
      <c r="F86" s="60">
        <v>-70363445.20513222</v>
      </c>
      <c r="G86" s="60">
        <v>-15979143.344704758</v>
      </c>
      <c r="H86" s="60">
        <v>-18227160.053531885</v>
      </c>
      <c r="I86" s="60">
        <v>-12210427.376762804</v>
      </c>
      <c r="J86" s="60">
        <v>-8012263.455281275</v>
      </c>
      <c r="K86" s="60">
        <v>-3690047.850692068</v>
      </c>
      <c r="L86" s="60">
        <v>-2964324.177986565</v>
      </c>
      <c r="M86" s="60">
        <v>0</v>
      </c>
      <c r="N86" s="60">
        <v>-493517.87902434304</v>
      </c>
      <c r="O86" s="60">
        <v>-45968.656884091855</v>
      </c>
    </row>
    <row r="87" spans="1:15" s="60" customFormat="1" ht="12.75">
      <c r="A87" s="12">
        <f t="shared" si="6"/>
        <v>80</v>
      </c>
      <c r="B87" s="157">
        <v>108.03</v>
      </c>
      <c r="C87" s="60" t="s">
        <v>343</v>
      </c>
      <c r="D87" s="159" t="s">
        <v>200</v>
      </c>
      <c r="E87" s="60">
        <v>-310812923</v>
      </c>
      <c r="F87" s="60">
        <v>-165698018.71825725</v>
      </c>
      <c r="G87" s="60">
        <v>-37629089.725690186</v>
      </c>
      <c r="H87" s="60">
        <v>-42922916.84874047</v>
      </c>
      <c r="I87" s="60">
        <v>-28754186.469044458</v>
      </c>
      <c r="J87" s="60">
        <v>-18867981.465637084</v>
      </c>
      <c r="K87" s="60">
        <v>-8689648.667041706</v>
      </c>
      <c r="L87" s="60">
        <v>-6980650.843616938</v>
      </c>
      <c r="M87" s="60">
        <v>0</v>
      </c>
      <c r="N87" s="60">
        <v>-1162179.2326678976</v>
      </c>
      <c r="O87" s="60">
        <v>-108251.02930403172</v>
      </c>
    </row>
    <row r="88" spans="1:15" s="60" customFormat="1" ht="12.75">
      <c r="A88" s="87">
        <f t="shared" si="6"/>
        <v>81</v>
      </c>
      <c r="B88" s="161"/>
      <c r="C88" s="162" t="s">
        <v>284</v>
      </c>
      <c r="D88" s="163"/>
      <c r="E88" s="162">
        <f aca="true" t="shared" si="10" ref="E88:O88">SUM(E85:E87)</f>
        <v>-1028505042</v>
      </c>
      <c r="F88" s="162">
        <f t="shared" si="10"/>
        <v>-548308114.2708406</v>
      </c>
      <c r="G88" s="162">
        <f t="shared" si="10"/>
        <v>-124517694.2296661</v>
      </c>
      <c r="H88" s="162">
        <f t="shared" si="10"/>
        <v>-142035395.3438298</v>
      </c>
      <c r="I88" s="162">
        <f t="shared" si="10"/>
        <v>-95149923.22896563</v>
      </c>
      <c r="J88" s="162">
        <f t="shared" si="10"/>
        <v>-62435673.1453225</v>
      </c>
      <c r="K88" s="162">
        <f t="shared" si="10"/>
        <v>-28754748.615330175</v>
      </c>
      <c r="L88" s="162">
        <f t="shared" si="10"/>
        <v>-23099536.916943364</v>
      </c>
      <c r="M88" s="162">
        <f t="shared" si="10"/>
        <v>0</v>
      </c>
      <c r="N88" s="162">
        <f t="shared" si="10"/>
        <v>-3845744.8582555354</v>
      </c>
      <c r="O88" s="162">
        <f t="shared" si="10"/>
        <v>-358211.3908464686</v>
      </c>
    </row>
    <row r="89" spans="1:4" s="60" customFormat="1" ht="12.75">
      <c r="A89" s="12">
        <f t="shared" si="6"/>
        <v>82</v>
      </c>
      <c r="B89" s="157"/>
      <c r="D89" s="3"/>
    </row>
    <row r="90" spans="1:4" s="60" customFormat="1" ht="12.75">
      <c r="A90" s="12">
        <f t="shared" si="6"/>
        <v>83</v>
      </c>
      <c r="B90" s="157"/>
      <c r="C90" s="5" t="s">
        <v>344</v>
      </c>
      <c r="D90" s="3"/>
    </row>
    <row r="91" spans="1:15" s="60" customFormat="1" ht="12.75">
      <c r="A91" s="12">
        <f t="shared" si="6"/>
        <v>84</v>
      </c>
      <c r="B91" s="157" t="s">
        <v>345</v>
      </c>
      <c r="C91" s="60" t="s">
        <v>346</v>
      </c>
      <c r="D91" s="60" t="s">
        <v>206</v>
      </c>
      <c r="E91" s="60">
        <v>-86911853</v>
      </c>
      <c r="F91" s="60">
        <v>-46333729.32576688</v>
      </c>
      <c r="G91" s="60">
        <v>-10522129.785327476</v>
      </c>
      <c r="H91" s="60">
        <v>-12002429.639931526</v>
      </c>
      <c r="I91" s="60">
        <v>-8040462.421609738</v>
      </c>
      <c r="J91" s="60">
        <v>-5276007.238438329</v>
      </c>
      <c r="K91" s="60">
        <v>-2429865.0785880443</v>
      </c>
      <c r="L91" s="60">
        <v>-1951982.221681179</v>
      </c>
      <c r="M91" s="60">
        <v>0</v>
      </c>
      <c r="N91" s="60">
        <v>-324977.31965052534</v>
      </c>
      <c r="O91" s="60">
        <v>-30269.969006310257</v>
      </c>
    </row>
    <row r="92" spans="1:15" s="60" customFormat="1" ht="12.75">
      <c r="A92" s="12">
        <f t="shared" si="6"/>
        <v>85</v>
      </c>
      <c r="B92" s="157" t="s">
        <v>347</v>
      </c>
      <c r="C92" s="60" t="s">
        <v>348</v>
      </c>
      <c r="D92" s="60" t="s">
        <v>238</v>
      </c>
      <c r="E92" s="60">
        <v>-41392700</v>
      </c>
      <c r="F92" s="60">
        <v>-20302645.977808256</v>
      </c>
      <c r="G92" s="60">
        <v>-4600500.3343714755</v>
      </c>
      <c r="H92" s="60">
        <v>-5244857.49454945</v>
      </c>
      <c r="I92" s="60">
        <v>-3511185.079048148</v>
      </c>
      <c r="J92" s="60">
        <v>-2301292.458425387</v>
      </c>
      <c r="K92" s="60">
        <v>-1060353.9854680458</v>
      </c>
      <c r="L92" s="60">
        <v>-851568.525382386</v>
      </c>
      <c r="M92" s="60">
        <v>-3137407.8708495274</v>
      </c>
      <c r="N92" s="60">
        <v>-141949.97061992687</v>
      </c>
      <c r="O92" s="60">
        <v>-240938.3034773979</v>
      </c>
    </row>
    <row r="93" spans="1:15" s="60" customFormat="1" ht="12.75">
      <c r="A93" s="12">
        <f t="shared" si="6"/>
        <v>86</v>
      </c>
      <c r="B93" s="157" t="s">
        <v>349</v>
      </c>
      <c r="C93" s="60" t="s">
        <v>350</v>
      </c>
      <c r="D93" s="60" t="s">
        <v>238</v>
      </c>
      <c r="E93" s="60">
        <v>-1671453</v>
      </c>
      <c r="F93" s="60">
        <v>-819828.581550504</v>
      </c>
      <c r="G93" s="60">
        <v>-185769.95666835472</v>
      </c>
      <c r="H93" s="60">
        <v>-211789.34434905578</v>
      </c>
      <c r="I93" s="60">
        <v>-141782.99154030214</v>
      </c>
      <c r="J93" s="60">
        <v>-92927.06645163249</v>
      </c>
      <c r="K93" s="60">
        <v>-42817.49801468669</v>
      </c>
      <c r="L93" s="60">
        <v>-34386.66157211212</v>
      </c>
      <c r="M93" s="60">
        <v>-126689.72543359229</v>
      </c>
      <c r="N93" s="60">
        <v>-5731.993908167108</v>
      </c>
      <c r="O93" s="60">
        <v>-9729.180511592796</v>
      </c>
    </row>
    <row r="94" spans="1:15" s="60" customFormat="1" ht="12.75">
      <c r="A94" s="87">
        <f t="shared" si="6"/>
        <v>87</v>
      </c>
      <c r="B94" s="161"/>
      <c r="C94" s="162" t="s">
        <v>284</v>
      </c>
      <c r="D94" s="163"/>
      <c r="E94" s="162">
        <f aca="true" t="shared" si="11" ref="E94:O94">SUM(E91:E93)</f>
        <v>-129976006</v>
      </c>
      <c r="F94" s="162">
        <f t="shared" si="11"/>
        <v>-67456203.88512564</v>
      </c>
      <c r="G94" s="162">
        <f t="shared" si="11"/>
        <v>-15308400.076367306</v>
      </c>
      <c r="H94" s="162">
        <f t="shared" si="11"/>
        <v>-17459076.478830032</v>
      </c>
      <c r="I94" s="162">
        <f t="shared" si="11"/>
        <v>-11693430.492198188</v>
      </c>
      <c r="J94" s="162">
        <f t="shared" si="11"/>
        <v>-7670226.763315348</v>
      </c>
      <c r="K94" s="162">
        <f t="shared" si="11"/>
        <v>-3533036.5620707767</v>
      </c>
      <c r="L94" s="162">
        <f t="shared" si="11"/>
        <v>-2837937.4086356773</v>
      </c>
      <c r="M94" s="162">
        <f t="shared" si="11"/>
        <v>-3264097.5962831196</v>
      </c>
      <c r="N94" s="162">
        <f t="shared" si="11"/>
        <v>-472659.28417861933</v>
      </c>
      <c r="O94" s="162">
        <f t="shared" si="11"/>
        <v>-280937.45299530093</v>
      </c>
    </row>
    <row r="95" spans="1:4" s="60" customFormat="1" ht="12.75">
      <c r="A95" s="12">
        <f t="shared" si="6"/>
        <v>88</v>
      </c>
      <c r="B95" s="157"/>
      <c r="D95" s="3"/>
    </row>
    <row r="96" spans="1:4" s="60" customFormat="1" ht="12.75">
      <c r="A96" s="12">
        <f t="shared" si="6"/>
        <v>89</v>
      </c>
      <c r="B96" s="157"/>
      <c r="C96" s="5" t="s">
        <v>283</v>
      </c>
      <c r="D96" s="3"/>
    </row>
    <row r="97" spans="1:15" s="60" customFormat="1" ht="12.75">
      <c r="A97" s="12">
        <f t="shared" si="6"/>
        <v>90</v>
      </c>
      <c r="B97" s="157" t="s">
        <v>351</v>
      </c>
      <c r="C97" s="60" t="s">
        <v>352</v>
      </c>
      <c r="D97" s="159" t="s">
        <v>258</v>
      </c>
      <c r="E97" s="60">
        <v>-121.21476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-121.21476</v>
      </c>
      <c r="L97" s="60">
        <v>0</v>
      </c>
      <c r="M97" s="60">
        <v>0</v>
      </c>
      <c r="N97" s="60">
        <v>0</v>
      </c>
      <c r="O97" s="60">
        <v>0</v>
      </c>
    </row>
    <row r="98" spans="1:15" s="60" customFormat="1" ht="12.75">
      <c r="A98" s="12">
        <f t="shared" si="6"/>
        <v>91</v>
      </c>
      <c r="B98" s="157" t="s">
        <v>353</v>
      </c>
      <c r="C98" s="60" t="s">
        <v>354</v>
      </c>
      <c r="D98" s="159" t="s">
        <v>242</v>
      </c>
      <c r="E98" s="60">
        <v>-2237386.78524</v>
      </c>
      <c r="F98" s="60">
        <v>-1009138.4045334212</v>
      </c>
      <c r="G98" s="60">
        <v>-298718.17484490026</v>
      </c>
      <c r="H98" s="60">
        <v>-366836.99332378025</v>
      </c>
      <c r="I98" s="60">
        <v>-286035.6287742401</v>
      </c>
      <c r="J98" s="60">
        <v>-250394.9567940969</v>
      </c>
      <c r="K98" s="60">
        <v>0</v>
      </c>
      <c r="L98" s="60">
        <v>0</v>
      </c>
      <c r="M98" s="60">
        <v>-17624.957348672382</v>
      </c>
      <c r="N98" s="60">
        <v>-8204.215843224878</v>
      </c>
      <c r="O98" s="60">
        <v>-433.4537776641319</v>
      </c>
    </row>
    <row r="99" spans="1:15" s="60" customFormat="1" ht="12.75">
      <c r="A99" s="12">
        <f t="shared" si="6"/>
        <v>92</v>
      </c>
      <c r="B99" s="157" t="s">
        <v>355</v>
      </c>
      <c r="C99" s="60" t="s">
        <v>356</v>
      </c>
      <c r="D99" s="159" t="s">
        <v>250</v>
      </c>
      <c r="E99" s="60">
        <v>-6591489</v>
      </c>
      <c r="F99" s="60">
        <v>-3233049.973391863</v>
      </c>
      <c r="G99" s="60">
        <v>-732596.5049031811</v>
      </c>
      <c r="H99" s="60">
        <v>-835205.7363228363</v>
      </c>
      <c r="I99" s="60">
        <v>-559130.9053410384</v>
      </c>
      <c r="J99" s="60">
        <v>-366464.2298157379</v>
      </c>
      <c r="K99" s="60">
        <v>-168853.72617197677</v>
      </c>
      <c r="L99" s="60">
        <v>-135606.1471661481</v>
      </c>
      <c r="M99" s="60">
        <v>-499609.58017278614</v>
      </c>
      <c r="N99" s="60">
        <v>-22604.509246595928</v>
      </c>
      <c r="O99" s="60">
        <v>-38367.68746783684</v>
      </c>
    </row>
    <row r="100" spans="1:15" s="60" customFormat="1" ht="12.75">
      <c r="A100" s="12">
        <f t="shared" si="6"/>
        <v>93</v>
      </c>
      <c r="B100" s="157" t="s">
        <v>357</v>
      </c>
      <c r="C100" s="60" t="s">
        <v>295</v>
      </c>
      <c r="D100" s="159" t="s">
        <v>259</v>
      </c>
      <c r="E100" s="60">
        <v>-130712.04076941583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-36474.011376336326</v>
      </c>
      <c r="L100" s="60">
        <v>-48530.01513663436</v>
      </c>
      <c r="M100" s="60">
        <v>-45087.014062753624</v>
      </c>
      <c r="N100" s="60">
        <v>0</v>
      </c>
      <c r="O100" s="60">
        <v>-621.0001936915297</v>
      </c>
    </row>
    <row r="101" spans="1:15" s="60" customFormat="1" ht="12.75">
      <c r="A101" s="12">
        <f t="shared" si="6"/>
        <v>94</v>
      </c>
      <c r="B101" s="157" t="s">
        <v>358</v>
      </c>
      <c r="C101" s="60" t="s">
        <v>296</v>
      </c>
      <c r="D101" s="159" t="s">
        <v>244</v>
      </c>
      <c r="E101" s="60">
        <v>-1030771.9592305842</v>
      </c>
      <c r="F101" s="60">
        <v>-508529.19721859775</v>
      </c>
      <c r="G101" s="60">
        <v>-144378.60706130933</v>
      </c>
      <c r="H101" s="60">
        <v>-150586.2763598714</v>
      </c>
      <c r="I101" s="60">
        <v>-122322.03240284344</v>
      </c>
      <c r="J101" s="60">
        <v>-95208.97552948692</v>
      </c>
      <c r="K101" s="60">
        <v>0</v>
      </c>
      <c r="L101" s="60">
        <v>0</v>
      </c>
      <c r="M101" s="60">
        <v>-5212.368446171706</v>
      </c>
      <c r="N101" s="60">
        <v>-4389.586408195658</v>
      </c>
      <c r="O101" s="60">
        <v>-144.9158041080395</v>
      </c>
    </row>
    <row r="102" spans="1:15" s="60" customFormat="1" ht="12.75">
      <c r="A102" s="12">
        <f t="shared" si="6"/>
        <v>95</v>
      </c>
      <c r="B102" s="157" t="s">
        <v>359</v>
      </c>
      <c r="C102" s="60" t="s">
        <v>360</v>
      </c>
      <c r="D102" s="159" t="s">
        <v>250</v>
      </c>
      <c r="E102" s="60">
        <v>-1028537</v>
      </c>
      <c r="F102" s="60">
        <v>-504485.6360198047</v>
      </c>
      <c r="G102" s="60">
        <v>-114314.47604078578</v>
      </c>
      <c r="H102" s="60">
        <v>-130325.63695703367</v>
      </c>
      <c r="I102" s="60">
        <v>-87246.87608319691</v>
      </c>
      <c r="J102" s="60">
        <v>-57183.1371548962</v>
      </c>
      <c r="K102" s="60">
        <v>-26347.962494627005</v>
      </c>
      <c r="L102" s="60">
        <v>-21160.00493785675</v>
      </c>
      <c r="M102" s="60">
        <v>-77959.15896426086</v>
      </c>
      <c r="N102" s="60">
        <v>-3527.2112457391695</v>
      </c>
      <c r="O102" s="60">
        <v>-5986.900101798926</v>
      </c>
    </row>
    <row r="103" spans="1:15" s="60" customFormat="1" ht="12.75">
      <c r="A103" s="12">
        <f t="shared" si="6"/>
        <v>96</v>
      </c>
      <c r="B103" s="157" t="s">
        <v>361</v>
      </c>
      <c r="C103" s="60" t="s">
        <v>298</v>
      </c>
      <c r="D103" s="159" t="s">
        <v>260</v>
      </c>
      <c r="E103" s="60">
        <v>-8291418.116380166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-2207254.0309815025</v>
      </c>
      <c r="L103" s="60">
        <v>-2939456.0412588506</v>
      </c>
      <c r="M103" s="60">
        <v>-3076305.0431796936</v>
      </c>
      <c r="N103" s="60">
        <v>0</v>
      </c>
      <c r="O103" s="60">
        <v>-68403.00096011955</v>
      </c>
    </row>
    <row r="104" spans="1:15" s="60" customFormat="1" ht="12.75">
      <c r="A104" s="12">
        <f t="shared" si="6"/>
        <v>97</v>
      </c>
      <c r="B104" s="157" t="s">
        <v>362</v>
      </c>
      <c r="C104" s="60" t="s">
        <v>299</v>
      </c>
      <c r="D104" s="159" t="s">
        <v>246</v>
      </c>
      <c r="E104" s="60">
        <v>-92401045.88361983</v>
      </c>
      <c r="F104" s="60">
        <v>-50163550.66032354</v>
      </c>
      <c r="G104" s="60">
        <v>-12689298.839922626</v>
      </c>
      <c r="H104" s="60">
        <v>-12535956.875204302</v>
      </c>
      <c r="I104" s="60">
        <v>-8227742.297350996</v>
      </c>
      <c r="J104" s="60">
        <v>-7920675.766713397</v>
      </c>
      <c r="K104" s="60">
        <v>0</v>
      </c>
      <c r="L104" s="60">
        <v>0</v>
      </c>
      <c r="M104" s="60">
        <v>-449176.3786152596</v>
      </c>
      <c r="N104" s="60">
        <v>-390545.6512573303</v>
      </c>
      <c r="O104" s="60">
        <v>-24099.414232381794</v>
      </c>
    </row>
    <row r="105" spans="1:15" s="60" customFormat="1" ht="12.75">
      <c r="A105" s="12">
        <f aca="true" t="shared" si="12" ref="A105:A134">+A104+1</f>
        <v>98</v>
      </c>
      <c r="B105" s="157" t="s">
        <v>363</v>
      </c>
      <c r="C105" s="60" t="s">
        <v>364</v>
      </c>
      <c r="D105" s="159" t="s">
        <v>250</v>
      </c>
      <c r="E105" s="60">
        <v>-66011778</v>
      </c>
      <c r="F105" s="60">
        <v>-32378022.189895116</v>
      </c>
      <c r="G105" s="60">
        <v>-7336733.452068979</v>
      </c>
      <c r="H105" s="60">
        <v>-8364334.014737732</v>
      </c>
      <c r="I105" s="60">
        <v>-5599527.693410644</v>
      </c>
      <c r="J105" s="60">
        <v>-3670028.9393697646</v>
      </c>
      <c r="K105" s="60">
        <v>-1691019.2350373825</v>
      </c>
      <c r="L105" s="60">
        <v>-1358054.7403124084</v>
      </c>
      <c r="M105" s="60">
        <v>-5003439.540449685</v>
      </c>
      <c r="N105" s="60">
        <v>-226377.3551295068</v>
      </c>
      <c r="O105" s="60">
        <v>-384240.839588783</v>
      </c>
    </row>
    <row r="106" spans="1:15" s="60" customFormat="1" ht="12.75">
      <c r="A106" s="12">
        <f t="shared" si="12"/>
        <v>99</v>
      </c>
      <c r="B106" s="157" t="s">
        <v>365</v>
      </c>
      <c r="C106" s="60" t="s">
        <v>301</v>
      </c>
      <c r="D106" s="159" t="s">
        <v>247</v>
      </c>
      <c r="E106" s="60">
        <v>-87797134</v>
      </c>
      <c r="F106" s="60">
        <v>-61200615.88623244</v>
      </c>
      <c r="G106" s="60">
        <v>-10277022.747875161</v>
      </c>
      <c r="H106" s="60">
        <v>-8243056.353308421</v>
      </c>
      <c r="I106" s="60">
        <v>-3178506.614149449</v>
      </c>
      <c r="J106" s="60">
        <v>-4510159.050644533</v>
      </c>
      <c r="K106" s="60">
        <v>0</v>
      </c>
      <c r="L106" s="60">
        <v>0</v>
      </c>
      <c r="M106" s="60">
        <v>-171.50524006633836</v>
      </c>
      <c r="N106" s="60">
        <v>-341724.19083217916</v>
      </c>
      <c r="O106" s="60">
        <v>-45877.65171774551</v>
      </c>
    </row>
    <row r="107" spans="1:15" s="60" customFormat="1" ht="12.75">
      <c r="A107" s="12">
        <f t="shared" si="12"/>
        <v>100</v>
      </c>
      <c r="B107" s="157" t="s">
        <v>366</v>
      </c>
      <c r="C107" s="60" t="s">
        <v>302</v>
      </c>
      <c r="D107" s="159" t="s">
        <v>250</v>
      </c>
      <c r="E107" s="60">
        <v>-33995983</v>
      </c>
      <c r="F107" s="60">
        <v>-16674640.879106408</v>
      </c>
      <c r="G107" s="60">
        <v>-3778408.5396407335</v>
      </c>
      <c r="H107" s="60">
        <v>-4307621.542497245</v>
      </c>
      <c r="I107" s="60">
        <v>-2883749.7495252662</v>
      </c>
      <c r="J107" s="60">
        <v>-1890060.307606357</v>
      </c>
      <c r="K107" s="60">
        <v>-870872.7882924749</v>
      </c>
      <c r="L107" s="60">
        <v>-699396.490497954</v>
      </c>
      <c r="M107" s="60">
        <v>-2576765.097262724</v>
      </c>
      <c r="N107" s="60">
        <v>-116584.0543875015</v>
      </c>
      <c r="O107" s="60">
        <v>-197883.5511833357</v>
      </c>
    </row>
    <row r="108" spans="1:15" s="60" customFormat="1" ht="12.75">
      <c r="A108" s="12">
        <f t="shared" si="12"/>
        <v>101</v>
      </c>
      <c r="B108" s="157" t="s">
        <v>367</v>
      </c>
      <c r="C108" s="60" t="s">
        <v>368</v>
      </c>
      <c r="D108" s="159" t="s">
        <v>261</v>
      </c>
      <c r="E108" s="60">
        <v>-719245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-589003</v>
      </c>
      <c r="L108" s="60">
        <v>0</v>
      </c>
      <c r="M108" s="60">
        <v>0</v>
      </c>
      <c r="N108" s="60">
        <v>0</v>
      </c>
      <c r="O108" s="60">
        <v>-130242</v>
      </c>
    </row>
    <row r="109" spans="1:15" s="60" customFormat="1" ht="12.75">
      <c r="A109" s="12">
        <f t="shared" si="12"/>
        <v>102</v>
      </c>
      <c r="B109" s="157" t="s">
        <v>369</v>
      </c>
      <c r="C109" s="60" t="s">
        <v>304</v>
      </c>
      <c r="D109" s="159" t="s">
        <v>247</v>
      </c>
      <c r="E109" s="60">
        <v>-116304907</v>
      </c>
      <c r="F109" s="60">
        <v>-81072486.24984714</v>
      </c>
      <c r="G109" s="60">
        <v>-13613977.13652595</v>
      </c>
      <c r="H109" s="60">
        <v>-10919580.843804024</v>
      </c>
      <c r="I109" s="60">
        <v>-4210569.289853317</v>
      </c>
      <c r="J109" s="60">
        <v>-5974609.933627455</v>
      </c>
      <c r="K109" s="60">
        <v>0</v>
      </c>
      <c r="L109" s="60">
        <v>0</v>
      </c>
      <c r="M109" s="60">
        <v>-227.19307666612622</v>
      </c>
      <c r="N109" s="60">
        <v>-452682.20525725646</v>
      </c>
      <c r="O109" s="60">
        <v>-60774.14800818876</v>
      </c>
    </row>
    <row r="110" spans="1:15" s="60" customFormat="1" ht="12.75">
      <c r="A110" s="12">
        <f t="shared" si="12"/>
        <v>103</v>
      </c>
      <c r="B110" s="157" t="s">
        <v>370</v>
      </c>
      <c r="C110" s="60" t="s">
        <v>371</v>
      </c>
      <c r="D110" s="159" t="s">
        <v>250</v>
      </c>
      <c r="E110" s="60">
        <v>-57138763</v>
      </c>
      <c r="F110" s="60">
        <v>-28025909.805325314</v>
      </c>
      <c r="G110" s="60">
        <v>-6350561.772657316</v>
      </c>
      <c r="H110" s="60">
        <v>-7240036.754061339</v>
      </c>
      <c r="I110" s="60">
        <v>-4846863.627665468</v>
      </c>
      <c r="J110" s="60">
        <v>-3176719.672204411</v>
      </c>
      <c r="K110" s="60">
        <v>-1463719.8122317246</v>
      </c>
      <c r="L110" s="60">
        <v>-1175510.9512083929</v>
      </c>
      <c r="M110" s="60">
        <v>-4330899.04178287</v>
      </c>
      <c r="N110" s="60">
        <v>-195948.6993868234</v>
      </c>
      <c r="O110" s="60">
        <v>-332592.86347634037</v>
      </c>
    </row>
    <row r="111" spans="1:15" s="60" customFormat="1" ht="12.75">
      <c r="A111" s="12">
        <f t="shared" si="12"/>
        <v>104</v>
      </c>
      <c r="B111" s="157" t="s">
        <v>372</v>
      </c>
      <c r="C111" s="60" t="s">
        <v>373</v>
      </c>
      <c r="D111" s="159" t="s">
        <v>249</v>
      </c>
      <c r="E111" s="60">
        <v>-157153224</v>
      </c>
      <c r="F111" s="60">
        <v>-108329008.32547244</v>
      </c>
      <c r="G111" s="60">
        <v>-17275416.920504764</v>
      </c>
      <c r="H111" s="60">
        <v>-15815829.77284885</v>
      </c>
      <c r="I111" s="60">
        <v>-7628076.574265099</v>
      </c>
      <c r="J111" s="60">
        <v>-7146702.584122499</v>
      </c>
      <c r="K111" s="60">
        <v>0</v>
      </c>
      <c r="L111" s="60">
        <v>0</v>
      </c>
      <c r="M111" s="60">
        <v>-25558.240261206636</v>
      </c>
      <c r="N111" s="60">
        <v>-901538.4367296966</v>
      </c>
      <c r="O111" s="60">
        <v>-31093.145795480683</v>
      </c>
    </row>
    <row r="112" spans="1:15" s="60" customFormat="1" ht="12.75">
      <c r="A112" s="12">
        <f t="shared" si="12"/>
        <v>105</v>
      </c>
      <c r="B112" s="157" t="s">
        <v>374</v>
      </c>
      <c r="C112" s="60" t="s">
        <v>375</v>
      </c>
      <c r="D112" s="159" t="s">
        <v>250</v>
      </c>
      <c r="E112" s="60">
        <v>-438675</v>
      </c>
      <c r="F112" s="60">
        <v>-215165.070756801</v>
      </c>
      <c r="G112" s="60">
        <v>-48755.56521271642</v>
      </c>
      <c r="H112" s="60">
        <v>-55584.38713641487</v>
      </c>
      <c r="I112" s="60">
        <v>-37211.12936704893</v>
      </c>
      <c r="J112" s="60">
        <v>-24388.828687178095</v>
      </c>
      <c r="K112" s="60">
        <v>-11237.507690370403</v>
      </c>
      <c r="L112" s="60">
        <v>-9024.823770184554</v>
      </c>
      <c r="M112" s="60">
        <v>-33249.88217112961</v>
      </c>
      <c r="N112" s="60">
        <v>-1504.3692091044175</v>
      </c>
      <c r="O112" s="60">
        <v>-2553.435999051705</v>
      </c>
    </row>
    <row r="113" spans="1:15" s="60" customFormat="1" ht="12.75">
      <c r="A113" s="12">
        <f t="shared" si="12"/>
        <v>106</v>
      </c>
      <c r="B113" s="157" t="s">
        <v>376</v>
      </c>
      <c r="C113" s="60" t="s">
        <v>377</v>
      </c>
      <c r="D113" s="159" t="s">
        <v>262</v>
      </c>
      <c r="E113" s="60">
        <v>-7184666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-6206884</v>
      </c>
      <c r="L113" s="60">
        <v>-613008</v>
      </c>
      <c r="M113" s="60">
        <v>-247747</v>
      </c>
      <c r="N113" s="60">
        <v>0</v>
      </c>
      <c r="O113" s="60">
        <v>-117027</v>
      </c>
    </row>
    <row r="114" spans="1:15" s="60" customFormat="1" ht="12.75">
      <c r="A114" s="12">
        <f t="shared" si="12"/>
        <v>107</v>
      </c>
      <c r="B114" s="157" t="s">
        <v>378</v>
      </c>
      <c r="C114" s="60" t="s">
        <v>379</v>
      </c>
      <c r="D114" s="159" t="s">
        <v>249</v>
      </c>
      <c r="E114" s="60">
        <v>-206890709</v>
      </c>
      <c r="F114" s="60">
        <v>-142614098.31289172</v>
      </c>
      <c r="G114" s="60">
        <v>-22742920.34221218</v>
      </c>
      <c r="H114" s="60">
        <v>-20821387.890381474</v>
      </c>
      <c r="I114" s="60">
        <v>-10042289.496752528</v>
      </c>
      <c r="J114" s="60">
        <v>-9408565.26520408</v>
      </c>
      <c r="K114" s="60">
        <v>0</v>
      </c>
      <c r="L114" s="60">
        <v>0</v>
      </c>
      <c r="M114" s="60">
        <v>-33647.17766422269</v>
      </c>
      <c r="N114" s="60">
        <v>-1186866.687289588</v>
      </c>
      <c r="O114" s="60">
        <v>-40933.827604245445</v>
      </c>
    </row>
    <row r="115" spans="1:15" s="60" customFormat="1" ht="12.75">
      <c r="A115" s="12">
        <f t="shared" si="12"/>
        <v>108</v>
      </c>
      <c r="B115" s="157" t="s">
        <v>380</v>
      </c>
      <c r="C115" s="60" t="s">
        <v>381</v>
      </c>
      <c r="D115" s="159" t="s">
        <v>250</v>
      </c>
      <c r="E115" s="60">
        <v>-1822271</v>
      </c>
      <c r="F115" s="60">
        <v>-893803.0857766377</v>
      </c>
      <c r="G115" s="60">
        <v>-202532.2905926756</v>
      </c>
      <c r="H115" s="60">
        <v>-230899.45114597792</v>
      </c>
      <c r="I115" s="60">
        <v>-154576.30802489683</v>
      </c>
      <c r="J115" s="60">
        <v>-101312.03109503098</v>
      </c>
      <c r="K115" s="60">
        <v>-46680.9924806268</v>
      </c>
      <c r="L115" s="60">
        <v>-37489.427563727084</v>
      </c>
      <c r="M115" s="60">
        <v>-138121.15127113817</v>
      </c>
      <c r="N115" s="60">
        <v>-6249.2013063063</v>
      </c>
      <c r="O115" s="60">
        <v>-10607.060742982732</v>
      </c>
    </row>
    <row r="116" spans="1:15" s="60" customFormat="1" ht="12.75">
      <c r="A116" s="12">
        <f t="shared" si="12"/>
        <v>109</v>
      </c>
      <c r="B116" s="157" t="s">
        <v>382</v>
      </c>
      <c r="C116" s="60" t="s">
        <v>383</v>
      </c>
      <c r="D116" s="159" t="s">
        <v>235</v>
      </c>
      <c r="E116" s="60">
        <v>-127578226</v>
      </c>
      <c r="F116" s="60">
        <v>-86735142.47704123</v>
      </c>
      <c r="G116" s="60">
        <v>-22384774.08865521</v>
      </c>
      <c r="H116" s="60">
        <v>-13868985.245054645</v>
      </c>
      <c r="I116" s="60">
        <v>-3097554.6497148494</v>
      </c>
      <c r="J116" s="60">
        <v>-379539.44915834605</v>
      </c>
      <c r="K116" s="60">
        <v>-1038410.861964476</v>
      </c>
      <c r="L116" s="60">
        <v>0</v>
      </c>
      <c r="M116" s="60">
        <v>0</v>
      </c>
      <c r="N116" s="60">
        <v>-67368.88399751135</v>
      </c>
      <c r="O116" s="60">
        <v>-6450.34441372921</v>
      </c>
    </row>
    <row r="117" spans="1:15" s="60" customFormat="1" ht="12.75">
      <c r="A117" s="12">
        <f t="shared" si="12"/>
        <v>110</v>
      </c>
      <c r="B117" s="157" t="s">
        <v>384</v>
      </c>
      <c r="C117" s="60" t="s">
        <v>385</v>
      </c>
      <c r="D117" s="159" t="s">
        <v>263</v>
      </c>
      <c r="E117" s="60">
        <v>-96322602</v>
      </c>
      <c r="F117" s="60">
        <v>-93245459.31207536</v>
      </c>
      <c r="G117" s="60">
        <v>-2953984.2099551335</v>
      </c>
      <c r="H117" s="60">
        <v>-121835.37883285455</v>
      </c>
      <c r="I117" s="60">
        <v>-1323.099136646384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0">
        <v>0</v>
      </c>
    </row>
    <row r="118" spans="1:15" s="60" customFormat="1" ht="12.75">
      <c r="A118" s="12">
        <f t="shared" si="12"/>
        <v>111</v>
      </c>
      <c r="B118" s="157" t="s">
        <v>386</v>
      </c>
      <c r="C118" s="60" t="s">
        <v>320</v>
      </c>
      <c r="D118" s="159" t="s">
        <v>224</v>
      </c>
      <c r="E118" s="60">
        <v>-39164983</v>
      </c>
      <c r="F118" s="60">
        <v>-21622827.63918102</v>
      </c>
      <c r="G118" s="60">
        <v>-8540237.749823758</v>
      </c>
      <c r="H118" s="60">
        <v>-2946569.626812504</v>
      </c>
      <c r="I118" s="60">
        <v>-322574.58768831013</v>
      </c>
      <c r="J118" s="60">
        <v>-5183224.749697073</v>
      </c>
      <c r="K118" s="60">
        <v>-244291.09516050867</v>
      </c>
      <c r="L118" s="60">
        <v>-155437.65225760994</v>
      </c>
      <c r="M118" s="60">
        <v>-83785.12110744437</v>
      </c>
      <c r="N118" s="60">
        <v>0</v>
      </c>
      <c r="O118" s="60">
        <v>-66034.77827177003</v>
      </c>
    </row>
    <row r="119" spans="1:15" s="60" customFormat="1" ht="12.75">
      <c r="A119" s="12">
        <f t="shared" si="12"/>
        <v>112</v>
      </c>
      <c r="B119" s="157" t="s">
        <v>387</v>
      </c>
      <c r="C119" s="60" t="s">
        <v>321</v>
      </c>
      <c r="D119" s="159" t="s">
        <v>256</v>
      </c>
      <c r="E119" s="60">
        <v>-787079</v>
      </c>
      <c r="F119" s="60">
        <v>-780197.1612846402</v>
      </c>
      <c r="G119" s="60">
        <v>-6881.838715359804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0</v>
      </c>
    </row>
    <row r="120" spans="1:15" s="60" customFormat="1" ht="12.75">
      <c r="A120" s="12">
        <f t="shared" si="12"/>
        <v>113</v>
      </c>
      <c r="B120" s="157" t="s">
        <v>388</v>
      </c>
      <c r="C120" s="60" t="s">
        <v>322</v>
      </c>
      <c r="D120" s="159" t="s">
        <v>205</v>
      </c>
      <c r="E120" s="60">
        <v>-13284831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-13284831</v>
      </c>
      <c r="O120" s="60">
        <v>0</v>
      </c>
    </row>
    <row r="121" spans="1:15" s="60" customFormat="1" ht="12.75">
      <c r="A121" s="12">
        <f t="shared" si="12"/>
        <v>114</v>
      </c>
      <c r="B121" s="157" t="s">
        <v>389</v>
      </c>
      <c r="C121" s="60" t="s">
        <v>323</v>
      </c>
      <c r="D121" s="159" t="s">
        <v>208</v>
      </c>
      <c r="E121" s="60">
        <v>-3535491</v>
      </c>
      <c r="F121" s="60">
        <v>-2321345.3676517503</v>
      </c>
      <c r="G121" s="60">
        <v>-391570.9752186222</v>
      </c>
      <c r="H121" s="60">
        <v>-357908.57496409223</v>
      </c>
      <c r="I121" s="60">
        <v>-175416.51669538132</v>
      </c>
      <c r="J121" s="60">
        <v>-169394.75827054516</v>
      </c>
      <c r="K121" s="60">
        <v>-46349.21385342245</v>
      </c>
      <c r="L121" s="60">
        <v>-13247.723231669665</v>
      </c>
      <c r="M121" s="60">
        <v>-37992.57620356126</v>
      </c>
      <c r="N121" s="60">
        <v>-17199.28021442896</v>
      </c>
      <c r="O121" s="60">
        <v>-5066.013696526707</v>
      </c>
    </row>
    <row r="122" spans="1:15" s="60" customFormat="1" ht="12.75">
      <c r="A122" s="87">
        <f>+A121+1</f>
        <v>115</v>
      </c>
      <c r="B122" s="161"/>
      <c r="C122" s="162" t="s">
        <v>284</v>
      </c>
      <c r="D122" s="163"/>
      <c r="E122" s="162">
        <f aca="true" t="shared" si="13" ref="E122:O122">SUM(E97:E121)</f>
        <v>-1127842049</v>
      </c>
      <c r="F122" s="162">
        <f t="shared" si="13"/>
        <v>-731527475.6340252</v>
      </c>
      <c r="G122" s="162">
        <f t="shared" si="13"/>
        <v>-129883084.23243135</v>
      </c>
      <c r="H122" s="162">
        <f t="shared" si="13"/>
        <v>-107312541.3537534</v>
      </c>
      <c r="I122" s="162">
        <f t="shared" si="13"/>
        <v>-51460717.076201215</v>
      </c>
      <c r="J122" s="162">
        <f t="shared" si="13"/>
        <v>-50324632.63569489</v>
      </c>
      <c r="K122" s="162">
        <f t="shared" si="13"/>
        <v>-14647519.452495428</v>
      </c>
      <c r="L122" s="162">
        <f t="shared" si="13"/>
        <v>-7205922.017341437</v>
      </c>
      <c r="M122" s="162">
        <f t="shared" si="13"/>
        <v>-16682578.027280312</v>
      </c>
      <c r="N122" s="162">
        <f t="shared" si="13"/>
        <v>-17228145.53774099</v>
      </c>
      <c r="O122" s="162">
        <f t="shared" si="13"/>
        <v>-1569433.0330357803</v>
      </c>
    </row>
    <row r="123" spans="1:4" s="60" customFormat="1" ht="12.75">
      <c r="A123" s="12">
        <f t="shared" si="12"/>
        <v>116</v>
      </c>
      <c r="B123" s="157"/>
      <c r="D123" s="3"/>
    </row>
    <row r="124" spans="1:4" s="60" customFormat="1" ht="12.75">
      <c r="A124" s="12">
        <f t="shared" si="12"/>
        <v>117</v>
      </c>
      <c r="B124" s="157"/>
      <c r="C124" s="5" t="s">
        <v>97</v>
      </c>
      <c r="D124" s="3"/>
    </row>
    <row r="125" spans="1:15" s="60" customFormat="1" ht="12.75">
      <c r="A125" s="12">
        <f t="shared" si="12"/>
        <v>118</v>
      </c>
      <c r="B125" s="157">
        <v>108.06</v>
      </c>
      <c r="C125" s="60" t="s">
        <v>390</v>
      </c>
      <c r="D125" s="159" t="s">
        <v>209</v>
      </c>
      <c r="E125" s="60">
        <v>-238409255</v>
      </c>
      <c r="F125" s="60">
        <v>-144317525.6270203</v>
      </c>
      <c r="G125" s="60">
        <v>-28175483.58128065</v>
      </c>
      <c r="H125" s="60">
        <v>-25711796.875384655</v>
      </c>
      <c r="I125" s="60">
        <v>-15566559.086747153</v>
      </c>
      <c r="J125" s="60">
        <v>-11372346.20163996</v>
      </c>
      <c r="K125" s="60">
        <v>-4753260.688492375</v>
      </c>
      <c r="L125" s="60">
        <v>-3442057.8487367057</v>
      </c>
      <c r="M125" s="60">
        <v>-2316183.6272295085</v>
      </c>
      <c r="N125" s="60">
        <v>-2510183.629144759</v>
      </c>
      <c r="O125" s="60">
        <v>-243857.83432394746</v>
      </c>
    </row>
    <row r="126" spans="1:15" s="60" customFormat="1" ht="12.75">
      <c r="A126" s="12">
        <f t="shared" si="12"/>
        <v>119</v>
      </c>
      <c r="B126" s="157">
        <v>108.07</v>
      </c>
      <c r="C126" s="60" t="s">
        <v>391</v>
      </c>
      <c r="D126" s="159" t="s">
        <v>232</v>
      </c>
      <c r="E126" s="60">
        <v>-339865</v>
      </c>
      <c r="F126" s="60">
        <v>-199587.77973475622</v>
      </c>
      <c r="G126" s="60">
        <v>-40707.2544252372</v>
      </c>
      <c r="H126" s="60">
        <v>-39934.07628395329</v>
      </c>
      <c r="I126" s="60">
        <v>-23557.274172751502</v>
      </c>
      <c r="J126" s="60">
        <v>-18043.92460900045</v>
      </c>
      <c r="K126" s="60">
        <v>-6877.385338338417</v>
      </c>
      <c r="L126" s="60">
        <v>-4830.115852969284</v>
      </c>
      <c r="M126" s="60">
        <v>-3028.2426577869523</v>
      </c>
      <c r="N126" s="60">
        <v>-2951.1126946772793</v>
      </c>
      <c r="O126" s="60">
        <v>-347.8342305293887</v>
      </c>
    </row>
    <row r="127" spans="1:15" s="60" customFormat="1" ht="12.75">
      <c r="A127" s="87">
        <f t="shared" si="12"/>
        <v>120</v>
      </c>
      <c r="B127" s="161"/>
      <c r="C127" s="162" t="s">
        <v>284</v>
      </c>
      <c r="D127" s="163"/>
      <c r="E127" s="162">
        <f aca="true" t="shared" si="14" ref="E127:O127">SUM(E125:E126)</f>
        <v>-238749120</v>
      </c>
      <c r="F127" s="162">
        <f t="shared" si="14"/>
        <v>-144517113.40675506</v>
      </c>
      <c r="G127" s="162">
        <f t="shared" si="14"/>
        <v>-28216190.835705888</v>
      </c>
      <c r="H127" s="162">
        <f t="shared" si="14"/>
        <v>-25751730.95166861</v>
      </c>
      <c r="I127" s="162">
        <f t="shared" si="14"/>
        <v>-15590116.360919904</v>
      </c>
      <c r="J127" s="162">
        <f t="shared" si="14"/>
        <v>-11390390.12624896</v>
      </c>
      <c r="K127" s="162">
        <f t="shared" si="14"/>
        <v>-4760138.0738307135</v>
      </c>
      <c r="L127" s="162">
        <f t="shared" si="14"/>
        <v>-3446887.964589675</v>
      </c>
      <c r="M127" s="162">
        <f t="shared" si="14"/>
        <v>-2319211.8698872956</v>
      </c>
      <c r="N127" s="162">
        <f t="shared" si="14"/>
        <v>-2513134.7418394363</v>
      </c>
      <c r="O127" s="162">
        <f t="shared" si="14"/>
        <v>-244205.66855447684</v>
      </c>
    </row>
    <row r="128" spans="1:15" s="60" customFormat="1" ht="13.5">
      <c r="A128" s="12">
        <f t="shared" si="12"/>
        <v>121</v>
      </c>
      <c r="B128" s="164"/>
      <c r="C128" s="165"/>
      <c r="D128" s="3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</row>
    <row r="129" spans="1:15" s="169" customFormat="1" ht="12.75">
      <c r="A129" s="87">
        <f t="shared" si="12"/>
        <v>122</v>
      </c>
      <c r="B129" s="166"/>
      <c r="C129" s="168" t="s">
        <v>392</v>
      </c>
      <c r="D129" s="42"/>
      <c r="E129" s="168">
        <v>-2596670252</v>
      </c>
      <c r="F129" s="168">
        <v>-1531743705.1235447</v>
      </c>
      <c r="G129" s="168">
        <v>-306543849.33693004</v>
      </c>
      <c r="H129" s="168">
        <v>-301756842.933519</v>
      </c>
      <c r="I129" s="168">
        <v>-179785835.8863218</v>
      </c>
      <c r="J129" s="168">
        <v>-135900615.97475237</v>
      </c>
      <c r="K129" s="168">
        <v>-53460229.66863028</v>
      </c>
      <c r="L129" s="168">
        <v>-37948805.41228025</v>
      </c>
      <c r="M129" s="168">
        <v>-22542265.618200894</v>
      </c>
      <c r="N129" s="168">
        <v>-24489835.252870623</v>
      </c>
      <c r="O129" s="168">
        <v>-2498266.7929503955</v>
      </c>
    </row>
    <row r="130" ht="12.75">
      <c r="A130" s="12">
        <f t="shared" si="12"/>
        <v>123</v>
      </c>
    </row>
    <row r="131" spans="1:3" ht="15.75">
      <c r="A131" s="12">
        <f t="shared" si="12"/>
        <v>124</v>
      </c>
      <c r="C131" s="158" t="s">
        <v>393</v>
      </c>
    </row>
    <row r="132" spans="1:4" s="60" customFormat="1" ht="12.75">
      <c r="A132" s="12">
        <f t="shared" si="12"/>
        <v>125</v>
      </c>
      <c r="B132" s="157"/>
      <c r="C132" s="5" t="s">
        <v>80</v>
      </c>
      <c r="D132" s="3"/>
    </row>
    <row r="133" spans="1:15" s="60" customFormat="1" ht="12.75">
      <c r="A133" s="12">
        <f t="shared" si="12"/>
        <v>126</v>
      </c>
      <c r="B133" s="157" t="s">
        <v>394</v>
      </c>
      <c r="C133" s="60" t="s">
        <v>395</v>
      </c>
      <c r="D133" s="159" t="s">
        <v>264</v>
      </c>
      <c r="E133" s="60">
        <v>130674250</v>
      </c>
      <c r="F133" s="60">
        <v>76752954.71045314</v>
      </c>
      <c r="G133" s="60">
        <v>15646594.169005863</v>
      </c>
      <c r="H133" s="60">
        <v>15338105.164729191</v>
      </c>
      <c r="I133" s="60">
        <v>9066243.9126003</v>
      </c>
      <c r="J133" s="60">
        <v>6924587.677590497</v>
      </c>
      <c r="K133" s="60">
        <v>2651263.769579289</v>
      </c>
      <c r="L133" s="60">
        <v>1866721.4432994733</v>
      </c>
      <c r="M133" s="60">
        <v>1158070.8369277045</v>
      </c>
      <c r="N133" s="60">
        <v>1136685.4502885048</v>
      </c>
      <c r="O133" s="60">
        <v>133022.86552604017</v>
      </c>
    </row>
    <row r="134" spans="1:15" s="60" customFormat="1" ht="12.75">
      <c r="A134" s="87">
        <f t="shared" si="12"/>
        <v>127</v>
      </c>
      <c r="B134" s="161"/>
      <c r="C134" s="162" t="s">
        <v>284</v>
      </c>
      <c r="D134" s="42"/>
      <c r="E134" s="162">
        <f aca="true" t="shared" si="15" ref="E134:O134">SUM(E133)</f>
        <v>130674250</v>
      </c>
      <c r="F134" s="162">
        <f t="shared" si="15"/>
        <v>76752954.71045314</v>
      </c>
      <c r="G134" s="162">
        <f t="shared" si="15"/>
        <v>15646594.169005863</v>
      </c>
      <c r="H134" s="162">
        <f t="shared" si="15"/>
        <v>15338105.164729191</v>
      </c>
      <c r="I134" s="162">
        <f t="shared" si="15"/>
        <v>9066243.9126003</v>
      </c>
      <c r="J134" s="162">
        <f t="shared" si="15"/>
        <v>6924587.677590497</v>
      </c>
      <c r="K134" s="162">
        <f t="shared" si="15"/>
        <v>2651263.769579289</v>
      </c>
      <c r="L134" s="162">
        <f t="shared" si="15"/>
        <v>1866721.4432994733</v>
      </c>
      <c r="M134" s="162">
        <f t="shared" si="15"/>
        <v>1158070.8369277045</v>
      </c>
      <c r="N134" s="162">
        <f t="shared" si="15"/>
        <v>1136685.4502885048</v>
      </c>
      <c r="O134" s="162">
        <f t="shared" si="15"/>
        <v>133022.86552604017</v>
      </c>
    </row>
    <row r="135" spans="1:4" s="60" customFormat="1" ht="12.75">
      <c r="A135" s="12">
        <f aca="true" t="shared" si="16" ref="A135:A150">+A134+1</f>
        <v>128</v>
      </c>
      <c r="B135" s="157"/>
      <c r="D135" s="3"/>
    </row>
    <row r="136" spans="1:15" s="60" customFormat="1" ht="12.75">
      <c r="A136" s="12">
        <f t="shared" si="16"/>
        <v>129</v>
      </c>
      <c r="B136" s="157"/>
      <c r="C136" s="5" t="s">
        <v>81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s="60" customFormat="1" ht="12.75">
      <c r="A137" s="12">
        <f t="shared" si="16"/>
        <v>130</v>
      </c>
      <c r="B137" s="157">
        <v>182.01</v>
      </c>
      <c r="C137" s="60" t="s">
        <v>396</v>
      </c>
      <c r="D137" s="159" t="s">
        <v>206</v>
      </c>
      <c r="E137" s="60">
        <v>136695788</v>
      </c>
      <c r="F137" s="60">
        <v>72874129.62147306</v>
      </c>
      <c r="G137" s="60">
        <v>16549305.679210525</v>
      </c>
      <c r="H137" s="60">
        <v>18877535.352341373</v>
      </c>
      <c r="I137" s="60">
        <v>12646115.675457194</v>
      </c>
      <c r="J137" s="60">
        <v>8298154.302981336</v>
      </c>
      <c r="K137" s="60">
        <v>3821714.8776159985</v>
      </c>
      <c r="L137" s="60">
        <v>3070096.180721167</v>
      </c>
      <c r="M137" s="60">
        <v>0</v>
      </c>
      <c r="N137" s="60">
        <v>511127.41540278104</v>
      </c>
      <c r="O137" s="60">
        <v>47608.89479658382</v>
      </c>
    </row>
    <row r="138" spans="1:15" s="60" customFormat="1" ht="12.75">
      <c r="A138" s="12">
        <f t="shared" si="16"/>
        <v>131</v>
      </c>
      <c r="B138" s="157">
        <v>182.02</v>
      </c>
      <c r="C138" s="60" t="s">
        <v>397</v>
      </c>
      <c r="D138" s="159" t="s">
        <v>206</v>
      </c>
      <c r="E138" s="60">
        <v>6017545</v>
      </c>
      <c r="F138" s="60">
        <v>3208023.895608598</v>
      </c>
      <c r="G138" s="60">
        <v>728524.2149773106</v>
      </c>
      <c r="H138" s="60">
        <v>831016.2305206144</v>
      </c>
      <c r="I138" s="60">
        <v>556700.182687919</v>
      </c>
      <c r="J138" s="60">
        <v>365296.6756747019</v>
      </c>
      <c r="K138" s="60">
        <v>168237.38016875662</v>
      </c>
      <c r="L138" s="60">
        <v>135150.04516318932</v>
      </c>
      <c r="M138" s="60">
        <v>0</v>
      </c>
      <c r="N138" s="60">
        <v>22500.563242811313</v>
      </c>
      <c r="O138" s="60">
        <v>2095.811956098523</v>
      </c>
    </row>
    <row r="139" spans="1:15" s="60" customFormat="1" ht="12.75">
      <c r="A139" s="12">
        <f t="shared" si="16"/>
        <v>132</v>
      </c>
      <c r="B139" s="157">
        <v>182.03</v>
      </c>
      <c r="C139" s="60" t="s">
        <v>398</v>
      </c>
      <c r="D139" s="159" t="s">
        <v>232</v>
      </c>
      <c r="E139" s="60">
        <v>35858600</v>
      </c>
      <c r="F139" s="60">
        <v>21058180.037358154</v>
      </c>
      <c r="G139" s="60">
        <v>4294955.801664811</v>
      </c>
      <c r="H139" s="60">
        <v>4213379.041195085</v>
      </c>
      <c r="I139" s="60">
        <v>2485489.449196084</v>
      </c>
      <c r="J139" s="60">
        <v>1903784.95868743</v>
      </c>
      <c r="K139" s="60">
        <v>725621.6729976371</v>
      </c>
      <c r="L139" s="60">
        <v>509617.6197174889</v>
      </c>
      <c r="M139" s="60">
        <v>319504.9274521331</v>
      </c>
      <c r="N139" s="60">
        <v>311367.0712587489</v>
      </c>
      <c r="O139" s="60">
        <v>36699.42047242622</v>
      </c>
    </row>
    <row r="140" spans="1:15" s="60" customFormat="1" ht="12.75">
      <c r="A140" s="12">
        <f t="shared" si="16"/>
        <v>133</v>
      </c>
      <c r="B140" s="157">
        <v>282</v>
      </c>
      <c r="C140" s="60" t="s">
        <v>399</v>
      </c>
      <c r="D140" s="159" t="s">
        <v>200</v>
      </c>
      <c r="E140" s="60">
        <v>-63728155</v>
      </c>
      <c r="F140" s="60">
        <v>-33974227.70632352</v>
      </c>
      <c r="G140" s="60">
        <v>-7715356.360995619</v>
      </c>
      <c r="H140" s="60">
        <v>-8800786.890024662</v>
      </c>
      <c r="I140" s="60">
        <v>-5895672.659010281</v>
      </c>
      <c r="J140" s="60">
        <v>-3868634.662205623</v>
      </c>
      <c r="K140" s="60">
        <v>-1781699.6532952306</v>
      </c>
      <c r="L140" s="60">
        <v>-1431291.8351947062</v>
      </c>
      <c r="M140" s="60">
        <v>0</v>
      </c>
      <c r="N140" s="60">
        <v>-238289.7646673489</v>
      </c>
      <c r="O140" s="60">
        <v>-22195.4682830124</v>
      </c>
    </row>
    <row r="141" spans="1:15" s="60" customFormat="1" ht="12.75">
      <c r="A141" s="12">
        <f t="shared" si="16"/>
        <v>134</v>
      </c>
      <c r="B141" s="157">
        <v>282.01</v>
      </c>
      <c r="C141" s="60" t="s">
        <v>400</v>
      </c>
      <c r="D141" s="159" t="s">
        <v>237</v>
      </c>
      <c r="E141" s="60">
        <v>292792</v>
      </c>
      <c r="F141" s="60">
        <v>183727.16741718247</v>
      </c>
      <c r="G141" s="60">
        <v>34815.86371572632</v>
      </c>
      <c r="H141" s="60">
        <v>29986.736237797268</v>
      </c>
      <c r="I141" s="60">
        <v>15156.166735166491</v>
      </c>
      <c r="J141" s="60">
        <v>13956.199990025287</v>
      </c>
      <c r="K141" s="60">
        <v>4189.494900311578</v>
      </c>
      <c r="L141" s="60">
        <v>2294.661826361798</v>
      </c>
      <c r="M141" s="60">
        <v>4600.042000468323</v>
      </c>
      <c r="N141" s="60">
        <v>3613.6449577649</v>
      </c>
      <c r="O141" s="60">
        <v>452.02221919558053</v>
      </c>
    </row>
    <row r="142" spans="1:15" s="60" customFormat="1" ht="12.75">
      <c r="A142" s="12">
        <f t="shared" si="16"/>
        <v>135</v>
      </c>
      <c r="B142" s="157">
        <v>282.02</v>
      </c>
      <c r="C142" s="60" t="s">
        <v>401</v>
      </c>
      <c r="D142" s="159" t="s">
        <v>232</v>
      </c>
      <c r="E142" s="60">
        <v>-487686201</v>
      </c>
      <c r="F142" s="60">
        <v>-286396675.34129155</v>
      </c>
      <c r="G142" s="60">
        <v>-58412505.74135132</v>
      </c>
      <c r="H142" s="60">
        <v>-57303040.77608868</v>
      </c>
      <c r="I142" s="60">
        <v>-33803297.036248505</v>
      </c>
      <c r="J142" s="60">
        <v>-25891966.056210075</v>
      </c>
      <c r="K142" s="60">
        <v>-9868641.750304863</v>
      </c>
      <c r="L142" s="60">
        <v>-6930930.960011959</v>
      </c>
      <c r="M142" s="60">
        <v>-4345349.351896375</v>
      </c>
      <c r="N142" s="60">
        <v>-4234672.41048662</v>
      </c>
      <c r="O142" s="60">
        <v>-499121.57611003134</v>
      </c>
    </row>
    <row r="143" spans="1:15" s="60" customFormat="1" ht="12.75">
      <c r="A143" s="12">
        <f t="shared" si="16"/>
        <v>136</v>
      </c>
      <c r="B143" s="157">
        <v>235</v>
      </c>
      <c r="C143" s="60" t="s">
        <v>402</v>
      </c>
      <c r="D143" s="159" t="s">
        <v>265</v>
      </c>
      <c r="E143" s="60">
        <v>-15143164</v>
      </c>
      <c r="F143" s="60">
        <v>-13116053.489654908</v>
      </c>
      <c r="G143" s="60">
        <v>-1415008.5304628427</v>
      </c>
      <c r="H143" s="60">
        <v>-492282.38714845607</v>
      </c>
      <c r="I143" s="60">
        <v>-90015.71682659422</v>
      </c>
      <c r="J143" s="60">
        <v>-29434.2094399641</v>
      </c>
      <c r="K143" s="60">
        <v>0</v>
      </c>
      <c r="L143" s="60">
        <v>0</v>
      </c>
      <c r="M143" s="60">
        <v>0</v>
      </c>
      <c r="N143" s="60">
        <v>-369.66646723567726</v>
      </c>
      <c r="O143" s="60">
        <v>0</v>
      </c>
    </row>
    <row r="144" spans="1:15" s="60" customFormat="1" ht="12.75">
      <c r="A144" s="12">
        <f t="shared" si="16"/>
        <v>137</v>
      </c>
      <c r="B144" s="157">
        <v>252</v>
      </c>
      <c r="C144" s="60" t="s">
        <v>403</v>
      </c>
      <c r="D144" s="159" t="s">
        <v>266</v>
      </c>
      <c r="E144" s="60">
        <v>-73838784</v>
      </c>
      <c r="F144" s="60">
        <v>-55864735.9318416</v>
      </c>
      <c r="G144" s="60">
        <v>-16628403.793055657</v>
      </c>
      <c r="H144" s="60">
        <v>-1225849.114648475</v>
      </c>
      <c r="I144" s="60">
        <v>-119795.16045426867</v>
      </c>
      <c r="J144" s="60">
        <v>0</v>
      </c>
      <c r="K144" s="60">
        <v>0</v>
      </c>
      <c r="L144" s="60">
        <v>0</v>
      </c>
      <c r="M144" s="60">
        <v>0</v>
      </c>
      <c r="N144" s="60">
        <v>0</v>
      </c>
      <c r="O144" s="60">
        <v>0</v>
      </c>
    </row>
    <row r="145" spans="1:15" s="60" customFormat="1" ht="12.75">
      <c r="A145" s="12">
        <f t="shared" si="16"/>
        <v>138</v>
      </c>
      <c r="B145" s="157">
        <v>253</v>
      </c>
      <c r="C145" s="60" t="s">
        <v>404</v>
      </c>
      <c r="D145" s="159" t="s">
        <v>206</v>
      </c>
      <c r="E145" s="60">
        <v>-764730</v>
      </c>
      <c r="F145" s="60">
        <v>-407686.5422175926</v>
      </c>
      <c r="G145" s="60">
        <v>-92583.32474781641</v>
      </c>
      <c r="H145" s="60">
        <v>-105608.35722309173</v>
      </c>
      <c r="I145" s="60">
        <v>-70747.34475719456</v>
      </c>
      <c r="J145" s="60">
        <v>-46423.138803069174</v>
      </c>
      <c r="K145" s="60">
        <v>-21380.176091155656</v>
      </c>
      <c r="L145" s="60">
        <v>-17175.325491981494</v>
      </c>
      <c r="M145" s="60">
        <v>0</v>
      </c>
      <c r="N145" s="60">
        <v>-2859.4477862110043</v>
      </c>
      <c r="O145" s="60">
        <v>-266.3428818874181</v>
      </c>
    </row>
    <row r="146" spans="1:15" s="60" customFormat="1" ht="12.75">
      <c r="A146" s="87">
        <f>+A145+1</f>
        <v>139</v>
      </c>
      <c r="B146" s="161"/>
      <c r="C146" s="162" t="s">
        <v>284</v>
      </c>
      <c r="D146" s="42"/>
      <c r="E146" s="162">
        <f aca="true" t="shared" si="17" ref="E146:O146">SUM(E137:E145)</f>
        <v>-462296309</v>
      </c>
      <c r="F146" s="162">
        <f t="shared" si="17"/>
        <v>-292435318.28947216</v>
      </c>
      <c r="G146" s="162">
        <f t="shared" si="17"/>
        <v>-62656256.19104488</v>
      </c>
      <c r="H146" s="162">
        <f t="shared" si="17"/>
        <v>-43975650.16483849</v>
      </c>
      <c r="I146" s="162">
        <f t="shared" si="17"/>
        <v>-24276066.44322048</v>
      </c>
      <c r="J146" s="162">
        <f t="shared" si="17"/>
        <v>-19255265.929325238</v>
      </c>
      <c r="K146" s="162">
        <f t="shared" si="17"/>
        <v>-6951958.154008546</v>
      </c>
      <c r="L146" s="162">
        <f t="shared" si="17"/>
        <v>-4662239.613270439</v>
      </c>
      <c r="M146" s="162">
        <f t="shared" si="17"/>
        <v>-4021244.382443774</v>
      </c>
      <c r="N146" s="162">
        <f t="shared" si="17"/>
        <v>-3627582.59454531</v>
      </c>
      <c r="O146" s="162">
        <f t="shared" si="17"/>
        <v>-434727.237830627</v>
      </c>
    </row>
    <row r="147" spans="1:15" s="60" customFormat="1" ht="12.75">
      <c r="A147" s="12">
        <f t="shared" si="16"/>
        <v>140</v>
      </c>
      <c r="B147" s="15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s="169" customFormat="1" ht="12.75">
      <c r="A148" s="87">
        <f t="shared" si="16"/>
        <v>141</v>
      </c>
      <c r="B148" s="166"/>
      <c r="C148" s="168" t="s">
        <v>405</v>
      </c>
      <c r="D148" s="42"/>
      <c r="E148" s="168">
        <f aca="true" t="shared" si="18" ref="E148:O148">SUM(E146,E134)</f>
        <v>-331622059</v>
      </c>
      <c r="F148" s="168">
        <f t="shared" si="18"/>
        <v>-215682363.579019</v>
      </c>
      <c r="G148" s="168">
        <f t="shared" si="18"/>
        <v>-47009662.02203902</v>
      </c>
      <c r="H148" s="168">
        <f t="shared" si="18"/>
        <v>-28637545.0001093</v>
      </c>
      <c r="I148" s="168">
        <f t="shared" si="18"/>
        <v>-15209822.530620182</v>
      </c>
      <c r="J148" s="168">
        <f t="shared" si="18"/>
        <v>-12330678.251734741</v>
      </c>
      <c r="K148" s="168">
        <f t="shared" si="18"/>
        <v>-4300694.384429257</v>
      </c>
      <c r="L148" s="168">
        <f t="shared" si="18"/>
        <v>-2795518.169970966</v>
      </c>
      <c r="M148" s="168">
        <f t="shared" si="18"/>
        <v>-2863173.5455160695</v>
      </c>
      <c r="N148" s="168">
        <f t="shared" si="18"/>
        <v>-2490897.144256805</v>
      </c>
      <c r="O148" s="168">
        <f t="shared" si="18"/>
        <v>-301704.3723045868</v>
      </c>
    </row>
    <row r="149" spans="1:15" s="169" customFormat="1" ht="12.75">
      <c r="A149" s="12">
        <f t="shared" si="16"/>
        <v>142</v>
      </c>
      <c r="B149" s="170"/>
      <c r="C149" s="13"/>
      <c r="D149" s="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s="169" customFormat="1" ht="16.5" thickBot="1">
      <c r="A150" s="92">
        <f t="shared" si="16"/>
        <v>143</v>
      </c>
      <c r="B150" s="171"/>
      <c r="C150" s="172" t="s">
        <v>30</v>
      </c>
      <c r="D150" s="133"/>
      <c r="E150" s="173">
        <f aca="true" t="shared" si="19" ref="E150:O150">SUM(E148,E129,E75)</f>
        <v>3771145346</v>
      </c>
      <c r="F150" s="173">
        <f t="shared" si="19"/>
        <v>2187562156.3932395</v>
      </c>
      <c r="G150" s="173">
        <f t="shared" si="19"/>
        <v>448619695.5248242</v>
      </c>
      <c r="H150" s="173">
        <f t="shared" si="19"/>
        <v>455963133.36542606</v>
      </c>
      <c r="I150" s="173">
        <f t="shared" si="19"/>
        <v>269814630.3401885</v>
      </c>
      <c r="J150" s="173">
        <f t="shared" si="19"/>
        <v>206780067.5869379</v>
      </c>
      <c r="K150" s="173">
        <f t="shared" si="19"/>
        <v>78164679.77905937</v>
      </c>
      <c r="L150" s="173">
        <f t="shared" si="19"/>
        <v>54959182.9033026</v>
      </c>
      <c r="M150" s="173">
        <f t="shared" si="19"/>
        <v>33966804.21542597</v>
      </c>
      <c r="N150" s="173">
        <f t="shared" si="19"/>
        <v>31295120.036131702</v>
      </c>
      <c r="O150" s="173">
        <f t="shared" si="19"/>
        <v>4019875.855464099</v>
      </c>
    </row>
    <row r="151" spans="1:15" s="60" customFormat="1" ht="13.5" thickTop="1">
      <c r="A151" s="12"/>
      <c r="B151" s="15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</sheetData>
  <sheetProtection/>
  <printOptions horizontalCentered="1"/>
  <pageMargins left="0.25" right="0.25" top="0.6" bottom="0.75" header="0.22" footer="0.46"/>
  <pageSetup fitToHeight="3" horizontalDpi="600" verticalDpi="600" orientation="landscape" pageOrder="overThenDown" scale="55" r:id="rId1"/>
  <headerFooter alignWithMargins="0">
    <oddFooter>&amp;R&amp;"Times New Roman,Regular"Exhibit No.___(DWH-3)
Page &amp;P of &amp;N</oddFooter>
  </headerFooter>
  <rowBreaks count="2" manualBreakCount="2">
    <brk id="59" max="14" man="1"/>
    <brk id="12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/>
  <dimension ref="A1:O63"/>
  <sheetViews>
    <sheetView showGridLines="0" workbookViewId="0" topLeftCell="A1">
      <pane xSplit="3" ySplit="7" topLeftCell="D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5.00390625" style="3" bestFit="1" customWidth="1"/>
    <col min="2" max="2" width="1.7109375" style="3" customWidth="1"/>
    <col min="3" max="3" width="41.57421875" style="3" bestFit="1" customWidth="1"/>
    <col min="4" max="4" width="14.00390625" style="3" customWidth="1"/>
    <col min="5" max="5" width="3.7109375" style="3" bestFit="1" customWidth="1"/>
    <col min="6" max="6" width="14.00390625" style="3" bestFit="1" customWidth="1"/>
    <col min="7" max="7" width="13.421875" style="3" bestFit="1" customWidth="1"/>
    <col min="8" max="8" width="16.57421875" style="3" bestFit="1" customWidth="1"/>
    <col min="9" max="9" width="12.421875" style="3" bestFit="1" customWidth="1"/>
    <col min="10" max="11" width="12.7109375" style="3" bestFit="1" customWidth="1"/>
    <col min="12" max="12" width="14.140625" style="3" bestFit="1" customWidth="1"/>
    <col min="13" max="13" width="15.8515625" style="3" bestFit="1" customWidth="1"/>
    <col min="14" max="14" width="12.28125" style="3" bestFit="1" customWidth="1"/>
    <col min="15" max="15" width="16.28125" style="3" bestFit="1" customWidth="1"/>
    <col min="16" max="16384" width="9.140625" style="3" customWidth="1"/>
  </cols>
  <sheetData>
    <row r="1" spans="1:15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5.75">
      <c r="A2" s="1" t="s">
        <v>556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.75">
      <c r="A3" s="1" t="s">
        <v>560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 t="s">
        <v>267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="5" customFormat="1" ht="15.75">
      <c r="A5" s="4"/>
    </row>
    <row r="6" spans="1:15" s="5" customFormat="1" ht="38.25">
      <c r="A6" s="134" t="s">
        <v>2</v>
      </c>
      <c r="B6" s="135"/>
      <c r="C6" s="134" t="s">
        <v>3</v>
      </c>
      <c r="D6" s="134" t="s">
        <v>65</v>
      </c>
      <c r="E6" s="134"/>
      <c r="F6" s="136" t="str">
        <f>+'DWH-3, p1-4 ECOS Summary'!G6</f>
        <v>Residential
Sch 7</v>
      </c>
      <c r="G6" s="136" t="str">
        <f>+'DWH-3, p1-4 ECOS Summary'!H6</f>
        <v>Sec Volt
Sch 24
(kW&lt; 50)</v>
      </c>
      <c r="H6" s="136" t="str">
        <f>+'DWH-3, p1-4 ECOS Summary'!I6</f>
        <v>Sec Volt
Sch 25
(kW &gt; 50 &amp; &lt; 350)</v>
      </c>
      <c r="I6" s="136" t="str">
        <f>+'DWH-3, p1-4 ECOS Summary'!J6</f>
        <v>Sec Volt
Sch 26
(kW &gt; 350)</v>
      </c>
      <c r="J6" s="136" t="str">
        <f>+'DWH-3, p1-4 ECOS Summary'!K6</f>
        <v>Pri Volt
Sch 31/35/43</v>
      </c>
      <c r="K6" s="136" t="str">
        <f>+'DWH-3, p1-4 ECOS Summary'!L6</f>
        <v>Campus
Sch 40</v>
      </c>
      <c r="L6" s="136" t="str">
        <f>+'DWH-3, p1-4 ECOS Summary'!M6</f>
        <v>High Volt
Sch 46/49</v>
      </c>
      <c r="M6" s="136" t="str">
        <f>+'DWH-3, p1-4 ECOS Summary'!N6</f>
        <v>Choice /
Retail Wheeling
Sch 448/449</v>
      </c>
      <c r="N6" s="136" t="str">
        <f>+'DWH-3, p1-4 ECOS Summary'!O6</f>
        <v>Lighting
Sch 50-59</v>
      </c>
      <c r="O6" s="136" t="str">
        <f>+'DWH-3, p1-4 ECOS Summary'!P6</f>
        <v>Firm Resale /
Special Contract</v>
      </c>
    </row>
    <row r="7" spans="3:15" ht="12.75">
      <c r="C7" s="9" t="s">
        <v>15</v>
      </c>
      <c r="D7" s="9" t="s">
        <v>16</v>
      </c>
      <c r="F7" s="9" t="s">
        <v>17</v>
      </c>
      <c r="G7" s="9" t="s">
        <v>18</v>
      </c>
      <c r="H7" s="9" t="s">
        <v>19</v>
      </c>
      <c r="I7" s="10" t="s">
        <v>555</v>
      </c>
      <c r="J7" s="10" t="s">
        <v>20</v>
      </c>
      <c r="K7" s="9" t="s">
        <v>21</v>
      </c>
      <c r="L7" s="10" t="s">
        <v>89</v>
      </c>
      <c r="M7" s="10" t="s">
        <v>90</v>
      </c>
      <c r="N7" s="10" t="s">
        <v>22</v>
      </c>
      <c r="O7" s="10" t="s">
        <v>23</v>
      </c>
    </row>
    <row r="8" spans="1:3" ht="12.75">
      <c r="A8" s="12">
        <v>1</v>
      </c>
      <c r="C8" s="13" t="s">
        <v>91</v>
      </c>
    </row>
    <row r="9" spans="1:15" ht="12.75">
      <c r="A9" s="12">
        <f aca="true" t="shared" si="0" ref="A9:A40">+A8+1</f>
        <v>2</v>
      </c>
      <c r="C9" s="14" t="s">
        <v>92</v>
      </c>
      <c r="D9" s="137">
        <f>SUM(F9:O9)</f>
        <v>126565102.00000001</v>
      </c>
      <c r="F9" s="137">
        <v>69876077.45626661</v>
      </c>
      <c r="G9" s="137">
        <v>27598532.64613174</v>
      </c>
      <c r="H9" s="137">
        <v>9522100.018979365</v>
      </c>
      <c r="I9" s="137">
        <v>1042428.2730667576</v>
      </c>
      <c r="J9" s="137">
        <v>16750048.611902487</v>
      </c>
      <c r="K9" s="137">
        <v>789448.25219716</v>
      </c>
      <c r="L9" s="137">
        <v>502310.5030487293</v>
      </c>
      <c r="M9" s="137">
        <v>270759.01958251966</v>
      </c>
      <c r="N9" s="137">
        <v>0</v>
      </c>
      <c r="O9" s="137">
        <v>213397.21882463113</v>
      </c>
    </row>
    <row r="10" spans="1:15" ht="12.75">
      <c r="A10" s="12">
        <f t="shared" si="0"/>
        <v>3</v>
      </c>
      <c r="C10" s="14" t="s">
        <v>93</v>
      </c>
      <c r="D10" s="137">
        <f>SUM(F10:O10)</f>
        <v>133560976</v>
      </c>
      <c r="F10" s="137">
        <v>133560976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</row>
    <row r="11" spans="1:15" ht="12.75">
      <c r="A11" s="12">
        <f t="shared" si="0"/>
        <v>4</v>
      </c>
      <c r="C11" s="15" t="s">
        <v>94</v>
      </c>
      <c r="D11" s="137">
        <f>SUM(F11:O11)</f>
        <v>41876544</v>
      </c>
      <c r="F11" s="137">
        <v>36271979.02099713</v>
      </c>
      <c r="G11" s="137">
        <v>5380249.839115517</v>
      </c>
      <c r="H11" s="137">
        <v>221905.30848301313</v>
      </c>
      <c r="I11" s="137">
        <v>2409.831404340414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</row>
    <row r="12" spans="1:15" ht="12.75">
      <c r="A12" s="12">
        <f t="shared" si="0"/>
        <v>5</v>
      </c>
      <c r="C12" s="15" t="s">
        <v>95</v>
      </c>
      <c r="D12" s="137">
        <f>SUM(F12:O12)</f>
        <v>379360515.00000006</v>
      </c>
      <c r="F12" s="137">
        <v>260823547.98869205</v>
      </c>
      <c r="G12" s="137">
        <v>67313848.02041267</v>
      </c>
      <c r="H12" s="137">
        <v>41705793.46861033</v>
      </c>
      <c r="I12" s="137">
        <v>9314738.76394856</v>
      </c>
      <c r="J12" s="137">
        <v>0</v>
      </c>
      <c r="K12" s="137">
        <v>0</v>
      </c>
      <c r="L12" s="137">
        <v>0</v>
      </c>
      <c r="M12" s="137">
        <v>0</v>
      </c>
      <c r="N12" s="137">
        <v>202586.75833639945</v>
      </c>
      <c r="O12" s="137">
        <v>0</v>
      </c>
    </row>
    <row r="13" spans="1:15" ht="12.75">
      <c r="A13" s="12">
        <f t="shared" si="0"/>
        <v>6</v>
      </c>
      <c r="C13" s="138" t="s">
        <v>96</v>
      </c>
      <c r="D13" s="138">
        <f>SUM(D9:D12)</f>
        <v>681363137</v>
      </c>
      <c r="E13" s="138"/>
      <c r="F13" s="138">
        <f aca="true" t="shared" si="1" ref="F13:O13">SUM(F9:F12)</f>
        <v>500532580.4659558</v>
      </c>
      <c r="G13" s="138">
        <f t="shared" si="1"/>
        <v>100292630.50565992</v>
      </c>
      <c r="H13" s="138">
        <f t="shared" si="1"/>
        <v>51449798.79607271</v>
      </c>
      <c r="I13" s="138">
        <f t="shared" si="1"/>
        <v>10359576.868419658</v>
      </c>
      <c r="J13" s="138">
        <f t="shared" si="1"/>
        <v>16750048.611902487</v>
      </c>
      <c r="K13" s="138">
        <f t="shared" si="1"/>
        <v>789448.25219716</v>
      </c>
      <c r="L13" s="138">
        <f t="shared" si="1"/>
        <v>502310.5030487293</v>
      </c>
      <c r="M13" s="138">
        <f t="shared" si="1"/>
        <v>270759.01958251966</v>
      </c>
      <c r="N13" s="138">
        <f t="shared" si="1"/>
        <v>202586.75833639945</v>
      </c>
      <c r="O13" s="138">
        <f t="shared" si="1"/>
        <v>213397.21882463113</v>
      </c>
    </row>
    <row r="14" spans="1:15" s="48" customFormat="1" ht="12.75">
      <c r="A14" s="12">
        <f t="shared" si="0"/>
        <v>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s="48" customFormat="1" ht="12.75">
      <c r="A15" s="12">
        <f t="shared" si="0"/>
        <v>8</v>
      </c>
      <c r="C15" s="38" t="s">
        <v>97</v>
      </c>
      <c r="D15" s="137">
        <f>SUM(F15:O15)</f>
        <v>62693740.087643884</v>
      </c>
      <c r="E15" s="38"/>
      <c r="F15" s="137">
        <v>48774612.23662985</v>
      </c>
      <c r="G15" s="137">
        <v>7512002.837617639</v>
      </c>
      <c r="H15" s="137">
        <v>2361725.8238588693</v>
      </c>
      <c r="I15" s="137">
        <v>572811.3364346037</v>
      </c>
      <c r="J15" s="137">
        <v>729957.6219121213</v>
      </c>
      <c r="K15" s="137">
        <v>385259.2288678312</v>
      </c>
      <c r="L15" s="137">
        <v>143891.11311741424</v>
      </c>
      <c r="M15" s="137">
        <v>82127.36005985008</v>
      </c>
      <c r="N15" s="137">
        <v>2118299.7380095553</v>
      </c>
      <c r="O15" s="137">
        <v>13052.79113614407</v>
      </c>
    </row>
    <row r="16" spans="1:15" s="48" customFormat="1" ht="12.75">
      <c r="A16" s="12">
        <f t="shared" si="0"/>
        <v>9</v>
      </c>
      <c r="C16" s="38" t="s">
        <v>98</v>
      </c>
      <c r="D16" s="137">
        <f>SUM(F16:O16)</f>
        <v>716704861</v>
      </c>
      <c r="E16" s="38"/>
      <c r="F16" s="137">
        <v>501258491.46595573</v>
      </c>
      <c r="G16" s="137">
        <v>100299033.50565992</v>
      </c>
      <c r="H16" s="137">
        <v>51449798.79607271</v>
      </c>
      <c r="I16" s="137">
        <v>10359576.868419657</v>
      </c>
      <c r="J16" s="137">
        <v>17891371.758484703</v>
      </c>
      <c r="K16" s="137">
        <v>3912081.1038035587</v>
      </c>
      <c r="L16" s="137">
        <v>502310.5030487293</v>
      </c>
      <c r="M16" s="137">
        <v>270759.01958251966</v>
      </c>
      <c r="N16" s="137">
        <v>30528643.7583364</v>
      </c>
      <c r="O16" s="137">
        <v>232794.220636016</v>
      </c>
    </row>
    <row r="17" spans="1:15" ht="12.75">
      <c r="A17" s="12">
        <f t="shared" si="0"/>
        <v>10</v>
      </c>
      <c r="C17" s="138" t="s">
        <v>99</v>
      </c>
      <c r="D17" s="138">
        <f>+SUM(F17:O17)</f>
        <v>60163006.305427045</v>
      </c>
      <c r="E17" s="138"/>
      <c r="F17" s="138">
        <v>48703977.966794826</v>
      </c>
      <c r="G17" s="138">
        <v>7511523.278119526</v>
      </c>
      <c r="H17" s="138">
        <v>2361725.8238588693</v>
      </c>
      <c r="I17" s="138">
        <v>572811.3364346038</v>
      </c>
      <c r="J17" s="138">
        <v>682831.0838744498</v>
      </c>
      <c r="K17" s="138">
        <v>77744.35570285845</v>
      </c>
      <c r="L17" s="138">
        <v>143891.11311741424</v>
      </c>
      <c r="M17" s="138">
        <v>82127.36005985008</v>
      </c>
      <c r="N17" s="138">
        <v>14056.945356146578</v>
      </c>
      <c r="O17" s="138">
        <v>12317.04210849727</v>
      </c>
    </row>
    <row r="18" spans="1:15" s="48" customFormat="1" ht="12.75">
      <c r="A18" s="12">
        <f t="shared" si="0"/>
        <v>11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2.75">
      <c r="A19" s="12">
        <f t="shared" si="0"/>
        <v>12</v>
      </c>
      <c r="C19" s="138" t="s">
        <v>100</v>
      </c>
      <c r="D19" s="138">
        <f>+SUM(F19:O19)</f>
        <v>-263065811</v>
      </c>
      <c r="E19" s="138"/>
      <c r="F19" s="138">
        <v>-201603429.4282976</v>
      </c>
      <c r="G19" s="138">
        <v>-33878996.0484341</v>
      </c>
      <c r="H19" s="138">
        <v>-16937390.250700004</v>
      </c>
      <c r="I19" s="138">
        <v>-3421452.336539806</v>
      </c>
      <c r="J19" s="138">
        <v>-5562764.19885542</v>
      </c>
      <c r="K19" s="138">
        <v>-1282701.9571249846</v>
      </c>
      <c r="L19" s="138">
        <v>-155437.65225760994</v>
      </c>
      <c r="M19" s="138">
        <v>-83785.12110744437</v>
      </c>
      <c r="N19" s="138">
        <v>-67368.88399751135</v>
      </c>
      <c r="O19" s="138">
        <v>-72485.12268549924</v>
      </c>
    </row>
    <row r="20" spans="1:15" s="139" customFormat="1" ht="12.75">
      <c r="A20" s="12">
        <f t="shared" si="0"/>
        <v>13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</row>
    <row r="21" spans="1:15" s="48" customFormat="1" ht="12.75">
      <c r="A21" s="12">
        <f t="shared" si="0"/>
        <v>14</v>
      </c>
      <c r="C21" s="38" t="s">
        <v>101</v>
      </c>
      <c r="D21" s="137">
        <f>SUM(F21:O21)</f>
        <v>-52413012.22453406</v>
      </c>
      <c r="E21" s="38"/>
      <c r="F21" s="137">
        <v>-40773418.66633583</v>
      </c>
      <c r="G21" s="137">
        <v>-6280920.3070382625</v>
      </c>
      <c r="H21" s="137">
        <v>-1975731.7010837302</v>
      </c>
      <c r="I21" s="137">
        <v>-479080.8348151175</v>
      </c>
      <c r="J21" s="137">
        <v>-610760.2276309574</v>
      </c>
      <c r="K21" s="137">
        <v>-322057.18487851316</v>
      </c>
      <c r="L21" s="137">
        <v>-120235.10855672488</v>
      </c>
      <c r="M21" s="137">
        <v>-68624.60699807495</v>
      </c>
      <c r="N21" s="137">
        <v>-1771266.8283428412</v>
      </c>
      <c r="O21" s="137">
        <v>-10916.758854012453</v>
      </c>
    </row>
    <row r="22" spans="1:15" ht="12.75">
      <c r="A22" s="12">
        <f t="shared" si="0"/>
        <v>15</v>
      </c>
      <c r="C22" s="138" t="s">
        <v>102</v>
      </c>
      <c r="D22" s="138">
        <f>+SUM(F22:O22)</f>
        <v>-50296938.47828129</v>
      </c>
      <c r="E22" s="138"/>
      <c r="F22" s="138">
        <v>-40714371.540708214</v>
      </c>
      <c r="G22" s="138">
        <v>-6280519.33874056</v>
      </c>
      <c r="H22" s="138">
        <v>-1975731.7010837302</v>
      </c>
      <c r="I22" s="138">
        <v>-479080.8348151176</v>
      </c>
      <c r="J22" s="138">
        <v>-571329.8762170017</v>
      </c>
      <c r="K22" s="138">
        <v>-64990.34017027031</v>
      </c>
      <c r="L22" s="138">
        <v>-120235.10855672488</v>
      </c>
      <c r="M22" s="138">
        <v>-68624.60699807495</v>
      </c>
      <c r="N22" s="138">
        <v>-11754.049991322836</v>
      </c>
      <c r="O22" s="138">
        <v>-10301.081000272365</v>
      </c>
    </row>
    <row r="23" spans="1:15" s="48" customFormat="1" ht="12.75">
      <c r="A23" s="12">
        <f t="shared" si="0"/>
        <v>16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2.75">
      <c r="A24" s="12">
        <f t="shared" si="0"/>
        <v>17</v>
      </c>
      <c r="C24" s="40" t="s">
        <v>103</v>
      </c>
      <c r="D24" s="40">
        <f>SUM(D22,D19,D17,D13)</f>
        <v>428163393.8271458</v>
      </c>
      <c r="E24" s="40"/>
      <c r="F24" s="40">
        <f aca="true" t="shared" si="2" ref="F24:O24">SUM(F22,F19,F17,F13)</f>
        <v>306918757.46374476</v>
      </c>
      <c r="G24" s="40">
        <f t="shared" si="2"/>
        <v>67644638.39660479</v>
      </c>
      <c r="H24" s="40">
        <f t="shared" si="2"/>
        <v>34898402.66814784</v>
      </c>
      <c r="I24" s="40">
        <f t="shared" si="2"/>
        <v>7031855.033499339</v>
      </c>
      <c r="J24" s="40">
        <f t="shared" si="2"/>
        <v>11298785.620704515</v>
      </c>
      <c r="K24" s="40">
        <f t="shared" si="2"/>
        <v>-480499.68939523643</v>
      </c>
      <c r="L24" s="40">
        <f t="shared" si="2"/>
        <v>370528.8553518087</v>
      </c>
      <c r="M24" s="40">
        <f t="shared" si="2"/>
        <v>200476.65153685043</v>
      </c>
      <c r="N24" s="40">
        <f t="shared" si="2"/>
        <v>137520.76970371185</v>
      </c>
      <c r="O24" s="40">
        <f t="shared" si="2"/>
        <v>142928.0572473568</v>
      </c>
    </row>
    <row r="25" spans="1:15" s="48" customFormat="1" ht="12.75">
      <c r="A25" s="12">
        <f t="shared" si="0"/>
        <v>18</v>
      </c>
      <c r="C25" s="38"/>
      <c r="D25" s="38"/>
      <c r="E25" s="38"/>
      <c r="F25" s="3"/>
      <c r="G25" s="38"/>
      <c r="H25" s="38"/>
      <c r="I25" s="38"/>
      <c r="J25" s="38"/>
      <c r="K25" s="38"/>
      <c r="L25" s="38"/>
      <c r="M25" s="38"/>
      <c r="N25" s="38"/>
      <c r="O25" s="38"/>
    </row>
    <row r="26" spans="1:15" s="48" customFormat="1" ht="12.75">
      <c r="A26" s="12">
        <f t="shared" si="0"/>
        <v>19</v>
      </c>
      <c r="C26" s="13" t="s">
        <v>104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s="48" customFormat="1" ht="12.75">
      <c r="A27" s="12">
        <f t="shared" si="0"/>
        <v>20</v>
      </c>
      <c r="C27" s="141" t="s">
        <v>105</v>
      </c>
      <c r="D27" s="137">
        <f aca="true" t="shared" si="3" ref="D27:D34">SUM(F27:O27)</f>
        <v>860761.5738772127</v>
      </c>
      <c r="E27" s="38"/>
      <c r="F27" s="137">
        <v>387633.6311179489</v>
      </c>
      <c r="G27" s="137">
        <v>153101.3161098366</v>
      </c>
      <c r="H27" s="137">
        <v>52823.31722949681</v>
      </c>
      <c r="I27" s="137">
        <v>5782.812535832196</v>
      </c>
      <c r="J27" s="137">
        <v>92919.95774802365</v>
      </c>
      <c r="K27" s="137">
        <v>4379.420020684909</v>
      </c>
      <c r="L27" s="137">
        <v>2786.539418548892</v>
      </c>
      <c r="M27" s="137">
        <v>1502.0205160256223</v>
      </c>
      <c r="N27" s="137">
        <v>158648.75004591866</v>
      </c>
      <c r="O27" s="137">
        <v>1183.8091348964927</v>
      </c>
    </row>
    <row r="28" spans="1:15" s="48" customFormat="1" ht="12.75">
      <c r="A28" s="12">
        <f t="shared" si="0"/>
        <v>21</v>
      </c>
      <c r="C28" s="141" t="s">
        <v>106</v>
      </c>
      <c r="D28" s="137">
        <f t="shared" si="3"/>
        <v>2001307.9999999998</v>
      </c>
      <c r="E28" s="38"/>
      <c r="F28" s="137">
        <v>1104913.997713572</v>
      </c>
      <c r="G28" s="137">
        <v>436401.21408004407</v>
      </c>
      <c r="H28" s="137">
        <v>150568.00526881064</v>
      </c>
      <c r="I28" s="137">
        <v>16483.375032674383</v>
      </c>
      <c r="J28" s="137">
        <v>264859.7896076388</v>
      </c>
      <c r="K28" s="137">
        <v>12483.13380024925</v>
      </c>
      <c r="L28" s="137">
        <v>7942.77421145243</v>
      </c>
      <c r="M28" s="137">
        <v>4281.371273754856</v>
      </c>
      <c r="N28" s="137">
        <v>0</v>
      </c>
      <c r="O28" s="137">
        <v>3374.3390118034663</v>
      </c>
    </row>
    <row r="29" spans="1:15" s="48" customFormat="1" ht="12.75">
      <c r="A29" s="12">
        <f t="shared" si="0"/>
        <v>22</v>
      </c>
      <c r="C29" s="141" t="s">
        <v>107</v>
      </c>
      <c r="D29" s="137">
        <f t="shared" si="3"/>
        <v>3742029</v>
      </c>
      <c r="E29" s="38"/>
      <c r="F29" s="137">
        <v>2065958.973806191</v>
      </c>
      <c r="G29" s="137">
        <v>815979.3488672075</v>
      </c>
      <c r="H29" s="137">
        <v>281530.7999508532</v>
      </c>
      <c r="I29" s="137">
        <v>30820.47710304635</v>
      </c>
      <c r="J29" s="137">
        <v>495232.6246862966</v>
      </c>
      <c r="K29" s="137">
        <v>23340.85942364339</v>
      </c>
      <c r="L29" s="137">
        <v>14851.332948105503</v>
      </c>
      <c r="M29" s="137">
        <v>8005.272285004412</v>
      </c>
      <c r="N29" s="137">
        <v>0</v>
      </c>
      <c r="O29" s="137">
        <v>6309.310929651964</v>
      </c>
    </row>
    <row r="30" spans="1:15" s="48" customFormat="1" ht="12.75">
      <c r="A30" s="12">
        <f t="shared" si="0"/>
        <v>23</v>
      </c>
      <c r="C30" s="141" t="s">
        <v>108</v>
      </c>
      <c r="D30" s="137">
        <f t="shared" si="3"/>
        <v>315694</v>
      </c>
      <c r="E30" s="38"/>
      <c r="F30" s="137">
        <v>214627.25206060673</v>
      </c>
      <c r="G30" s="137">
        <v>55391.418212257624</v>
      </c>
      <c r="H30" s="137">
        <v>34318.986595348026</v>
      </c>
      <c r="I30" s="137">
        <v>7664.939764776786</v>
      </c>
      <c r="J30" s="137">
        <v>939.1753641612393</v>
      </c>
      <c r="K30" s="137">
        <v>2569.5613502026063</v>
      </c>
      <c r="L30" s="137">
        <v>0</v>
      </c>
      <c r="M30" s="137">
        <v>0</v>
      </c>
      <c r="N30" s="137">
        <v>166.70519046651697</v>
      </c>
      <c r="O30" s="137">
        <v>15.961462180449422</v>
      </c>
    </row>
    <row r="31" spans="1:15" s="48" customFormat="1" ht="12.75">
      <c r="A31" s="12">
        <f t="shared" si="0"/>
        <v>24</v>
      </c>
      <c r="C31" s="141" t="s">
        <v>109</v>
      </c>
      <c r="D31" s="137">
        <f t="shared" si="3"/>
        <v>433208</v>
      </c>
      <c r="E31" s="38"/>
      <c r="F31" s="137">
        <v>239172.37282892046</v>
      </c>
      <c r="G31" s="137">
        <v>94464.46881199082</v>
      </c>
      <c r="H31" s="137">
        <v>32592.316838033385</v>
      </c>
      <c r="I31" s="137">
        <v>3568.0314729940637</v>
      </c>
      <c r="J31" s="137">
        <v>57332.19461289616</v>
      </c>
      <c r="K31" s="137">
        <v>2702.129520962479</v>
      </c>
      <c r="L31" s="137">
        <v>1719.3122350956896</v>
      </c>
      <c r="M31" s="137">
        <v>926.7560449270145</v>
      </c>
      <c r="N31" s="137">
        <v>0</v>
      </c>
      <c r="O31" s="137">
        <v>730.4176341799243</v>
      </c>
    </row>
    <row r="32" spans="1:15" s="48" customFormat="1" ht="12.75">
      <c r="A32" s="12">
        <f t="shared" si="0"/>
        <v>25</v>
      </c>
      <c r="C32" s="141" t="s">
        <v>110</v>
      </c>
      <c r="D32" s="137">
        <f t="shared" si="3"/>
        <v>30421.000000000004</v>
      </c>
      <c r="E32" s="38"/>
      <c r="F32" s="137">
        <v>25346.657669711934</v>
      </c>
      <c r="G32" s="137">
        <v>3481.078422607898</v>
      </c>
      <c r="H32" s="137">
        <v>723.4694950583834</v>
      </c>
      <c r="I32" s="137">
        <v>229.35994331345532</v>
      </c>
      <c r="J32" s="137">
        <v>183.68127351760694</v>
      </c>
      <c r="K32" s="137">
        <v>227.515723412153</v>
      </c>
      <c r="L32" s="137">
        <v>107.46894149746456</v>
      </c>
      <c r="M32" s="137">
        <v>61.68696517118184</v>
      </c>
      <c r="N32" s="137">
        <v>54.745267514092866</v>
      </c>
      <c r="O32" s="137">
        <v>5.336298195833823</v>
      </c>
    </row>
    <row r="33" spans="1:15" s="48" customFormat="1" ht="12.75">
      <c r="A33" s="12">
        <f t="shared" si="0"/>
        <v>26</v>
      </c>
      <c r="C33" s="141" t="s">
        <v>111</v>
      </c>
      <c r="D33" s="137">
        <f t="shared" si="3"/>
        <v>16953310.999999996</v>
      </c>
      <c r="E33" s="38"/>
      <c r="F33" s="137">
        <v>14131977.94762045</v>
      </c>
      <c r="G33" s="137">
        <v>2117498.402270122</v>
      </c>
      <c r="H33" s="137">
        <v>501242.1726470067</v>
      </c>
      <c r="I33" s="137">
        <v>66180.94923674101</v>
      </c>
      <c r="J33" s="137">
        <v>59108.59584481406</v>
      </c>
      <c r="K33" s="137">
        <v>6147.437954696296</v>
      </c>
      <c r="L33" s="137">
        <v>35323.77043356474</v>
      </c>
      <c r="M33" s="137">
        <v>33463.94047329554</v>
      </c>
      <c r="N33" s="137">
        <v>0</v>
      </c>
      <c r="O33" s="137">
        <v>2367.7835193104797</v>
      </c>
    </row>
    <row r="34" spans="1:15" s="48" customFormat="1" ht="12.75">
      <c r="A34" s="12">
        <f t="shared" si="0"/>
        <v>27</v>
      </c>
      <c r="C34" s="38" t="s">
        <v>112</v>
      </c>
      <c r="D34" s="137">
        <f t="shared" si="3"/>
        <v>17868394.000000007</v>
      </c>
      <c r="E34" s="38"/>
      <c r="F34" s="137">
        <v>14552140.262848817</v>
      </c>
      <c r="G34" s="137">
        <v>2209104.0232316796</v>
      </c>
      <c r="H34" s="137">
        <v>242763.52896214474</v>
      </c>
      <c r="I34" s="137">
        <v>178580.8244577155</v>
      </c>
      <c r="J34" s="137">
        <v>148113.18254968256</v>
      </c>
      <c r="K34" s="137">
        <v>309577.90571620926</v>
      </c>
      <c r="L34" s="137">
        <v>104278.87350440733</v>
      </c>
      <c r="M34" s="137">
        <v>52139.43675220368</v>
      </c>
      <c r="N34" s="137">
        <v>66658.0943475457</v>
      </c>
      <c r="O34" s="137">
        <v>5037.867629601935</v>
      </c>
    </row>
    <row r="35" spans="1:15" ht="12.75">
      <c r="A35" s="12">
        <f t="shared" si="0"/>
        <v>28</v>
      </c>
      <c r="C35" s="142" t="s">
        <v>113</v>
      </c>
      <c r="D35" s="138">
        <f>SUM(D27:D34)</f>
        <v>42205126.573877215</v>
      </c>
      <c r="E35" s="138"/>
      <c r="F35" s="138">
        <f aca="true" t="shared" si="4" ref="F35:O35">SUM(F27:F34)</f>
        <v>32721771.09566622</v>
      </c>
      <c r="G35" s="138">
        <f t="shared" si="4"/>
        <v>5885421.270005746</v>
      </c>
      <c r="H35" s="138">
        <f t="shared" si="4"/>
        <v>1296562.596986752</v>
      </c>
      <c r="I35" s="138">
        <f t="shared" si="4"/>
        <v>309310.7695470938</v>
      </c>
      <c r="J35" s="138">
        <f t="shared" si="4"/>
        <v>1118689.201687031</v>
      </c>
      <c r="K35" s="138">
        <f t="shared" si="4"/>
        <v>361427.96351006033</v>
      </c>
      <c r="L35" s="138">
        <f t="shared" si="4"/>
        <v>167010.07169267203</v>
      </c>
      <c r="M35" s="138">
        <f t="shared" si="4"/>
        <v>100380.48431038231</v>
      </c>
      <c r="N35" s="138">
        <f t="shared" si="4"/>
        <v>225528.29485144495</v>
      </c>
      <c r="O35" s="138">
        <f t="shared" si="4"/>
        <v>19024.82561982055</v>
      </c>
    </row>
    <row r="36" spans="1:15" s="48" customFormat="1" ht="12.75">
      <c r="A36" s="12">
        <f t="shared" si="0"/>
        <v>29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2.75">
      <c r="A37" s="12">
        <f t="shared" si="0"/>
        <v>30</v>
      </c>
      <c r="B37" s="13"/>
      <c r="C37" s="15" t="s">
        <v>114</v>
      </c>
      <c r="D37" s="137">
        <f>SUM(F37:O37)</f>
        <v>20076526.523223568</v>
      </c>
      <c r="E37" s="14"/>
      <c r="F37" s="137">
        <v>15116811.890475152</v>
      </c>
      <c r="G37" s="137">
        <v>2434101.4299620404</v>
      </c>
      <c r="H37" s="137">
        <v>701874.5222555838</v>
      </c>
      <c r="I37" s="137">
        <v>166055.8633393936</v>
      </c>
      <c r="J37" s="137">
        <v>363496.6005679709</v>
      </c>
      <c r="K37" s="137">
        <v>126385.66759431083</v>
      </c>
      <c r="L37" s="137">
        <v>53744.355928307246</v>
      </c>
      <c r="M37" s="137">
        <v>30563.21960131333</v>
      </c>
      <c r="N37" s="137">
        <v>1077570.2318648107</v>
      </c>
      <c r="O37" s="137">
        <v>5922.741634685474</v>
      </c>
    </row>
    <row r="38" spans="1:15" ht="12.75">
      <c r="A38" s="12">
        <f t="shared" si="0"/>
        <v>31</v>
      </c>
      <c r="B38" s="13"/>
      <c r="C38" s="15" t="s">
        <v>115</v>
      </c>
      <c r="D38" s="137">
        <f>SUM(F38:O38)</f>
        <v>56339409.930889055</v>
      </c>
      <c r="E38" s="14"/>
      <c r="F38" s="137">
        <v>41623284.893530056</v>
      </c>
      <c r="G38" s="137">
        <v>6783004.807831835</v>
      </c>
      <c r="H38" s="137">
        <v>1630169.5241194812</v>
      </c>
      <c r="I38" s="137">
        <v>390696.051646099</v>
      </c>
      <c r="J38" s="137">
        <v>1267551.6215541896</v>
      </c>
      <c r="K38" s="137">
        <v>366327.44588264055</v>
      </c>
      <c r="L38" s="137">
        <v>179575.27782660478</v>
      </c>
      <c r="M38" s="137">
        <v>102030.61981284119</v>
      </c>
      <c r="N38" s="137">
        <v>3976454.618539108</v>
      </c>
      <c r="O38" s="137">
        <v>20315.070146193448</v>
      </c>
    </row>
    <row r="39" spans="1:15" ht="12.75">
      <c r="A39" s="12">
        <f t="shared" si="0"/>
        <v>32</v>
      </c>
      <c r="B39" s="13"/>
      <c r="C39" s="142" t="s">
        <v>116</v>
      </c>
      <c r="D39" s="138">
        <f>+SUM(F39:O39)</f>
        <v>15277807.596993206</v>
      </c>
      <c r="E39" s="138"/>
      <c r="F39" s="138">
        <v>11883945.720325926</v>
      </c>
      <c r="G39" s="138">
        <v>2112000.9103795933</v>
      </c>
      <c r="H39" s="138">
        <v>558239.0296653813</v>
      </c>
      <c r="I39" s="138">
        <v>131465.02674114678</v>
      </c>
      <c r="J39" s="138">
        <v>320744.27452571003</v>
      </c>
      <c r="K39" s="138">
        <v>124695.31008087602</v>
      </c>
      <c r="L39" s="138">
        <v>49983.766391997575</v>
      </c>
      <c r="M39" s="138">
        <v>30069.01018295566</v>
      </c>
      <c r="N39" s="138">
        <v>61115.390539633496</v>
      </c>
      <c r="O39" s="138">
        <v>5549.158159984285</v>
      </c>
    </row>
    <row r="40" spans="1:15" ht="12.75">
      <c r="A40" s="12">
        <f t="shared" si="0"/>
        <v>33</v>
      </c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.75">
      <c r="A41" s="12">
        <f aca="true" t="shared" si="5" ref="A41:A62">+A40+1</f>
        <v>34</v>
      </c>
      <c r="B41" s="13"/>
      <c r="C41" s="14" t="s">
        <v>117</v>
      </c>
      <c r="D41" s="137">
        <f>SUM(F41:O41)</f>
        <v>19485151.22605779</v>
      </c>
      <c r="E41" s="14"/>
      <c r="F41" s="137">
        <v>13627781.86816253</v>
      </c>
      <c r="G41" s="137">
        <v>2726843.282405505</v>
      </c>
      <c r="H41" s="137">
        <v>1398772.583588941</v>
      </c>
      <c r="I41" s="137">
        <v>281647.20640722325</v>
      </c>
      <c r="J41" s="137">
        <v>486415.1247269048</v>
      </c>
      <c r="K41" s="137">
        <v>106358.27390630107</v>
      </c>
      <c r="L41" s="137">
        <v>13656.383048226116</v>
      </c>
      <c r="M41" s="137">
        <v>7361.161796814629</v>
      </c>
      <c r="N41" s="137">
        <v>829986.3343017427</v>
      </c>
      <c r="O41" s="137">
        <v>6329.007713601981</v>
      </c>
    </row>
    <row r="42" spans="1:15" ht="12.75">
      <c r="A42" s="12">
        <f t="shared" si="5"/>
        <v>35</v>
      </c>
      <c r="B42" s="13"/>
      <c r="C42" s="142" t="s">
        <v>118</v>
      </c>
      <c r="D42" s="138">
        <f>SUM(F42:O42)</f>
        <v>18524311.033389427</v>
      </c>
      <c r="E42" s="138"/>
      <c r="F42" s="138">
        <v>13608046.428400166</v>
      </c>
      <c r="G42" s="138">
        <v>2726669.2031853274</v>
      </c>
      <c r="H42" s="138">
        <v>1398772.583588941</v>
      </c>
      <c r="I42" s="138">
        <v>281647.2064072233</v>
      </c>
      <c r="J42" s="138">
        <v>455385.8191939058</v>
      </c>
      <c r="K42" s="138">
        <v>21462.83556350635</v>
      </c>
      <c r="L42" s="138">
        <v>13656.383048226116</v>
      </c>
      <c r="M42" s="138">
        <v>7361.161796814629</v>
      </c>
      <c r="N42" s="138">
        <v>5507.753382715745</v>
      </c>
      <c r="O42" s="138">
        <v>5801.658822595993</v>
      </c>
    </row>
    <row r="43" spans="1:15" ht="12.75">
      <c r="A43" s="12">
        <f t="shared" si="5"/>
        <v>36</v>
      </c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>
      <c r="A44" s="12">
        <f t="shared" si="5"/>
        <v>37</v>
      </c>
      <c r="B44" s="13"/>
      <c r="C44" s="15" t="s">
        <v>119</v>
      </c>
      <c r="D44" s="137">
        <f>SUM(F44:O44)</f>
        <v>23812329.95816663</v>
      </c>
      <c r="E44" s="14"/>
      <c r="F44" s="137">
        <v>16916265.645534858</v>
      </c>
      <c r="G44" s="137">
        <v>3265297.701004777</v>
      </c>
      <c r="H44" s="137">
        <v>1595634.2220344385</v>
      </c>
      <c r="I44" s="137">
        <v>326460.029810301</v>
      </c>
      <c r="J44" s="137">
        <v>550015.0883064185</v>
      </c>
      <c r="K44" s="137">
        <v>132267.82786525248</v>
      </c>
      <c r="L44" s="137">
        <v>22005.86606492236</v>
      </c>
      <c r="M44" s="137">
        <v>12104.647240016351</v>
      </c>
      <c r="N44" s="137">
        <v>984933.2920611304</v>
      </c>
      <c r="O44" s="137">
        <v>7345.638244510823</v>
      </c>
    </row>
    <row r="45" spans="1:15" ht="12.75">
      <c r="A45" s="12">
        <f t="shared" si="5"/>
        <v>38</v>
      </c>
      <c r="B45" s="13"/>
      <c r="C45" s="14" t="s">
        <v>120</v>
      </c>
      <c r="D45" s="137">
        <f>SUM(F45:O45)</f>
        <v>3334875.1428942364</v>
      </c>
      <c r="E45" s="14"/>
      <c r="F45" s="137">
        <v>2594473.41512649</v>
      </c>
      <c r="G45" s="137">
        <v>399586.80885046406</v>
      </c>
      <c r="H45" s="137">
        <v>125627.54643937123</v>
      </c>
      <c r="I45" s="137">
        <v>30469.61761689941</v>
      </c>
      <c r="J45" s="137">
        <v>38828.71759250322</v>
      </c>
      <c r="K45" s="137">
        <v>20493.137339163903</v>
      </c>
      <c r="L45" s="137">
        <v>7654.016106676995</v>
      </c>
      <c r="M45" s="137">
        <v>4368.609868102254</v>
      </c>
      <c r="N45" s="137">
        <v>112678.95537276639</v>
      </c>
      <c r="O45" s="137">
        <v>694.3185817988254</v>
      </c>
    </row>
    <row r="46" spans="1:15" ht="12.75">
      <c r="A46" s="12">
        <f t="shared" si="5"/>
        <v>39</v>
      </c>
      <c r="B46" s="13"/>
      <c r="C46" s="14" t="s">
        <v>121</v>
      </c>
      <c r="D46" s="137">
        <f>SUM(F46:O46)</f>
        <v>20477454.81527239</v>
      </c>
      <c r="E46" s="14"/>
      <c r="F46" s="137">
        <v>14321792.230408369</v>
      </c>
      <c r="G46" s="137">
        <v>2865710.892154313</v>
      </c>
      <c r="H46" s="137">
        <v>1470006.6755950672</v>
      </c>
      <c r="I46" s="137">
        <v>295990.4121934016</v>
      </c>
      <c r="J46" s="137">
        <v>511186.3707139152</v>
      </c>
      <c r="K46" s="137">
        <v>111774.69052608857</v>
      </c>
      <c r="L46" s="137">
        <v>14351.849958245366</v>
      </c>
      <c r="M46" s="137">
        <v>7736.037371914099</v>
      </c>
      <c r="N46" s="137">
        <v>872254.336688364</v>
      </c>
      <c r="O46" s="137">
        <v>6651.319662711998</v>
      </c>
    </row>
    <row r="47" spans="1:15" ht="12.75">
      <c r="A47" s="12">
        <f t="shared" si="5"/>
        <v>40</v>
      </c>
      <c r="B47" s="13"/>
      <c r="C47" s="142" t="s">
        <v>122</v>
      </c>
      <c r="D47" s="138">
        <f>+SUM(F47:O47)</f>
        <v>3045178.3503807713</v>
      </c>
      <c r="E47" s="138"/>
      <c r="F47" s="138">
        <v>2465174.3386787362</v>
      </c>
      <c r="G47" s="138">
        <v>380199.21991244354</v>
      </c>
      <c r="H47" s="138">
        <v>119539.84333561256</v>
      </c>
      <c r="I47" s="138">
        <v>28993.11034604973</v>
      </c>
      <c r="J47" s="138">
        <v>34561.8106752412</v>
      </c>
      <c r="K47" s="138">
        <v>3935.0664700625284</v>
      </c>
      <c r="L47" s="138">
        <v>7283.115146422042</v>
      </c>
      <c r="M47" s="138">
        <v>4156.914259878371</v>
      </c>
      <c r="N47" s="138">
        <v>711.4987813892167</v>
      </c>
      <c r="O47" s="138">
        <v>623.4327749366612</v>
      </c>
    </row>
    <row r="48" spans="1:15" ht="12.75">
      <c r="A48" s="12">
        <f t="shared" si="5"/>
        <v>41</v>
      </c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>
      <c r="A49" s="12">
        <f t="shared" si="5"/>
        <v>42</v>
      </c>
      <c r="B49" s="13"/>
      <c r="C49" s="14" t="s">
        <v>123</v>
      </c>
      <c r="D49" s="137">
        <f>SUM(F49:O49)</f>
        <v>823564305.4277334</v>
      </c>
      <c r="E49" s="14"/>
      <c r="F49" s="137">
        <v>584393234.4003882</v>
      </c>
      <c r="G49" s="137">
        <v>113102998.4413168</v>
      </c>
      <c r="H49" s="137">
        <v>55475283.78190033</v>
      </c>
      <c r="I49" s="137">
        <v>11335915.193230702</v>
      </c>
      <c r="J49" s="137">
        <v>19135560.824638247</v>
      </c>
      <c r="K49" s="137">
        <v>4568742.950742681</v>
      </c>
      <c r="L49" s="137">
        <v>747568.2334747608</v>
      </c>
      <c r="M49" s="137">
        <v>410742.43827860185</v>
      </c>
      <c r="N49" s="137">
        <v>34139216.88443591</v>
      </c>
      <c r="O49" s="137">
        <v>255042.27932719784</v>
      </c>
    </row>
    <row r="50" spans="1:15" ht="12.75">
      <c r="A50" s="12">
        <f t="shared" si="5"/>
        <v>43</v>
      </c>
      <c r="B50" s="13"/>
      <c r="C50" s="15" t="s">
        <v>124</v>
      </c>
      <c r="D50" s="137">
        <f>SUM(F50:O50)</f>
        <v>4218711.342568297</v>
      </c>
      <c r="E50" s="14"/>
      <c r="F50" s="137">
        <v>2977206.900474291</v>
      </c>
      <c r="G50" s="137">
        <v>583557.1699009025</v>
      </c>
      <c r="H50" s="137">
        <v>291269.8187528188</v>
      </c>
      <c r="I50" s="137">
        <v>59174.58673497445</v>
      </c>
      <c r="J50" s="137">
        <v>100793.1158218059</v>
      </c>
      <c r="K50" s="137">
        <v>23260.547785199797</v>
      </c>
      <c r="L50" s="137">
        <v>3497.7456771179386</v>
      </c>
      <c r="M50" s="137">
        <v>1910.0955151287467</v>
      </c>
      <c r="N50" s="137">
        <v>176710.64669095218</v>
      </c>
      <c r="O50" s="137">
        <v>1330.7152151060948</v>
      </c>
    </row>
    <row r="51" spans="1:15" ht="12.75">
      <c r="A51" s="12">
        <f t="shared" si="5"/>
        <v>44</v>
      </c>
      <c r="B51" s="13"/>
      <c r="C51" s="142" t="s">
        <v>125</v>
      </c>
      <c r="D51" s="138">
        <f>+SUM(F51:O51)</f>
        <v>2193752.9727370413</v>
      </c>
      <c r="E51" s="138"/>
      <c r="F51" s="138">
        <v>1563605.785997185</v>
      </c>
      <c r="G51" s="138">
        <v>349013.8571540512</v>
      </c>
      <c r="H51" s="138">
        <v>183232.07610576926</v>
      </c>
      <c r="I51" s="138">
        <v>36706.97147029238</v>
      </c>
      <c r="J51" s="138">
        <v>59516.31501642921</v>
      </c>
      <c r="K51" s="138">
        <v>-2446.3372324623147</v>
      </c>
      <c r="L51" s="138">
        <v>1733.6420195789428</v>
      </c>
      <c r="M51" s="138">
        <v>932.635299044489</v>
      </c>
      <c r="N51" s="138">
        <v>711.8319154783965</v>
      </c>
      <c r="O51" s="138">
        <v>746.1949916749027</v>
      </c>
    </row>
    <row r="52" spans="1:15" ht="12.75">
      <c r="A52" s="12">
        <f t="shared" si="5"/>
        <v>45</v>
      </c>
      <c r="B52" s="13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12">
        <f t="shared" si="5"/>
        <v>46</v>
      </c>
      <c r="B53" s="13"/>
      <c r="C53" s="40" t="s">
        <v>126</v>
      </c>
      <c r="D53" s="40">
        <f>SUM(D51,D47,D42,D39,D35)</f>
        <v>81246176.52737767</v>
      </c>
      <c r="E53" s="40"/>
      <c r="F53" s="40">
        <f aca="true" t="shared" si="6" ref="F53:O53">SUM(F51,F47,F42,F39,F35)</f>
        <v>62242543.369068235</v>
      </c>
      <c r="G53" s="40">
        <f t="shared" si="6"/>
        <v>11453304.460637162</v>
      </c>
      <c r="H53" s="40">
        <f t="shared" si="6"/>
        <v>3556346.129682456</v>
      </c>
      <c r="I53" s="40">
        <f t="shared" si="6"/>
        <v>788123.084511806</v>
      </c>
      <c r="J53" s="40">
        <f t="shared" si="6"/>
        <v>1988897.421098317</v>
      </c>
      <c r="K53" s="40">
        <f t="shared" si="6"/>
        <v>509074.8383920429</v>
      </c>
      <c r="L53" s="40">
        <f t="shared" si="6"/>
        <v>239666.97829889672</v>
      </c>
      <c r="M53" s="40">
        <f t="shared" si="6"/>
        <v>142900.20584907546</v>
      </c>
      <c r="N53" s="40">
        <f t="shared" si="6"/>
        <v>293574.7694706618</v>
      </c>
      <c r="O53" s="40">
        <f t="shared" si="6"/>
        <v>31745.27036901239</v>
      </c>
    </row>
    <row r="54" spans="1:15" ht="12.75">
      <c r="A54" s="12">
        <f t="shared" si="5"/>
        <v>47</v>
      </c>
      <c r="B54" s="13"/>
      <c r="C54" s="15"/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</row>
    <row r="55" spans="1:15" s="48" customFormat="1" ht="12.75">
      <c r="A55" s="12">
        <f t="shared" si="5"/>
        <v>48</v>
      </c>
      <c r="B55" s="38"/>
      <c r="C55" s="38" t="s">
        <v>127</v>
      </c>
      <c r="D55" s="137">
        <f>SUM(F55:O55)</f>
        <v>12767436</v>
      </c>
      <c r="E55" s="143"/>
      <c r="F55" s="137">
        <v>11273280</v>
      </c>
      <c r="G55" s="137">
        <v>1337544</v>
      </c>
      <c r="H55" s="137">
        <v>98604</v>
      </c>
      <c r="I55" s="137">
        <v>9636</v>
      </c>
      <c r="J55" s="137">
        <v>7992</v>
      </c>
      <c r="K55" s="137">
        <v>876</v>
      </c>
      <c r="L55" s="137">
        <v>228</v>
      </c>
      <c r="M55" s="137">
        <v>216</v>
      </c>
      <c r="N55" s="137">
        <v>38952</v>
      </c>
      <c r="O55" s="137">
        <v>108</v>
      </c>
    </row>
    <row r="56" spans="1:15" ht="12.75">
      <c r="A56" s="12">
        <f t="shared" si="5"/>
        <v>49</v>
      </c>
      <c r="B56" s="38"/>
      <c r="C56" s="38" t="s">
        <v>128</v>
      </c>
      <c r="D56" s="125">
        <v>0.07377</v>
      </c>
      <c r="E56" s="143"/>
      <c r="F56" s="125">
        <v>0.07377</v>
      </c>
      <c r="G56" s="125">
        <v>0.07377</v>
      </c>
      <c r="H56" s="125">
        <v>0.07377</v>
      </c>
      <c r="I56" s="125">
        <v>0.07377</v>
      </c>
      <c r="J56" s="125">
        <v>0.07377</v>
      </c>
      <c r="K56" s="125">
        <v>0.07377</v>
      </c>
      <c r="L56" s="125">
        <v>0.07377</v>
      </c>
      <c r="M56" s="125">
        <v>0.07377</v>
      </c>
      <c r="N56" s="125">
        <v>0.07377</v>
      </c>
      <c r="O56" s="125">
        <v>0.07377</v>
      </c>
    </row>
    <row r="57" spans="1:15" ht="12.75">
      <c r="A57" s="12">
        <f t="shared" si="5"/>
        <v>50</v>
      </c>
      <c r="B57" s="38"/>
      <c r="C57" s="38" t="s">
        <v>129</v>
      </c>
      <c r="D57" s="125">
        <v>0.621262</v>
      </c>
      <c r="E57" s="143"/>
      <c r="F57" s="125">
        <v>0.621262</v>
      </c>
      <c r="G57" s="125">
        <v>0.621262</v>
      </c>
      <c r="H57" s="125">
        <v>0.621262</v>
      </c>
      <c r="I57" s="125">
        <v>0.621262</v>
      </c>
      <c r="J57" s="125">
        <v>0.621262</v>
      </c>
      <c r="K57" s="125">
        <v>0.621262</v>
      </c>
      <c r="L57" s="125">
        <v>0.621262</v>
      </c>
      <c r="M57" s="125">
        <v>0.621262</v>
      </c>
      <c r="N57" s="125">
        <v>0.621262</v>
      </c>
      <c r="O57" s="125">
        <v>0.621262</v>
      </c>
    </row>
    <row r="58" spans="1:15" ht="12.75">
      <c r="A58" s="12">
        <f t="shared" si="5"/>
        <v>51</v>
      </c>
      <c r="B58" s="38"/>
      <c r="C58" s="38" t="s">
        <v>130</v>
      </c>
      <c r="D58" s="125">
        <v>0.65</v>
      </c>
      <c r="E58" s="143"/>
      <c r="F58" s="125">
        <v>0.65</v>
      </c>
      <c r="G58" s="125">
        <v>0.65</v>
      </c>
      <c r="H58" s="125">
        <v>0.65</v>
      </c>
      <c r="I58" s="125">
        <v>0.65</v>
      </c>
      <c r="J58" s="125">
        <v>0.65</v>
      </c>
      <c r="K58" s="125">
        <v>0.65</v>
      </c>
      <c r="L58" s="125">
        <v>0.65</v>
      </c>
      <c r="M58" s="125">
        <v>0.65</v>
      </c>
      <c r="N58" s="125">
        <v>0.65</v>
      </c>
      <c r="O58" s="125">
        <v>0.65</v>
      </c>
    </row>
    <row r="59" spans="1:15" ht="12.75">
      <c r="A59" s="12">
        <f t="shared" si="5"/>
        <v>52</v>
      </c>
      <c r="B59" s="38"/>
      <c r="C59" s="38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</row>
    <row r="60" spans="1:15" ht="12.75">
      <c r="A60" s="12">
        <f t="shared" si="5"/>
        <v>53</v>
      </c>
      <c r="B60" s="38"/>
      <c r="C60" s="141" t="s">
        <v>131</v>
      </c>
      <c r="D60" s="144">
        <f>+(D24*D56)/D57/D55</f>
        <v>3.982087857200854</v>
      </c>
      <c r="E60" s="143"/>
      <c r="F60" s="144">
        <f>+($F$24*$F$56)/$F$57/$F$55</f>
        <v>3.232794737098598</v>
      </c>
      <c r="G60" s="144">
        <f aca="true" t="shared" si="7" ref="G60:O60">+(G24*G56)/G57/G55</f>
        <v>6.005238981166035</v>
      </c>
      <c r="H60" s="144">
        <f t="shared" si="7"/>
        <v>42.02580193151416</v>
      </c>
      <c r="I60" s="144">
        <f t="shared" si="7"/>
        <v>86.65190413352134</v>
      </c>
      <c r="J60" s="144">
        <f t="shared" si="7"/>
        <v>167.8731680435091</v>
      </c>
      <c r="K60" s="144">
        <f t="shared" si="7"/>
        <v>-65.13193759774826</v>
      </c>
      <c r="L60" s="144">
        <f t="shared" si="7"/>
        <v>192.9710592713104</v>
      </c>
      <c r="M60" s="144">
        <f t="shared" si="7"/>
        <v>110.20848739454603</v>
      </c>
      <c r="N60" s="144">
        <f t="shared" si="7"/>
        <v>0.41922147908449603</v>
      </c>
      <c r="O60" s="144">
        <f t="shared" si="7"/>
        <v>157.1443345119604</v>
      </c>
    </row>
    <row r="61" spans="1:15" ht="12.75">
      <c r="A61" s="12">
        <f t="shared" si="5"/>
        <v>54</v>
      </c>
      <c r="B61" s="38"/>
      <c r="C61" s="141" t="s">
        <v>132</v>
      </c>
      <c r="D61" s="144">
        <f>+D53*D58/D57/D55</f>
        <v>6.657908291979475</v>
      </c>
      <c r="E61" s="143"/>
      <c r="F61" s="144">
        <f aca="true" t="shared" si="8" ref="F61:O61">+F53*F58/F57/F55</f>
        <v>5.776643986258941</v>
      </c>
      <c r="G61" s="144">
        <f t="shared" si="8"/>
        <v>8.959036259450588</v>
      </c>
      <c r="H61" s="144">
        <f t="shared" si="8"/>
        <v>37.7353216544771</v>
      </c>
      <c r="I61" s="144">
        <f t="shared" si="8"/>
        <v>85.57281588690755</v>
      </c>
      <c r="J61" s="144">
        <f t="shared" si="8"/>
        <v>260.37271737105704</v>
      </c>
      <c r="K61" s="144">
        <f t="shared" si="8"/>
        <v>608.0175178462194</v>
      </c>
      <c r="L61" s="144">
        <f t="shared" si="8"/>
        <v>1099.7954523910137</v>
      </c>
      <c r="M61" s="144">
        <f t="shared" si="8"/>
        <v>692.1778051794324</v>
      </c>
      <c r="N61" s="144">
        <f t="shared" si="8"/>
        <v>7.885469080592848</v>
      </c>
      <c r="O61" s="144">
        <f t="shared" si="8"/>
        <v>307.5344984745217</v>
      </c>
    </row>
    <row r="62" spans="1:15" ht="13.5" thickBot="1">
      <c r="A62" s="12">
        <f t="shared" si="5"/>
        <v>55</v>
      </c>
      <c r="B62" s="145"/>
      <c r="C62" s="146" t="s">
        <v>133</v>
      </c>
      <c r="D62" s="147">
        <f>SUM(D60:D61)</f>
        <v>10.639996149180329</v>
      </c>
      <c r="E62" s="148"/>
      <c r="F62" s="147">
        <f aca="true" t="shared" si="9" ref="F62:O62">SUM(F60:F61)</f>
        <v>9.009438723357539</v>
      </c>
      <c r="G62" s="147">
        <f t="shared" si="9"/>
        <v>14.964275240616622</v>
      </c>
      <c r="H62" s="147">
        <f t="shared" si="9"/>
        <v>79.76112358599126</v>
      </c>
      <c r="I62" s="147">
        <f t="shared" si="9"/>
        <v>172.2247200204289</v>
      </c>
      <c r="J62" s="147">
        <f t="shared" si="9"/>
        <v>428.24588541456615</v>
      </c>
      <c r="K62" s="147">
        <f t="shared" si="9"/>
        <v>542.8855802484712</v>
      </c>
      <c r="L62" s="147">
        <f t="shared" si="9"/>
        <v>1292.766511662324</v>
      </c>
      <c r="M62" s="147">
        <f t="shared" si="9"/>
        <v>802.3862925739785</v>
      </c>
      <c r="N62" s="147">
        <f t="shared" si="9"/>
        <v>8.304690559677343</v>
      </c>
      <c r="O62" s="147">
        <f t="shared" si="9"/>
        <v>464.6788329864821</v>
      </c>
    </row>
    <row r="63" ht="13.5" thickTop="1">
      <c r="F63" s="149"/>
    </row>
  </sheetData>
  <sheetProtection/>
  <printOptions horizontalCentered="1"/>
  <pageMargins left="0.25" right="0.25" top="0.6" bottom="0.75" header="0.22" footer="0.46"/>
  <pageSetup fitToHeight="7" horizontalDpi="600" verticalDpi="600" orientation="landscape" pageOrder="overThenDown" scale="63" r:id="rId1"/>
  <headerFooter alignWithMargins="0">
    <oddFooter>&amp;R&amp;"Times New Roman,Regular"Exhibit No.___(DWH-3)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O33"/>
  <sheetViews>
    <sheetView showGridLines="0" workbookViewId="0" topLeftCell="A1">
      <selection activeCell="A1" sqref="A1:IV16384"/>
    </sheetView>
  </sheetViews>
  <sheetFormatPr defaultColWidth="5.8515625" defaultRowHeight="12.75"/>
  <cols>
    <col min="1" max="1" width="5.57421875" style="3" bestFit="1" customWidth="1"/>
    <col min="2" max="2" width="46.8515625" style="3" customWidth="1"/>
    <col min="3" max="3" width="16.421875" style="3" customWidth="1"/>
    <col min="4" max="4" width="12.421875" style="3" customWidth="1"/>
    <col min="5" max="5" width="19.140625" style="3" customWidth="1"/>
    <col min="6" max="16384" width="5.8515625" style="3" customWidth="1"/>
  </cols>
  <sheetData>
    <row r="1" spans="1:15" s="2" customFormat="1" ht="15.75">
      <c r="A1" s="75" t="s">
        <v>0</v>
      </c>
      <c r="B1" s="75"/>
      <c r="C1" s="75"/>
      <c r="D1" s="75"/>
      <c r="E1" s="75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5.75">
      <c r="A2" s="75" t="s">
        <v>556</v>
      </c>
      <c r="B2" s="75"/>
      <c r="C2" s="75"/>
      <c r="D2" s="75"/>
      <c r="E2" s="7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.75">
      <c r="A3" s="75" t="s">
        <v>561</v>
      </c>
      <c r="B3" s="75"/>
      <c r="C3" s="75"/>
      <c r="D3" s="75"/>
      <c r="E3" s="75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75" t="s">
        <v>267</v>
      </c>
      <c r="B4" s="75"/>
      <c r="C4" s="75"/>
      <c r="D4" s="75"/>
      <c r="E4" s="75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13"/>
      <c r="B5" s="113"/>
      <c r="C5" s="113"/>
      <c r="D5" s="113"/>
      <c r="E5" s="113"/>
      <c r="F5" s="1"/>
      <c r="G5" s="1"/>
      <c r="H5" s="1"/>
      <c r="I5" s="1"/>
      <c r="J5" s="1"/>
      <c r="K5" s="1"/>
      <c r="L5" s="1"/>
      <c r="M5" s="1"/>
      <c r="N5" s="1"/>
      <c r="O5" s="1"/>
    </row>
    <row r="6" spans="1:5" s="118" customFormat="1" ht="12.75" customHeight="1">
      <c r="A6" s="114" t="s">
        <v>134</v>
      </c>
      <c r="B6" s="115"/>
      <c r="C6" s="115"/>
      <c r="D6" s="116" t="s">
        <v>135</v>
      </c>
      <c r="E6" s="117"/>
    </row>
    <row r="7" spans="1:5" s="48" customFormat="1" ht="12.75">
      <c r="A7" s="119" t="s">
        <v>136</v>
      </c>
      <c r="B7" s="120" t="s">
        <v>85</v>
      </c>
      <c r="C7" s="121" t="s">
        <v>65</v>
      </c>
      <c r="D7" s="122" t="s">
        <v>137</v>
      </c>
      <c r="E7" s="122" t="s">
        <v>138</v>
      </c>
    </row>
    <row r="8" spans="1:6" s="48" customFormat="1" ht="12.75">
      <c r="A8" s="84"/>
      <c r="B8" s="9" t="s">
        <v>15</v>
      </c>
      <c r="C8" s="9" t="s">
        <v>16</v>
      </c>
      <c r="D8" s="9" t="s">
        <v>17</v>
      </c>
      <c r="E8" s="9" t="s">
        <v>18</v>
      </c>
      <c r="F8" s="9"/>
    </row>
    <row r="9" spans="1:2" s="60" customFormat="1" ht="12.75">
      <c r="A9" s="12">
        <v>1</v>
      </c>
      <c r="B9" s="123" t="s">
        <v>139</v>
      </c>
    </row>
    <row r="10" spans="1:5" ht="12.75">
      <c r="A10" s="12">
        <f aca="true" t="shared" si="0" ref="A10:A33">+A9+1</f>
        <v>2</v>
      </c>
      <c r="B10" s="70" t="s">
        <v>140</v>
      </c>
      <c r="C10" s="91">
        <f>SUM('DWH-3, p12-14 Ratebase Detail'!E59)</f>
        <v>3136327552</v>
      </c>
      <c r="D10" s="30">
        <f>+E10/$C10</f>
        <v>0.36080786309401397</v>
      </c>
      <c r="E10" s="91">
        <f>SUM('DWH-3, p12-14 Ratebase Detail'!E44:E48)</f>
        <v>1131611642</v>
      </c>
    </row>
    <row r="11" spans="1:5" ht="12.75">
      <c r="A11" s="12">
        <f t="shared" si="0"/>
        <v>3</v>
      </c>
      <c r="B11" s="72" t="s">
        <v>141</v>
      </c>
      <c r="C11" s="91">
        <f>SUM('DWH-3, p12-14 Ratebase Detail'!E122)</f>
        <v>-1127842049</v>
      </c>
      <c r="D11" s="30">
        <f>+E11/$C11</f>
        <v>0.3311541233377086</v>
      </c>
      <c r="E11" s="91">
        <f>SUM('DWH-3, p12-14 Ratebase Detail'!E111:E115)</f>
        <v>-373489545</v>
      </c>
    </row>
    <row r="12" spans="1:5" ht="12.75">
      <c r="A12" s="12">
        <f t="shared" si="0"/>
        <v>4</v>
      </c>
      <c r="B12" s="70" t="s">
        <v>142</v>
      </c>
      <c r="C12" s="91">
        <f>C14-SUM(C10:C11)</f>
        <v>-153656152.5546422</v>
      </c>
      <c r="D12" s="30">
        <f>SUM(E10:E11)/SUM(C10:C11)</f>
        <v>0.37745958129527013</v>
      </c>
      <c r="E12" s="91">
        <f>+C12*D12</f>
        <v>-57998987.0067174</v>
      </c>
    </row>
    <row r="13" spans="1:5" ht="12.75">
      <c r="A13" s="12">
        <f t="shared" si="0"/>
        <v>5</v>
      </c>
      <c r="B13" s="70" t="s">
        <v>143</v>
      </c>
      <c r="C13" s="91">
        <v>0</v>
      </c>
      <c r="D13" s="30">
        <f>+D12</f>
        <v>0.37745958129527013</v>
      </c>
      <c r="E13" s="91">
        <f>+C13*D13</f>
        <v>0</v>
      </c>
    </row>
    <row r="14" spans="1:5" ht="12.75">
      <c r="A14" s="12">
        <f t="shared" si="0"/>
        <v>6</v>
      </c>
      <c r="B14" s="124" t="s">
        <v>144</v>
      </c>
      <c r="C14" s="91">
        <f>+'DWH-3, p1-4 ECOS Summary'!E92</f>
        <v>1854829350.4453578</v>
      </c>
      <c r="D14" s="30"/>
      <c r="E14" s="91">
        <f>SUM(E10:E13)</f>
        <v>700123109.9932826</v>
      </c>
    </row>
    <row r="15" spans="1:5" ht="12.75">
      <c r="A15" s="12">
        <f t="shared" si="0"/>
        <v>7</v>
      </c>
      <c r="C15" s="47"/>
      <c r="D15" s="48"/>
      <c r="E15" s="48"/>
    </row>
    <row r="16" spans="1:5" ht="12.75">
      <c r="A16" s="12">
        <f t="shared" si="0"/>
        <v>8</v>
      </c>
      <c r="B16" s="3" t="s">
        <v>145</v>
      </c>
      <c r="C16" s="125">
        <v>0.08560000000000001</v>
      </c>
      <c r="D16" s="125"/>
      <c r="E16" s="125">
        <f>+C16</f>
        <v>0.08560000000000001</v>
      </c>
    </row>
    <row r="17" spans="1:5" ht="12.75">
      <c r="A17" s="87">
        <f t="shared" si="0"/>
        <v>9</v>
      </c>
      <c r="B17" s="126" t="s">
        <v>146</v>
      </c>
      <c r="C17" s="73">
        <f>+C16*C14</f>
        <v>158773392.39812264</v>
      </c>
      <c r="D17" s="127"/>
      <c r="E17" s="73">
        <f>+E16*E14</f>
        <v>59930538.21542499</v>
      </c>
    </row>
    <row r="18" ht="12.75">
      <c r="A18" s="12">
        <f t="shared" si="0"/>
        <v>10</v>
      </c>
    </row>
    <row r="19" spans="1:5" ht="12.75">
      <c r="A19" s="12">
        <f t="shared" si="0"/>
        <v>11</v>
      </c>
      <c r="B19" s="3" t="s">
        <v>147</v>
      </c>
      <c r="E19" s="71"/>
    </row>
    <row r="20" spans="1:5" ht="12.75">
      <c r="A20" s="12">
        <f t="shared" si="0"/>
        <v>12</v>
      </c>
      <c r="B20" s="72" t="s">
        <v>148</v>
      </c>
      <c r="C20" s="71">
        <v>367537392.8751098</v>
      </c>
      <c r="E20" s="71"/>
    </row>
    <row r="21" spans="1:5" ht="12.75">
      <c r="A21" s="12">
        <f t="shared" si="0"/>
        <v>13</v>
      </c>
      <c r="B21" s="124" t="s">
        <v>149</v>
      </c>
      <c r="C21" s="71"/>
      <c r="E21" s="71"/>
    </row>
    <row r="22" spans="1:5" ht="12.75">
      <c r="A22" s="12">
        <f t="shared" si="0"/>
        <v>14</v>
      </c>
      <c r="B22" s="128" t="s">
        <v>150</v>
      </c>
      <c r="C22" s="71">
        <v>-85267758</v>
      </c>
      <c r="E22" s="71"/>
    </row>
    <row r="23" spans="1:5" ht="12.75">
      <c r="A23" s="12">
        <f t="shared" si="0"/>
        <v>15</v>
      </c>
      <c r="B23" s="128" t="s">
        <v>151</v>
      </c>
      <c r="C23" s="71">
        <v>-17685672.064176485</v>
      </c>
      <c r="E23" s="71"/>
    </row>
    <row r="24" spans="1:5" ht="12.75">
      <c r="A24" s="12">
        <f t="shared" si="0"/>
        <v>16</v>
      </c>
      <c r="B24" s="128" t="s">
        <v>71</v>
      </c>
      <c r="C24" s="71">
        <v>-34220921.470443495</v>
      </c>
      <c r="E24" s="71"/>
    </row>
    <row r="25" spans="1:5" ht="12.75">
      <c r="A25" s="12">
        <f t="shared" si="0"/>
        <v>17</v>
      </c>
      <c r="B25" s="129" t="s">
        <v>152</v>
      </c>
      <c r="C25" s="71">
        <f>SUM(C20:C24)</f>
        <v>230363041.3404898</v>
      </c>
      <c r="E25" s="71"/>
    </row>
    <row r="26" spans="1:5" ht="12.75">
      <c r="A26" s="12">
        <f t="shared" si="0"/>
        <v>18</v>
      </c>
      <c r="B26" s="72"/>
      <c r="C26" s="71"/>
      <c r="E26" s="71"/>
    </row>
    <row r="27" spans="1:5" ht="12.75">
      <c r="A27" s="12">
        <f t="shared" si="0"/>
        <v>19</v>
      </c>
      <c r="B27" s="130" t="s">
        <v>153</v>
      </c>
      <c r="C27" s="71">
        <f>SUM('DWH-3, p9-11 Expense Detail'!E88:E95,'DWH-3, p9-11 Expense Detail'!E42:E51)</f>
        <v>76271373</v>
      </c>
      <c r="D27" s="30">
        <f>+E27/$C27</f>
        <v>0.1926929124509139</v>
      </c>
      <c r="E27" s="71">
        <f>SUM('DWH-3, p9-11 Expense Detail'!E45,'DWH-3, p9-11 Expense Detail'!E91)</f>
        <v>14696953</v>
      </c>
    </row>
    <row r="28" spans="1:5" ht="12.75">
      <c r="A28" s="12">
        <f t="shared" si="0"/>
        <v>20</v>
      </c>
      <c r="B28" s="130" t="s">
        <v>154</v>
      </c>
      <c r="C28" s="71">
        <f>+C29-C27</f>
        <v>77820295.3404898</v>
      </c>
      <c r="D28" s="131">
        <f>+D27</f>
        <v>0.1926929124509139</v>
      </c>
      <c r="E28" s="91">
        <f>+C28*D28</f>
        <v>14995419.356949266</v>
      </c>
    </row>
    <row r="29" spans="1:5" ht="12.75">
      <c r="A29" s="87">
        <f t="shared" si="0"/>
        <v>21</v>
      </c>
      <c r="B29" s="126" t="s">
        <v>148</v>
      </c>
      <c r="C29" s="73">
        <f>+C25-C27</f>
        <v>154091668.3404898</v>
      </c>
      <c r="D29" s="127"/>
      <c r="E29" s="73">
        <f>SUM(E27:E28)</f>
        <v>29692372.356949266</v>
      </c>
    </row>
    <row r="30" spans="1:5" ht="12.75">
      <c r="A30" s="12">
        <f t="shared" si="0"/>
        <v>22</v>
      </c>
      <c r="C30" s="71"/>
      <c r="E30" s="71"/>
    </row>
    <row r="31" spans="1:5" ht="12.75">
      <c r="A31" s="87">
        <f t="shared" si="0"/>
        <v>23</v>
      </c>
      <c r="B31" s="42" t="s">
        <v>155</v>
      </c>
      <c r="C31" s="73">
        <f>+C29+C17</f>
        <v>312865060.7386124</v>
      </c>
      <c r="D31" s="42"/>
      <c r="E31" s="73">
        <f>+E29+E17</f>
        <v>89622910.57237425</v>
      </c>
    </row>
    <row r="32" ht="12.75">
      <c r="A32" s="12">
        <f t="shared" si="0"/>
        <v>24</v>
      </c>
    </row>
    <row r="33" spans="1:5" ht="13.5" thickBot="1">
      <c r="A33" s="92">
        <f t="shared" si="0"/>
        <v>25</v>
      </c>
      <c r="B33" s="132" t="s">
        <v>156</v>
      </c>
      <c r="C33" s="25">
        <f>+C29/SUM(C14)</f>
        <v>0.08307592733719212</v>
      </c>
      <c r="D33" s="133"/>
      <c r="E33" s="25">
        <f>ROUND(+E29/SUM(E14),4)</f>
        <v>0.0424</v>
      </c>
    </row>
    <row r="34" ht="13.5" thickTop="1"/>
  </sheetData>
  <sheetProtection/>
  <mergeCells count="5">
    <mergeCell ref="D6:E6"/>
    <mergeCell ref="A1:E1"/>
    <mergeCell ref="A2:E2"/>
    <mergeCell ref="A3:E3"/>
    <mergeCell ref="A4:E4"/>
  </mergeCells>
  <printOptions horizontalCentered="1"/>
  <pageMargins left="0.25" right="0.25" top="0.6" bottom="0.83" header="0.22" footer="0.46"/>
  <pageSetup fitToHeight="4" horizontalDpi="600" verticalDpi="600" orientation="landscape" pageOrder="overThenDown" r:id="rId1"/>
  <headerFooter alignWithMargins="0">
    <oddFooter>&amp;R&amp;"Times New Roman,Regular"Exhibit No.___(DWH-3)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2009-04-22T20:13:21Z</cp:lastPrinted>
  <dcterms:created xsi:type="dcterms:W3CDTF">2009-04-22T19:11:53Z</dcterms:created>
  <dcterms:modified xsi:type="dcterms:W3CDTF">2009-04-22T20:13:32Z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090705</vt:lpwstr>
  </property>
  <property fmtid="{D5CDD505-2E9C-101B-9397-08002B2CF9AE}" pid="6" name="IsConfidenti">
    <vt:lpwstr>0</vt:lpwstr>
  </property>
  <property fmtid="{D5CDD505-2E9C-101B-9397-08002B2CF9AE}" pid="7" name="Dat">
    <vt:lpwstr>2009-05-08T00:00:00Z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2009-05-08T00:00:00Z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