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RR Summary" sheetId="1" r:id="rId1"/>
    <sheet name="Rate Base" sheetId="2" r:id="rId2"/>
    <sheet name="Cust Depts" sheetId="3" r:id="rId3"/>
    <sheet name="LL" sheetId="4" r:id="rId4"/>
    <sheet name="Swift" sheetId="5" r:id="rId5"/>
    <sheet name="Def debits" sheetId="6" r:id="rId6"/>
    <sheet name="Inc State" sheetId="7" r:id="rId7"/>
    <sheet name="Tax IRS" sheetId="8" r:id="rId8"/>
    <sheet name="Benefits" sheetId="9" r:id="rId9"/>
    <sheet name="Int Synch" sheetId="10" r:id="rId10"/>
    <sheet name="COC" sheetId="11" r:id="rId11"/>
  </sheets>
  <definedNames>
    <definedName name="_xlnm.Print_Area" localSheetId="8">'Benefits'!$A$1:$J$35</definedName>
    <definedName name="_xlnm.Print_Area" localSheetId="10">'COC'!$A$1:$K$41</definedName>
    <definedName name="_xlnm.Print_Area" localSheetId="5">'Def debits'!$B$1:$K$49</definedName>
    <definedName name="_xlnm.Print_Area" localSheetId="6">'Inc State'!$A$5:$S$45</definedName>
    <definedName name="_xlnm.Print_Area" localSheetId="9">'Int Synch'!$A$1:$J$37</definedName>
    <definedName name="_xlnm.Print_Area" localSheetId="3">'LL'!$R$2:$AC$65</definedName>
    <definedName name="_xlnm.Print_Area" localSheetId="1">'Rate Base'!$C$1:$O$44</definedName>
    <definedName name="_xlnm.Print_Area" localSheetId="0">'RR Summary'!$A$1:$I$45</definedName>
    <definedName name="_xlnm.Print_Area" localSheetId="4">'Swift'!$A$1:$L$33</definedName>
    <definedName name="_xlnm.Print_Area" localSheetId="7">'Tax IRS'!$A$1:$J$29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<sst xmlns="http://schemas.openxmlformats.org/spreadsheetml/2006/main" count="467" uniqueCount="304">
  <si>
    <t>Canal Outage</t>
  </si>
  <si>
    <t>Allocated Utilizing DGP Allocator</t>
  </si>
  <si>
    <t>Allocated Utilizing SO Allocator</t>
  </si>
  <si>
    <t>Total Test Year Expenses</t>
  </si>
  <si>
    <t>Amount</t>
  </si>
  <si>
    <t>Company</t>
  </si>
  <si>
    <t>Proposed</t>
  </si>
  <si>
    <t>Allocation</t>
  </si>
  <si>
    <t>Factor</t>
  </si>
  <si>
    <t>Adjustment</t>
  </si>
  <si>
    <t>Allocations</t>
  </si>
  <si>
    <t>Canal Outage Costs Capitalized</t>
  </si>
  <si>
    <t>Source for data used in adjustment:</t>
  </si>
  <si>
    <t>Line</t>
  </si>
  <si>
    <t>No.</t>
  </si>
  <si>
    <t>Description</t>
  </si>
  <si>
    <t>Pacificorp</t>
  </si>
  <si>
    <t>Swift 2 Canal Outage Adjustment</t>
  </si>
  <si>
    <t>Washington Jurisdictional</t>
  </si>
  <si>
    <t>Customer Deposits:</t>
  </si>
  <si>
    <t>Test Year Average</t>
  </si>
  <si>
    <t>Rate Base Offset</t>
  </si>
  <si>
    <t>Current Interest Rate on</t>
  </si>
  <si>
    <t>WA Customer Deposits:</t>
  </si>
  <si>
    <t>Utilizing Co.</t>
  </si>
  <si>
    <t xml:space="preserve">Total Company Employee Benefits </t>
  </si>
  <si>
    <t xml:space="preserve">Other Than Pensions and Post </t>
  </si>
  <si>
    <t>Retirement Medical Benefits that</t>
  </si>
  <si>
    <t>the Company Proposed to Reflect</t>
  </si>
  <si>
    <t>on a FY2004 Budget Basis</t>
  </si>
  <si>
    <t>Company Proposed Allocation Factor (SO)</t>
  </si>
  <si>
    <t xml:space="preserve">Washington Jurisdictional Adjustment to </t>
  </si>
  <si>
    <t>Remove Budgeted FY2004 Employee</t>
  </si>
  <si>
    <t>Benefits Other Than Pensions and Post</t>
  </si>
  <si>
    <t>Retirement Medical Benefits Utilizing</t>
  </si>
  <si>
    <t xml:space="preserve">Company's Proposed Jurisdictional </t>
  </si>
  <si>
    <t>Allocation Factors (SO)</t>
  </si>
  <si>
    <t>Source:  Company W/Ps 4.2 &amp; 4.2.2</t>
  </si>
  <si>
    <t>Adjustment to Eliminate the Company's</t>
  </si>
  <si>
    <t>Proposed Adjustment to Amortize</t>
  </si>
  <si>
    <t>IRS Settlement Payments Made During</t>
  </si>
  <si>
    <t>Fiscal Years 2003 and 2004 Over a Five</t>
  </si>
  <si>
    <t>Year Period</t>
  </si>
  <si>
    <t>Eliminate Amortization of IRS Settlement Payments</t>
  </si>
  <si>
    <t>Total Revenue Lag</t>
  </si>
  <si>
    <t>Fuel</t>
  </si>
  <si>
    <t>Steam O&amp;M</t>
  </si>
  <si>
    <t>Hydro O&amp;M</t>
  </si>
  <si>
    <t>Other Prod O&amp;M</t>
  </si>
  <si>
    <t>Purch. Power</t>
  </si>
  <si>
    <t>Transmission</t>
  </si>
  <si>
    <t>Distribution</t>
  </si>
  <si>
    <t>Customer Acc't &amp; Svc</t>
  </si>
  <si>
    <t>Sales</t>
  </si>
  <si>
    <t>A&amp;G</t>
  </si>
  <si>
    <t>Total</t>
  </si>
  <si>
    <t>Payroll</t>
  </si>
  <si>
    <t>Taxes Other</t>
  </si>
  <si>
    <t>Property</t>
  </si>
  <si>
    <t>Other Taxes</t>
  </si>
  <si>
    <t>Federal</t>
  </si>
  <si>
    <t>Income Taxes</t>
  </si>
  <si>
    <t>State</t>
  </si>
  <si>
    <t>Totals</t>
  </si>
  <si>
    <t>Interest Expense</t>
  </si>
  <si>
    <t>Service Lag</t>
  </si>
  <si>
    <t>Billing Lag</t>
  </si>
  <si>
    <t>Collection Lag</t>
  </si>
  <si>
    <t>Total Rev Lag</t>
  </si>
  <si>
    <t>Cost per Day</t>
  </si>
  <si>
    <t>Net Lag Days</t>
  </si>
  <si>
    <t>WC Offset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</si>
  <si>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</si>
  <si>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</si>
  <si>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</si>
  <si>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</si>
  <si>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</si>
  <si>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</si>
  <si>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</si>
  <si>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</si>
  <si>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</si>
  <si>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</si>
  <si>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</si>
  <si>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Customer Accounting</t>
  </si>
  <si>
    <t>Customer Service &amp; Info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</si>
  <si>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</si>
  <si>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</si>
  <si>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</si>
  <si>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</si>
  <si>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</si>
  <si>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</si>
  <si>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</si>
  <si>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</si>
  <si>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</si>
  <si>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</si>
  <si>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</si>
  <si>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</si>
  <si>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</si>
  <si>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</si>
  <si>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</si>
  <si>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</si>
  <si>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</si>
  <si>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</si>
  <si>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</si>
  <si>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</si>
  <si>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</si>
  <si>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</si>
  <si>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</si>
  <si>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</si>
  <si>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</si>
  <si>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</si>
  <si>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</si>
  <si>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</si>
  <si>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</si>
  <si>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</si>
  <si>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</si>
  <si>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</si>
  <si>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</si>
  <si>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</si>
  <si>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Interest</t>
  </si>
  <si>
    <t>WA Jurisdictional</t>
  </si>
  <si>
    <t>As Adjusted</t>
  </si>
  <si>
    <t>by Company</t>
  </si>
  <si>
    <t>WA Jurisdictional Rate Base</t>
  </si>
  <si>
    <t>Overall Rate of Return</t>
  </si>
  <si>
    <t>Net Operating Income Required</t>
  </si>
  <si>
    <t>NOI -- Existing Rates</t>
  </si>
  <si>
    <t>NOI Deficiency (Excess)</t>
  </si>
  <si>
    <t>Tax Conversion Factor</t>
  </si>
  <si>
    <t>Revenue Deficiency (Excess)</t>
  </si>
  <si>
    <t>OVERALL COST OF CAPITAL</t>
  </si>
  <si>
    <t>WT. AVG.</t>
  </si>
  <si>
    <t>Type of Capital</t>
  </si>
  <si>
    <t>PERCENT</t>
  </si>
  <si>
    <t>COST RATE</t>
  </si>
  <si>
    <t>Common Equity</t>
  </si>
  <si>
    <t>Preferred Stock</t>
  </si>
  <si>
    <t>Long-term Debt</t>
  </si>
  <si>
    <t>Short-term Debt</t>
  </si>
  <si>
    <t>TOTAL CAPITAL</t>
  </si>
  <si>
    <t>Public Counsel Recommended</t>
  </si>
  <si>
    <t>Sponsored by Witness Stephen Hill</t>
  </si>
  <si>
    <t>As Proposed by Pacificorp</t>
  </si>
  <si>
    <t>Price Change Per Company</t>
  </si>
  <si>
    <t>As Proposed</t>
  </si>
  <si>
    <t>By Company</t>
  </si>
  <si>
    <t>Public</t>
  </si>
  <si>
    <t>Counsel</t>
  </si>
  <si>
    <t>Adjustments</t>
  </si>
  <si>
    <t>by Public</t>
  </si>
  <si>
    <t>Rate Base As Proposed by Public Counsel</t>
  </si>
  <si>
    <t>Public Counsel Proposed Weighted Cost</t>
  </si>
  <si>
    <t>of Debt</t>
  </si>
  <si>
    <t>Annualized Interest Deduction Calculated</t>
  </si>
  <si>
    <t>Utilizing Public Counsel Proposed Rate</t>
  </si>
  <si>
    <t>Base and Weighted Cost of Debt</t>
  </si>
  <si>
    <t>Annualized Interest Deduction Per</t>
  </si>
  <si>
    <t>Increase (decrease) in Public Counsel</t>
  </si>
  <si>
    <t>Proposed Tax Deductible Interest</t>
  </si>
  <si>
    <t>Deduction</t>
  </si>
  <si>
    <t>Composite FIT/SIT Tax Rate</t>
  </si>
  <si>
    <t>Increase (decrease) in Composite</t>
  </si>
  <si>
    <t>Federal &amp; State Income Tax Expense</t>
  </si>
  <si>
    <t>As Adjusted by</t>
  </si>
  <si>
    <t>Public Counsel</t>
  </si>
  <si>
    <t>Synch.</t>
  </si>
  <si>
    <t xml:space="preserve">  Change in Before Tax COC</t>
  </si>
  <si>
    <t xml:space="preserve">  Company Proposed Rate Base</t>
  </si>
  <si>
    <t xml:space="preserve">  Rev Req Impact of Just Change in COC</t>
  </si>
  <si>
    <t>Customer</t>
  </si>
  <si>
    <t>Duplicate Pacificorp's 1998 Lead Lag Study Results</t>
  </si>
  <si>
    <t xml:space="preserve">Note "Dollardays" are off slightly from </t>
  </si>
  <si>
    <t xml:space="preserve">Study Results -- probably just due to </t>
  </si>
  <si>
    <t>rounding of expense day lags</t>
  </si>
  <si>
    <t>Accounts Payable Lag</t>
  </si>
  <si>
    <t>Page 2.7.1 of Company's 1998 Lead Lag</t>
  </si>
  <si>
    <t>Ties to Non-</t>
  </si>
  <si>
    <t>Cash Totals</t>
  </si>
  <si>
    <t xml:space="preserve">Shown on </t>
  </si>
  <si>
    <t>Schedule 2.2</t>
  </si>
  <si>
    <t>Year Before Reclassifying Payroll Costs</t>
  </si>
  <si>
    <t>Washington Jurisdictional Results FY 2003 Test</t>
  </si>
  <si>
    <t>WA Annual</t>
  </si>
  <si>
    <t>Normalized</t>
  </si>
  <si>
    <t>WA Juris.</t>
  </si>
  <si>
    <t>Lag</t>
  </si>
  <si>
    <t>Days</t>
  </si>
  <si>
    <t>Dollar</t>
  </si>
  <si>
    <t>Cash Expenses Per Day</t>
  </si>
  <si>
    <t>Revenue Lag Development</t>
  </si>
  <si>
    <t>Service Period (365/12/2)</t>
  </si>
  <si>
    <t xml:space="preserve">Less Average Cash </t>
  </si>
  <si>
    <t>Net Payment Lag</t>
  </si>
  <si>
    <t xml:space="preserve">Adjustment to Pacificorp's </t>
  </si>
  <si>
    <t>Proposed Level of CWC</t>
  </si>
  <si>
    <t>Deposits</t>
  </si>
  <si>
    <t>Cash Working</t>
  </si>
  <si>
    <t>Capital</t>
  </si>
  <si>
    <t>Swift</t>
  </si>
  <si>
    <t>Canal</t>
  </si>
  <si>
    <t>by Public Counsel</t>
  </si>
  <si>
    <t>Before Considering Power</t>
  </si>
  <si>
    <t>Supply Adjustment</t>
  </si>
  <si>
    <t>Power Supply Cost</t>
  </si>
  <si>
    <t>Adjustment Sponsored by</t>
  </si>
  <si>
    <t>Public Counsel Witness</t>
  </si>
  <si>
    <t>Jim Lazar</t>
  </si>
  <si>
    <t>After Considering Power</t>
  </si>
  <si>
    <t xml:space="preserve"> (a)  Tax Conversion Factor</t>
  </si>
  <si>
    <t>Tax Conversion Factor (a)</t>
  </si>
  <si>
    <t>PACIFICORP d/b/a Pacific Power &amp; Light Company</t>
  </si>
  <si>
    <t>Revenue Requirement Summary for Washington Retail Operations</t>
  </si>
  <si>
    <t>Adjusted Operations for Test Year Ending March 2003</t>
  </si>
  <si>
    <t>Schedule A</t>
  </si>
  <si>
    <t>Page 1 of 1</t>
  </si>
  <si>
    <t>Rate Base Summary for Washington Retail Operations</t>
  </si>
  <si>
    <t>Schedule B</t>
  </si>
  <si>
    <t>(a)</t>
  </si>
  <si>
    <t>(b)</t>
  </si>
  <si>
    <t>( c )</t>
  </si>
  <si>
    <t>(d)</t>
  </si>
  <si>
    <t>(e)</t>
  </si>
  <si>
    <t>(f)</t>
  </si>
  <si>
    <t>(g)</t>
  </si>
  <si>
    <t>(Sch. B-1)</t>
  </si>
  <si>
    <t>(Sch. B-2)</t>
  </si>
  <si>
    <t>(Sch. B-3)</t>
  </si>
  <si>
    <t>Net Operating Income Summary for Washington Retail Operations</t>
  </si>
  <si>
    <t>Deposit</t>
  </si>
  <si>
    <t>Composite Tax Rate</t>
  </si>
  <si>
    <t>Expenses</t>
  </si>
  <si>
    <t>IRS</t>
  </si>
  <si>
    <t>Settlement</t>
  </si>
  <si>
    <t>Payments</t>
  </si>
  <si>
    <t>(Sch. C-1)</t>
  </si>
  <si>
    <t>Employee</t>
  </si>
  <si>
    <t>Benefits</t>
  </si>
  <si>
    <t>(Sch. C-2)</t>
  </si>
  <si>
    <t>(Sch. C-3)</t>
  </si>
  <si>
    <t>(h)</t>
  </si>
  <si>
    <t>Schedule C</t>
  </si>
  <si>
    <t>Schedule B-3</t>
  </si>
  <si>
    <t>Pacificorp d/b/a Pacific Power &amp; Light Company</t>
  </si>
  <si>
    <t xml:space="preserve">  Public Counsel Data Request 21</t>
  </si>
  <si>
    <t>Customer Deposits Adjustment</t>
  </si>
  <si>
    <t>Schedule B-1</t>
  </si>
  <si>
    <t>Schedule B-2</t>
  </si>
  <si>
    <t>Adjustment to Company Proposed Lead Lag Study</t>
  </si>
  <si>
    <t>Per Public Counsel</t>
  </si>
  <si>
    <t>Schedule C-1</t>
  </si>
  <si>
    <t>Schedule D</t>
  </si>
  <si>
    <t>Adjusted Operations for Test Year Ended March 31, 2003</t>
  </si>
  <si>
    <t>Schedule C-3</t>
  </si>
  <si>
    <t>Adjusted Operations forTest Year Ended March 31, 2003</t>
  </si>
  <si>
    <t>Schedule C-2</t>
  </si>
  <si>
    <t>Employee Benefits Adjustment</t>
  </si>
  <si>
    <t>Miscellaneous</t>
  </si>
  <si>
    <t>Deferred Debits</t>
  </si>
  <si>
    <t>&amp; Other Reg Assets</t>
  </si>
  <si>
    <t>(Sch. B-4)</t>
  </si>
  <si>
    <t>Interest to be Reflected as an</t>
  </si>
  <si>
    <t>Above-the-Line Operating Expense</t>
  </si>
  <si>
    <t>Expense Lag (Line 21)</t>
  </si>
  <si>
    <t>Cash Working Capital Rate</t>
  </si>
  <si>
    <t>Base Offset Per Pubic Counsel</t>
  </si>
  <si>
    <t>CWC As Calculated by</t>
  </si>
  <si>
    <t>(I)</t>
  </si>
  <si>
    <t>Jurisdictional</t>
  </si>
  <si>
    <t>Washington</t>
  </si>
  <si>
    <t>Adjusted Operations for the Test Year Ended March 31, 2003</t>
  </si>
  <si>
    <t>Miscellaneous Deferred Debits Included in</t>
  </si>
  <si>
    <t xml:space="preserve">Pacificorp's Proposed Washington </t>
  </si>
  <si>
    <t>Jurisdictional Rate Base for Which there</t>
  </si>
  <si>
    <t>Accounting</t>
  </si>
  <si>
    <t>is no WUTC Order Authorizing Deferral</t>
  </si>
  <si>
    <t>Other Regulatory Assets Included in</t>
  </si>
  <si>
    <t>DR No.</t>
  </si>
  <si>
    <t>Total Miscellaneous Deferred Debits and</t>
  </si>
  <si>
    <t xml:space="preserve">Other Regulatory Assets for Which </t>
  </si>
  <si>
    <t>Deferral Accounting</t>
  </si>
  <si>
    <t>Washington Jurisdictional Amortization of</t>
  </si>
  <si>
    <t>Miscellaneous Deferred Debits Included</t>
  </si>
  <si>
    <t>WUTC Order Authorizing Deferral</t>
  </si>
  <si>
    <t>Accounting and Prospective Rate</t>
  </si>
  <si>
    <t>Recovery</t>
  </si>
  <si>
    <t>Other Regulatory Assets Included</t>
  </si>
  <si>
    <t>Other Regulatory Assets Amortization</t>
  </si>
  <si>
    <t>Expense for Which There is no WUTC</t>
  </si>
  <si>
    <t>Order Authorizing Deferral Accounting</t>
  </si>
  <si>
    <t>Reference</t>
  </si>
  <si>
    <t>Line 5 + 10</t>
  </si>
  <si>
    <t>Line 21 + 28</t>
  </si>
  <si>
    <t>Miscellaneous Deferred Debits/Other Regulatory Assets Adjustment</t>
  </si>
  <si>
    <t>Schedule B-4</t>
  </si>
  <si>
    <t>Misc. Def. Debits</t>
  </si>
  <si>
    <t>Other Reg</t>
  </si>
  <si>
    <t>Assets Amort.</t>
  </si>
  <si>
    <t>Pacificorp has no WUTC Order Authorizing</t>
  </si>
  <si>
    <t>Within Pacificorp's Proposed Adjusted</t>
  </si>
  <si>
    <t>Operating Expenses for which there is no</t>
  </si>
  <si>
    <t>Swift 1 Canal Outage Adjustment</t>
  </si>
  <si>
    <t>Test Year Expenses Incurred for Swift 1</t>
  </si>
  <si>
    <t>Test Year 13 Month Average of Swift 1</t>
  </si>
  <si>
    <t>Req. Incr. in NOI Per Company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</si>
</sst>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_(* #,##0.0_);_(* \(#,##0.0\);_(* &quot;-&quot;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_(* #,##0.0000_);_(* \(#,##0.0000\);_(* &quot;-&quot;??_);_(@_)"/>
    <numFmt numFmtId="177" formatCode="0.00000%"/>
    <numFmt numFmtId="178" formatCode="0.000000%"/>
    <numFmt numFmtId="179" formatCode="0.0000000%"/>
    <numFmt numFmtId="180" formatCode="0.00000000"/>
    <numFmt numFmtId="181" formatCode="0.0000000"/>
    <numFmt numFmtId="182" formatCode="0.000000"/>
    <numFmt numFmtId="183" formatCode="0.00000"/>
  </numFmts>
  <fonts count="11">
    <font>
      <sz val="10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sz val="9"/>
      <name val="Tms Rmn"/>
      <family val="0"/>
    </font>
    <font>
      <u val="single"/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19" applyNumberFormat="1" applyAlignment="1">
      <alignment/>
    </xf>
    <xf numFmtId="165" fontId="0" fillId="0" borderId="2" xfId="17" applyNumberFormat="1" applyBorder="1" applyAlignment="1">
      <alignment/>
    </xf>
    <xf numFmtId="165" fontId="0" fillId="0" borderId="2" xfId="0" applyNumberFormat="1" applyBorder="1" applyAlignment="1">
      <alignment/>
    </xf>
    <xf numFmtId="44" fontId="0" fillId="0" borderId="2" xfId="17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15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10" fontId="0" fillId="0" borderId="1" xfId="19" applyNumberFormat="1" applyBorder="1" applyAlignment="1">
      <alignment/>
    </xf>
    <xf numFmtId="44" fontId="0" fillId="0" borderId="0" xfId="17" applyBorder="1" applyAlignment="1">
      <alignment/>
    </xf>
    <xf numFmtId="43" fontId="0" fillId="0" borderId="1" xfId="15" applyBorder="1" applyAlignment="1">
      <alignment/>
    </xf>
    <xf numFmtId="0" fontId="0" fillId="0" borderId="0" xfId="0" applyFill="1" applyBorder="1" applyAlignment="1">
      <alignment/>
    </xf>
    <xf numFmtId="170" fontId="0" fillId="0" borderId="1" xfId="19" applyNumberFormat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19" applyNumberFormat="1" applyBorder="1" applyAlignment="1">
      <alignment/>
    </xf>
    <xf numFmtId="166" fontId="0" fillId="0" borderId="0" xfId="15" applyNumberFormat="1" applyAlignment="1">
      <alignment/>
    </xf>
    <xf numFmtId="167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67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9" fontId="2" fillId="0" borderId="0" xfId="0" applyNumberFormat="1" applyFont="1" applyAlignment="1">
      <alignment horizontal="center"/>
    </xf>
    <xf numFmtId="169" fontId="0" fillId="0" borderId="1" xfId="19" applyNumberFormat="1" applyBorder="1" applyAlignment="1">
      <alignment/>
    </xf>
    <xf numFmtId="183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2" fillId="0" borderId="2" xfId="0" applyNumberFormat="1" applyFont="1" applyBorder="1" applyAlignment="1">
      <alignment horizontal="center"/>
    </xf>
    <xf numFmtId="167" fontId="0" fillId="0" borderId="0" xfId="15" applyNumberFormat="1" applyFont="1" applyAlignment="1">
      <alignment/>
    </xf>
    <xf numFmtId="166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10" fontId="0" fillId="0" borderId="0" xfId="19" applyNumberFormat="1" applyAlignment="1">
      <alignment/>
    </xf>
    <xf numFmtId="10" fontId="2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7" fontId="0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22">
      <selection activeCell="C43" sqref="C4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421875" style="0" bestFit="1" customWidth="1"/>
    <col min="4" max="4" width="2.7109375" style="0" customWidth="1"/>
    <col min="5" max="5" width="15.0039062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bestFit="1" customWidth="1"/>
    <col min="11" max="11" width="11.28125" style="0" bestFit="1" customWidth="1"/>
  </cols>
  <sheetData>
    <row r="1" ht="12.75">
      <c r="I1" s="60" t="s">
        <v>213</v>
      </c>
    </row>
    <row r="2" ht="12.75">
      <c r="I2" s="60" t="s">
        <v>214</v>
      </c>
    </row>
    <row r="3" ht="12.75">
      <c r="I3" s="60"/>
    </row>
    <row r="4" ht="12.75">
      <c r="I4" s="60"/>
    </row>
    <row r="5" spans="3:9" ht="18">
      <c r="C5" s="70" t="s">
        <v>210</v>
      </c>
      <c r="D5" s="70"/>
      <c r="E5" s="70"/>
      <c r="F5" s="70"/>
      <c r="G5" s="70"/>
      <c r="H5" s="70"/>
      <c r="I5" s="70"/>
    </row>
    <row r="6" spans="3:9" ht="12.75">
      <c r="C6" s="71" t="s">
        <v>211</v>
      </c>
      <c r="D6" s="71"/>
      <c r="E6" s="71"/>
      <c r="F6" s="71"/>
      <c r="G6" s="71"/>
      <c r="H6" s="71"/>
      <c r="I6" s="71"/>
    </row>
    <row r="7" spans="3:9" ht="12.75">
      <c r="C7" s="71" t="s">
        <v>212</v>
      </c>
      <c r="D7" s="71"/>
      <c r="E7" s="71"/>
      <c r="F7" s="71"/>
      <c r="G7" s="71"/>
      <c r="H7" s="71"/>
      <c r="I7" s="71"/>
    </row>
    <row r="8" spans="5:9" ht="12.75">
      <c r="E8" s="4"/>
      <c r="F8" s="4"/>
      <c r="G8" s="4"/>
      <c r="H8" s="4"/>
      <c r="I8" s="4"/>
    </row>
    <row r="9" spans="5:9" ht="12.75">
      <c r="E9" s="4"/>
      <c r="F9" s="4"/>
      <c r="G9" s="4" t="s">
        <v>146</v>
      </c>
      <c r="H9" s="4"/>
      <c r="I9" s="4" t="s">
        <v>144</v>
      </c>
    </row>
    <row r="10" spans="1:9" ht="12.75">
      <c r="A10" s="4" t="s">
        <v>13</v>
      </c>
      <c r="E10" s="4" t="s">
        <v>144</v>
      </c>
      <c r="F10" s="4"/>
      <c r="G10" s="4" t="s">
        <v>147</v>
      </c>
      <c r="H10" s="4"/>
      <c r="I10" s="4" t="s">
        <v>149</v>
      </c>
    </row>
    <row r="11" spans="1:9" ht="12.75">
      <c r="A11" s="5" t="s">
        <v>14</v>
      </c>
      <c r="C11" s="5" t="s">
        <v>15</v>
      </c>
      <c r="E11" s="5" t="s">
        <v>145</v>
      </c>
      <c r="F11" s="4"/>
      <c r="G11" s="5" t="s">
        <v>148</v>
      </c>
      <c r="H11" s="4"/>
      <c r="I11" s="5" t="s">
        <v>147</v>
      </c>
    </row>
    <row r="12" spans="1:9" ht="12.75">
      <c r="A12" s="4"/>
      <c r="E12" s="4"/>
      <c r="F12" s="4"/>
      <c r="G12" s="4"/>
      <c r="H12" s="4"/>
      <c r="I12" s="4"/>
    </row>
    <row r="13" spans="1:9" ht="12.75">
      <c r="A13" s="4">
        <v>1</v>
      </c>
      <c r="C13" t="s">
        <v>123</v>
      </c>
      <c r="E13" s="2">
        <f>+'Rate Base'!E43</f>
        <v>596314312</v>
      </c>
      <c r="G13" s="2">
        <f>+I13-E13</f>
        <v>-22999117.48450625</v>
      </c>
      <c r="H13" s="2"/>
      <c r="I13" s="2">
        <f>+'Rate Base'!O43</f>
        <v>573315194.5154938</v>
      </c>
    </row>
    <row r="14" ht="12.75">
      <c r="A14" s="4"/>
    </row>
    <row r="15" spans="1:9" ht="12.75">
      <c r="A15" s="4">
        <v>2</v>
      </c>
      <c r="C15" t="s">
        <v>124</v>
      </c>
      <c r="E15" s="48">
        <f>+ROUND(COC!I22,5)</f>
        <v>0.08743</v>
      </c>
      <c r="G15" s="48">
        <f>+I15-E15</f>
        <v>-0.010255484999999995</v>
      </c>
      <c r="H15" s="48"/>
      <c r="I15" s="16">
        <f>+COC!I38</f>
        <v>0.077174515</v>
      </c>
    </row>
    <row r="16" ht="12.75">
      <c r="A16" s="4"/>
    </row>
    <row r="17" spans="1:9" ht="12.75">
      <c r="A17" s="4">
        <v>3</v>
      </c>
      <c r="C17" t="s">
        <v>125</v>
      </c>
      <c r="E17" s="2">
        <f>+E13*E15</f>
        <v>52135760.298159994</v>
      </c>
      <c r="G17" s="2">
        <f>+I17-E17</f>
        <v>-7890438.219296105</v>
      </c>
      <c r="H17" s="2"/>
      <c r="I17" s="2">
        <f>+I13*I15</f>
        <v>44245322.07886389</v>
      </c>
    </row>
    <row r="18" ht="12.75">
      <c r="A18" s="4"/>
    </row>
    <row r="19" spans="1:9" ht="12.75">
      <c r="A19" s="4">
        <v>4</v>
      </c>
      <c r="C19" t="s">
        <v>126</v>
      </c>
      <c r="E19" s="3">
        <f>+'Inc State'!E45</f>
        <v>36349027.43972474</v>
      </c>
      <c r="G19" s="3">
        <f>+I19-E19</f>
        <v>2588967.471752584</v>
      </c>
      <c r="H19" s="3"/>
      <c r="I19" s="3">
        <f>+'Inc State'!S45</f>
        <v>38937994.91147733</v>
      </c>
    </row>
    <row r="20" ht="12.75">
      <c r="A20" s="4"/>
    </row>
    <row r="21" spans="1:9" ht="12.75">
      <c r="A21" s="4">
        <v>5</v>
      </c>
      <c r="C21" t="s">
        <v>127</v>
      </c>
      <c r="E21" s="24">
        <f>+E17-E19</f>
        <v>15786732.85843525</v>
      </c>
      <c r="G21" s="24">
        <f>+I21-E21</f>
        <v>-10479405.69104869</v>
      </c>
      <c r="H21" s="24"/>
      <c r="I21" s="24">
        <f>+I17-I19</f>
        <v>5307327.167386562</v>
      </c>
    </row>
    <row r="22" ht="12.75">
      <c r="A22" s="4"/>
    </row>
    <row r="23" spans="1:9" ht="12.75">
      <c r="A23" s="4">
        <v>6</v>
      </c>
      <c r="C23" t="s">
        <v>209</v>
      </c>
      <c r="E23" s="49">
        <f>+$E$44</f>
        <v>1.692870398430239</v>
      </c>
      <c r="G23" s="49">
        <f>+$E$44</f>
        <v>1.692870398430239</v>
      </c>
      <c r="H23" s="49"/>
      <c r="I23" s="49">
        <f>+$E$44</f>
        <v>1.692870398430239</v>
      </c>
    </row>
    <row r="24" spans="1:9" ht="12.75">
      <c r="A24" s="4"/>
      <c r="E24" s="58"/>
      <c r="G24" s="58"/>
      <c r="H24" s="58"/>
      <c r="I24" s="58"/>
    </row>
    <row r="25" spans="1:9" ht="12.75">
      <c r="A25" s="4">
        <v>7</v>
      </c>
      <c r="C25" t="s">
        <v>129</v>
      </c>
      <c r="E25" s="58"/>
      <c r="G25" s="58"/>
      <c r="H25" s="58"/>
      <c r="I25" s="58"/>
    </row>
    <row r="26" spans="1:3" ht="12.75">
      <c r="A26" s="4">
        <v>8</v>
      </c>
      <c r="C26" t="s">
        <v>201</v>
      </c>
    </row>
    <row r="27" spans="1:11" ht="13.5" thickBot="1">
      <c r="A27" s="4">
        <v>9</v>
      </c>
      <c r="C27" t="s">
        <v>202</v>
      </c>
      <c r="E27" s="27">
        <f>+E21*E23</f>
        <v>26724892.743971027</v>
      </c>
      <c r="G27" s="27">
        <f>+I27-E27</f>
        <v>-17740275.68751771</v>
      </c>
      <c r="H27" s="13"/>
      <c r="I27" s="27">
        <f>+I21*I23</f>
        <v>8984617.05645332</v>
      </c>
      <c r="K27" s="24"/>
    </row>
    <row r="28" ht="13.5" thickTop="1">
      <c r="A28" s="4"/>
    </row>
    <row r="29" spans="1:3" ht="12.75">
      <c r="A29" s="4">
        <v>10</v>
      </c>
      <c r="C29" t="s">
        <v>203</v>
      </c>
    </row>
    <row r="30" spans="1:3" ht="12.75">
      <c r="A30" s="4">
        <v>11</v>
      </c>
      <c r="C30" t="s">
        <v>204</v>
      </c>
    </row>
    <row r="31" spans="1:3" ht="12.75">
      <c r="A31" s="4">
        <v>12</v>
      </c>
      <c r="C31" t="s">
        <v>205</v>
      </c>
    </row>
    <row r="32" spans="1:9" ht="12.75">
      <c r="A32" s="4">
        <v>13</v>
      </c>
      <c r="C32" t="s">
        <v>206</v>
      </c>
      <c r="I32" s="3">
        <f>-34269125</f>
        <v>-34269125</v>
      </c>
    </row>
    <row r="33" ht="12.75">
      <c r="A33" s="4"/>
    </row>
    <row r="34" spans="1:3" ht="12.75">
      <c r="A34" s="4">
        <v>14</v>
      </c>
      <c r="C34" t="s">
        <v>129</v>
      </c>
    </row>
    <row r="35" spans="1:3" ht="12.75">
      <c r="A35" s="4">
        <v>15</v>
      </c>
      <c r="C35" t="s">
        <v>207</v>
      </c>
    </row>
    <row r="36" spans="1:9" ht="13.5" thickBot="1">
      <c r="A36" s="4">
        <v>16</v>
      </c>
      <c r="C36" t="s">
        <v>202</v>
      </c>
      <c r="I36" s="7">
        <f>+I27+I32</f>
        <v>-25284507.943546683</v>
      </c>
    </row>
    <row r="37" ht="13.5" thickTop="1">
      <c r="A37" s="4"/>
    </row>
    <row r="38" ht="12.75">
      <c r="A38" s="4"/>
    </row>
    <row r="39" spans="1:3" ht="12.75">
      <c r="A39" s="4">
        <v>17</v>
      </c>
      <c r="C39" s="10" t="s">
        <v>208</v>
      </c>
    </row>
    <row r="40" spans="1:5" ht="12.75">
      <c r="A40" s="4">
        <v>18</v>
      </c>
      <c r="C40" t="s">
        <v>143</v>
      </c>
      <c r="E40" s="2">
        <v>26724248</v>
      </c>
    </row>
    <row r="41" spans="1:5" ht="12.75">
      <c r="A41" s="4"/>
      <c r="E41" s="2"/>
    </row>
    <row r="42" spans="1:5" ht="12.75">
      <c r="A42" s="4">
        <v>19</v>
      </c>
      <c r="C42" t="s">
        <v>303</v>
      </c>
      <c r="E42" s="3">
        <v>15786352</v>
      </c>
    </row>
    <row r="43" ht="12.75">
      <c r="A43" s="4"/>
    </row>
    <row r="44" spans="1:5" ht="13.5" thickBot="1">
      <c r="A44" s="4">
        <v>20</v>
      </c>
      <c r="C44" t="s">
        <v>128</v>
      </c>
      <c r="E44" s="59">
        <f>+E40/E42</f>
        <v>1.692870398430239</v>
      </c>
    </row>
    <row r="45" ht="13.5" thickTop="1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</sheetData>
  <mergeCells count="3">
    <mergeCell ref="C5:I5"/>
    <mergeCell ref="C6:I6"/>
    <mergeCell ref="C7:I7"/>
  </mergeCells>
  <printOptions/>
  <pageMargins left="1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2.7109375" style="0" customWidth="1"/>
    <col min="8" max="8" width="13.421875" style="0" customWidth="1"/>
  </cols>
  <sheetData>
    <row r="1" ht="12.75">
      <c r="J1" s="60" t="s">
        <v>252</v>
      </c>
    </row>
    <row r="2" ht="12.75">
      <c r="J2" s="60" t="s">
        <v>214</v>
      </c>
    </row>
    <row r="3" ht="12.75">
      <c r="J3" s="60"/>
    </row>
    <row r="4" ht="12.75">
      <c r="J4" s="60"/>
    </row>
    <row r="5" spans="3:9" ht="15.75">
      <c r="C5" s="73" t="s">
        <v>242</v>
      </c>
      <c r="D5" s="73"/>
      <c r="E5" s="73"/>
      <c r="F5" s="73"/>
      <c r="G5" s="73"/>
      <c r="H5" s="73"/>
      <c r="I5" s="73"/>
    </row>
    <row r="6" spans="3:9" ht="12.75">
      <c r="C6" s="74" t="s">
        <v>251</v>
      </c>
      <c r="D6" s="74"/>
      <c r="E6" s="74"/>
      <c r="F6" s="74"/>
      <c r="G6" s="74"/>
      <c r="H6" s="74"/>
      <c r="I6" s="74"/>
    </row>
    <row r="7" spans="3:9" ht="12.75">
      <c r="C7" s="74" t="s">
        <v>17</v>
      </c>
      <c r="D7" s="74"/>
      <c r="E7" s="74"/>
      <c r="F7" s="74"/>
      <c r="G7" s="74"/>
      <c r="H7" s="74"/>
      <c r="I7" s="74"/>
    </row>
    <row r="11" ht="12.75">
      <c r="A11" s="4" t="s">
        <v>13</v>
      </c>
    </row>
    <row r="12" spans="1:8" ht="12.75">
      <c r="A12" s="5" t="s">
        <v>14</v>
      </c>
      <c r="C12" s="10" t="s">
        <v>15</v>
      </c>
      <c r="D12" s="10"/>
      <c r="E12" s="10"/>
      <c r="F12" s="10"/>
      <c r="H12" s="5" t="s">
        <v>4</v>
      </c>
    </row>
    <row r="14" spans="1:9" ht="12.75">
      <c r="A14" s="4">
        <v>1</v>
      </c>
      <c r="C14" s="11" t="s">
        <v>150</v>
      </c>
      <c r="D14" s="11"/>
      <c r="E14" s="11"/>
      <c r="F14" s="11"/>
      <c r="G14" s="11"/>
      <c r="H14" s="12">
        <f>+'Rate Base'!O43</f>
        <v>573315194.5154938</v>
      </c>
      <c r="I14" s="11"/>
    </row>
    <row r="15" spans="1:10" ht="12.75">
      <c r="A15" s="2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21">
        <v>2</v>
      </c>
      <c r="B16" s="11"/>
      <c r="C16" s="19" t="s">
        <v>151</v>
      </c>
      <c r="D16" s="11"/>
      <c r="E16" s="11"/>
      <c r="F16" s="11"/>
      <c r="G16" s="11"/>
      <c r="H16" s="12"/>
      <c r="I16" s="11"/>
      <c r="J16" s="11"/>
    </row>
    <row r="17" spans="1:10" ht="12.75">
      <c r="A17" s="21">
        <v>3</v>
      </c>
      <c r="B17" s="11"/>
      <c r="C17" s="19" t="s">
        <v>152</v>
      </c>
      <c r="D17" s="11"/>
      <c r="E17" s="11"/>
      <c r="F17" s="11"/>
      <c r="G17" s="11"/>
      <c r="H17" s="48">
        <f>COC!I34+COC!I36</f>
        <v>0.0348859</v>
      </c>
      <c r="I17" s="11"/>
      <c r="J17" s="11"/>
    </row>
    <row r="18" spans="1:10" ht="12.75">
      <c r="A18" s="21"/>
      <c r="B18" s="11"/>
      <c r="C18" s="19"/>
      <c r="D18" s="11"/>
      <c r="E18" s="11"/>
      <c r="F18" s="11"/>
      <c r="G18" s="11"/>
      <c r="H18" s="12"/>
      <c r="I18" s="11"/>
      <c r="J18" s="11"/>
    </row>
    <row r="19" spans="1:10" ht="12.75">
      <c r="A19" s="21">
        <v>4</v>
      </c>
      <c r="B19" s="11"/>
      <c r="C19" s="19" t="s">
        <v>153</v>
      </c>
      <c r="D19" s="11"/>
      <c r="E19" s="11"/>
      <c r="F19" s="11"/>
      <c r="G19" s="11"/>
      <c r="H19" s="12"/>
      <c r="I19" s="11"/>
      <c r="J19" s="11"/>
    </row>
    <row r="20" spans="1:10" ht="12.75">
      <c r="A20" s="21">
        <v>5</v>
      </c>
      <c r="B20" s="11"/>
      <c r="C20" s="19" t="s">
        <v>154</v>
      </c>
      <c r="D20" s="11"/>
      <c r="E20" s="11"/>
      <c r="F20" s="11"/>
      <c r="G20" s="11"/>
      <c r="H20" s="22"/>
      <c r="I20" s="11"/>
      <c r="J20" s="11"/>
    </row>
    <row r="21" spans="1:10" ht="12.75">
      <c r="A21" s="21">
        <v>6</v>
      </c>
      <c r="B21" s="11"/>
      <c r="C21" s="19" t="s">
        <v>155</v>
      </c>
      <c r="D21" s="11"/>
      <c r="E21" s="11"/>
      <c r="F21" s="11"/>
      <c r="G21" s="11"/>
      <c r="H21" s="12">
        <f>+H14*H17</f>
        <v>20000616.54434806</v>
      </c>
      <c r="I21" s="11"/>
      <c r="J21" s="11"/>
    </row>
    <row r="22" spans="1:10" ht="12.75">
      <c r="A22" s="21"/>
      <c r="B22" s="11"/>
      <c r="C22" s="19"/>
      <c r="D22" s="11"/>
      <c r="E22" s="11"/>
      <c r="F22" s="11"/>
      <c r="G22" s="11"/>
      <c r="H22" s="11"/>
      <c r="I22" s="11"/>
      <c r="J22" s="11"/>
    </row>
    <row r="23" spans="1:10" ht="12.75">
      <c r="A23" s="21">
        <v>7</v>
      </c>
      <c r="B23" s="11"/>
      <c r="C23" s="19" t="s">
        <v>156</v>
      </c>
      <c r="D23" s="11"/>
      <c r="E23" s="11"/>
      <c r="F23" s="11"/>
      <c r="G23" s="11"/>
      <c r="H23" s="12"/>
      <c r="I23" s="11"/>
      <c r="J23" s="11"/>
    </row>
    <row r="24" spans="1:10" ht="12.75">
      <c r="A24" s="21">
        <v>8</v>
      </c>
      <c r="B24" s="11"/>
      <c r="C24" s="19" t="s">
        <v>5</v>
      </c>
      <c r="D24" s="11"/>
      <c r="E24" s="11"/>
      <c r="F24" s="11"/>
      <c r="G24" s="11"/>
      <c r="H24" s="3">
        <v>20831657</v>
      </c>
      <c r="I24" s="11"/>
      <c r="J24" s="11"/>
    </row>
    <row r="25" spans="1:10" ht="12.75">
      <c r="A25" s="21"/>
      <c r="B25" s="11"/>
      <c r="C25" s="19"/>
      <c r="D25" s="11"/>
      <c r="E25" s="11"/>
      <c r="F25" s="11"/>
      <c r="G25" s="11"/>
      <c r="H25" s="11"/>
      <c r="I25" s="11"/>
      <c r="J25" s="11"/>
    </row>
    <row r="26" spans="1:10" ht="12.75">
      <c r="A26" s="21">
        <v>9</v>
      </c>
      <c r="B26" s="11"/>
      <c r="C26" s="19" t="s">
        <v>157</v>
      </c>
      <c r="D26" s="11"/>
      <c r="E26" s="11"/>
      <c r="F26" s="11"/>
      <c r="G26" s="11"/>
      <c r="H26" s="11"/>
      <c r="I26" s="11"/>
      <c r="J26" s="11"/>
    </row>
    <row r="27" spans="1:10" ht="12.75">
      <c r="A27" s="21">
        <v>10</v>
      </c>
      <c r="B27" s="11"/>
      <c r="C27" s="19" t="s">
        <v>158</v>
      </c>
      <c r="D27" s="11"/>
      <c r="E27" s="11"/>
      <c r="F27" s="11"/>
      <c r="G27" s="11"/>
      <c r="H27" s="12"/>
      <c r="I27" s="11"/>
      <c r="J27" s="11"/>
    </row>
    <row r="28" spans="1:10" ht="12.75">
      <c r="A28" s="21">
        <v>11</v>
      </c>
      <c r="B28" s="11"/>
      <c r="C28" s="19" t="s">
        <v>159</v>
      </c>
      <c r="D28" s="11"/>
      <c r="E28" s="11"/>
      <c r="F28" s="11"/>
      <c r="G28" s="11"/>
      <c r="H28" s="12">
        <f>+H21-H24</f>
        <v>-831040.4556519389</v>
      </c>
      <c r="I28" s="11"/>
      <c r="J28" s="11"/>
    </row>
    <row r="29" spans="1:10" ht="12.75">
      <c r="A29" s="21"/>
      <c r="B29" s="11"/>
      <c r="C29" s="19"/>
      <c r="D29" s="11"/>
      <c r="E29" s="11"/>
      <c r="F29" s="11"/>
      <c r="G29" s="11"/>
      <c r="H29" s="11"/>
      <c r="I29" s="11"/>
      <c r="J29" s="11"/>
    </row>
    <row r="30" spans="1:10" ht="12.75">
      <c r="A30" s="21">
        <v>12</v>
      </c>
      <c r="B30" s="11"/>
      <c r="C30" s="19" t="s">
        <v>160</v>
      </c>
      <c r="D30" s="11"/>
      <c r="E30" s="11"/>
      <c r="F30" s="11"/>
      <c r="G30" s="11"/>
      <c r="H30" s="48">
        <v>0.37951</v>
      </c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63">
        <v>13</v>
      </c>
      <c r="B32" s="11"/>
      <c r="C32" s="19" t="s">
        <v>161</v>
      </c>
      <c r="D32" s="11"/>
      <c r="E32" s="11"/>
      <c r="F32" s="11"/>
      <c r="G32" s="11"/>
      <c r="H32" s="11"/>
      <c r="I32" s="11"/>
      <c r="J32" s="11"/>
    </row>
    <row r="33" spans="1:8" ht="13.5" thickBot="1">
      <c r="A33" s="63">
        <v>14</v>
      </c>
      <c r="C33" s="19" t="s">
        <v>162</v>
      </c>
      <c r="G33" s="11"/>
      <c r="H33" s="7">
        <f>-H28*H30</f>
        <v>315388.1633244674</v>
      </c>
    </row>
    <row r="34" ht="13.5" thickTop="1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ht="12.75">
      <c r="G40" s="11"/>
    </row>
    <row r="41" ht="12.75">
      <c r="G41" s="11"/>
    </row>
    <row r="42" spans="3:7" ht="12.75">
      <c r="C42" t="s">
        <v>303</v>
      </c>
      <c r="G42" s="11"/>
    </row>
  </sheetData>
  <mergeCells count="3">
    <mergeCell ref="C5:I5"/>
    <mergeCell ref="C6:I6"/>
    <mergeCell ref="C7:I7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tabSelected="1" workbookViewId="0" topLeftCell="A1">
      <selection activeCell="C43" sqref="C43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4" width="16.140625" style="0" bestFit="1" customWidth="1"/>
    <col min="6" max="6" width="2.7109375" style="0" customWidth="1"/>
    <col min="7" max="7" width="11.421875" style="0" bestFit="1" customWidth="1"/>
    <col min="8" max="8" width="2.7109375" style="0" customWidth="1"/>
    <col min="9" max="9" width="11.421875" style="0" bestFit="1" customWidth="1"/>
    <col min="11" max="11" width="14.00390625" style="0" bestFit="1" customWidth="1"/>
    <col min="14" max="14" width="15.00390625" style="0" bestFit="1" customWidth="1"/>
  </cols>
  <sheetData>
    <row r="1" ht="12.75">
      <c r="K1" t="s">
        <v>250</v>
      </c>
    </row>
    <row r="2" ht="12.75">
      <c r="K2" t="s">
        <v>214</v>
      </c>
    </row>
    <row r="5" spans="4:9" ht="12.75">
      <c r="D5" s="28"/>
      <c r="E5" s="28"/>
      <c r="F5" s="28"/>
      <c r="G5" s="28"/>
      <c r="H5" s="28"/>
      <c r="I5" s="28"/>
    </row>
    <row r="6" spans="2:9" ht="18">
      <c r="B6" s="4"/>
      <c r="D6" s="45"/>
      <c r="E6" s="46"/>
      <c r="F6" s="44" t="s">
        <v>210</v>
      </c>
      <c r="G6" s="46"/>
      <c r="H6" s="46"/>
      <c r="I6" s="46"/>
    </row>
    <row r="7" spans="2:9" ht="18">
      <c r="B7" s="4"/>
      <c r="D7" s="45"/>
      <c r="E7" s="46"/>
      <c r="F7" s="44" t="s">
        <v>130</v>
      </c>
      <c r="G7" s="46"/>
      <c r="H7" s="46"/>
      <c r="I7" s="46"/>
    </row>
    <row r="8" spans="2:9" ht="12.75">
      <c r="B8" s="4"/>
      <c r="D8" s="28"/>
      <c r="E8" s="28"/>
      <c r="F8" s="29"/>
      <c r="G8" s="28"/>
      <c r="H8" s="28"/>
      <c r="I8" s="28"/>
    </row>
    <row r="9" spans="2:9" ht="15.75">
      <c r="B9" s="4"/>
      <c r="D9" s="77" t="s">
        <v>142</v>
      </c>
      <c r="E9" s="77"/>
      <c r="F9" s="77"/>
      <c r="G9" s="77"/>
      <c r="H9" s="77"/>
      <c r="I9" s="77"/>
    </row>
    <row r="10" spans="2:9" ht="12.75">
      <c r="B10" s="4"/>
      <c r="D10" s="28"/>
      <c r="E10" s="28"/>
      <c r="F10" s="28"/>
      <c r="G10" s="28"/>
      <c r="H10" s="28"/>
      <c r="I10" s="28"/>
    </row>
    <row r="11" spans="2:9" ht="12.75">
      <c r="B11" s="4" t="s">
        <v>13</v>
      </c>
      <c r="D11" s="30"/>
      <c r="E11" s="31"/>
      <c r="F11" s="31"/>
      <c r="G11" s="32"/>
      <c r="H11" s="32"/>
      <c r="I11" s="33" t="s">
        <v>131</v>
      </c>
    </row>
    <row r="12" spans="2:9" ht="12.75">
      <c r="B12" s="5" t="s">
        <v>14</v>
      </c>
      <c r="D12" s="34" t="s">
        <v>132</v>
      </c>
      <c r="E12" s="35" t="s">
        <v>133</v>
      </c>
      <c r="F12" s="35"/>
      <c r="G12" s="36" t="s">
        <v>134</v>
      </c>
      <c r="H12" s="36"/>
      <c r="I12" s="37" t="s">
        <v>134</v>
      </c>
    </row>
    <row r="13" spans="2:9" ht="12.75">
      <c r="B13" s="4"/>
      <c r="D13" s="30"/>
      <c r="E13" s="30"/>
      <c r="F13" s="30"/>
      <c r="G13" s="38"/>
      <c r="H13" s="38"/>
      <c r="I13" s="28"/>
    </row>
    <row r="14" spans="2:14" ht="12.75">
      <c r="B14" s="4">
        <v>1</v>
      </c>
      <c r="D14" s="30" t="s">
        <v>135</v>
      </c>
      <c r="E14" s="39">
        <v>0.4708</v>
      </c>
      <c r="F14" s="39"/>
      <c r="G14" s="40">
        <v>0.1125</v>
      </c>
      <c r="H14" s="40"/>
      <c r="I14" s="47">
        <f>E14*G14</f>
        <v>0.052965</v>
      </c>
      <c r="M14">
        <f>+'RR Summary'!$E$23</f>
        <v>1.692870398430239</v>
      </c>
      <c r="N14" s="6">
        <f>+I14*M14</f>
        <v>0.0896628806528576</v>
      </c>
    </row>
    <row r="15" spans="2:9" ht="12.75">
      <c r="B15" s="4"/>
      <c r="D15" s="30"/>
      <c r="E15" s="39"/>
      <c r="F15" s="39"/>
      <c r="G15" s="41"/>
      <c r="H15" s="41"/>
      <c r="I15" s="40"/>
    </row>
    <row r="16" spans="2:14" ht="12.75">
      <c r="B16" s="4">
        <v>2</v>
      </c>
      <c r="D16" s="30" t="s">
        <v>136</v>
      </c>
      <c r="E16" s="39">
        <v>0.0141</v>
      </c>
      <c r="F16" s="39"/>
      <c r="G16" s="40">
        <v>0.0672</v>
      </c>
      <c r="H16" s="40"/>
      <c r="I16" s="47">
        <f>E16*G16</f>
        <v>0.0009475199999999999</v>
      </c>
      <c r="M16">
        <f>+'RR Summary'!$E$23</f>
        <v>1.692870398430239</v>
      </c>
      <c r="N16" s="6">
        <f>+I16*M16</f>
        <v>0.0016040285599206198</v>
      </c>
    </row>
    <row r="17" spans="2:9" ht="12.75">
      <c r="B17" s="4"/>
      <c r="D17" s="30"/>
      <c r="E17" s="39"/>
      <c r="F17" s="39"/>
      <c r="G17" s="40"/>
      <c r="H17" s="40"/>
      <c r="I17" s="40"/>
    </row>
    <row r="18" spans="2:14" ht="12.75">
      <c r="B18" s="4">
        <v>3</v>
      </c>
      <c r="D18" s="30" t="s">
        <v>137</v>
      </c>
      <c r="E18" s="39">
        <v>0.5151</v>
      </c>
      <c r="F18" s="39"/>
      <c r="G18" s="40">
        <v>0.06507</v>
      </c>
      <c r="H18" s="40"/>
      <c r="I18" s="47">
        <f>E18*G18</f>
        <v>0.033517557</v>
      </c>
      <c r="K18" s="2"/>
      <c r="N18" s="52">
        <f>+I18</f>
        <v>0.033517557</v>
      </c>
    </row>
    <row r="19" spans="2:9" ht="12.75">
      <c r="B19" s="4"/>
      <c r="D19" s="30"/>
      <c r="E19" s="39"/>
      <c r="F19" s="39"/>
      <c r="G19" s="40"/>
      <c r="H19" s="40"/>
      <c r="I19" s="40"/>
    </row>
    <row r="20" spans="2:14" ht="12.75">
      <c r="B20" s="4">
        <v>4</v>
      </c>
      <c r="D20" s="30" t="s">
        <v>138</v>
      </c>
      <c r="E20" s="42">
        <v>0</v>
      </c>
      <c r="F20" s="39"/>
      <c r="G20" s="43">
        <v>0</v>
      </c>
      <c r="H20" s="43"/>
      <c r="I20" s="43">
        <f>E20*G20</f>
        <v>0</v>
      </c>
      <c r="N20" s="53">
        <f>+I20</f>
        <v>0</v>
      </c>
    </row>
    <row r="21" spans="2:9" ht="12.75">
      <c r="B21" s="4"/>
      <c r="D21" s="30"/>
      <c r="E21" s="39"/>
      <c r="F21" s="39"/>
      <c r="G21" s="41"/>
      <c r="H21" s="41"/>
      <c r="I21" s="40"/>
    </row>
    <row r="22" spans="2:14" ht="13.5" thickBot="1">
      <c r="B22" s="4">
        <v>5</v>
      </c>
      <c r="D22" s="30" t="s">
        <v>139</v>
      </c>
      <c r="E22" s="39">
        <f>SUM(E14:E20)</f>
        <v>1</v>
      </c>
      <c r="F22" s="39"/>
      <c r="G22" s="41"/>
      <c r="H22" s="41"/>
      <c r="I22" s="54">
        <f>I14+I16+I18+I20</f>
        <v>0.087430077</v>
      </c>
      <c r="N22" s="54">
        <f>N14+N16+N18+N20</f>
        <v>0.12478446621277822</v>
      </c>
    </row>
    <row r="23" spans="2:9" ht="13.5" thickTop="1">
      <c r="B23" s="4"/>
      <c r="D23" s="28"/>
      <c r="E23" s="28"/>
      <c r="F23" s="29"/>
      <c r="G23" s="28"/>
      <c r="H23" s="28"/>
      <c r="I23" s="28"/>
    </row>
    <row r="24" spans="2:9" ht="15.75">
      <c r="B24" s="4">
        <v>6</v>
      </c>
      <c r="D24" s="77" t="s">
        <v>140</v>
      </c>
      <c r="E24" s="77"/>
      <c r="F24" s="77"/>
      <c r="G24" s="77"/>
      <c r="H24" s="77"/>
      <c r="I24" s="77"/>
    </row>
    <row r="25" spans="2:9" ht="15.75">
      <c r="B25" s="4">
        <v>7</v>
      </c>
      <c r="D25" s="77" t="s">
        <v>141</v>
      </c>
      <c r="E25" s="77"/>
      <c r="F25" s="77"/>
      <c r="G25" s="77"/>
      <c r="H25" s="77"/>
      <c r="I25" s="77"/>
    </row>
    <row r="26" spans="2:9" ht="12.75">
      <c r="B26" s="4"/>
      <c r="D26" s="28"/>
      <c r="E26" s="28"/>
      <c r="F26" s="28"/>
      <c r="G26" s="28"/>
      <c r="H26" s="28"/>
      <c r="I26" s="28"/>
    </row>
    <row r="27" spans="2:9" ht="12.75">
      <c r="B27" s="4">
        <v>8</v>
      </c>
      <c r="D27" s="30"/>
      <c r="E27" s="31"/>
      <c r="F27" s="31"/>
      <c r="G27" s="69"/>
      <c r="H27" s="32"/>
      <c r="I27" s="33" t="s">
        <v>131</v>
      </c>
    </row>
    <row r="28" spans="2:9" ht="12.75">
      <c r="B28" s="4">
        <v>9</v>
      </c>
      <c r="D28" s="34" t="s">
        <v>132</v>
      </c>
      <c r="E28" s="35" t="s">
        <v>133</v>
      </c>
      <c r="F28" s="35"/>
      <c r="G28" s="36" t="s">
        <v>134</v>
      </c>
      <c r="H28" s="36"/>
      <c r="I28" s="37" t="s">
        <v>134</v>
      </c>
    </row>
    <row r="29" spans="2:9" ht="12.75">
      <c r="B29" s="4"/>
      <c r="D29" s="30"/>
      <c r="E29" s="30"/>
      <c r="F29" s="30"/>
      <c r="G29" s="38"/>
      <c r="H29" s="38"/>
      <c r="I29" s="28"/>
    </row>
    <row r="30" spans="2:14" ht="12.75">
      <c r="B30" s="4">
        <v>10</v>
      </c>
      <c r="D30" s="30" t="s">
        <v>135</v>
      </c>
      <c r="E30" s="39">
        <v>0.4409</v>
      </c>
      <c r="F30" s="39"/>
      <c r="G30" s="40">
        <v>0.09375</v>
      </c>
      <c r="H30" s="40"/>
      <c r="I30" s="40">
        <f>E30*G30</f>
        <v>0.041334375</v>
      </c>
      <c r="M30">
        <f>+'RR Summary'!$E$23</f>
        <v>1.692870398430239</v>
      </c>
      <c r="N30" s="6">
        <f>+I30*M30</f>
        <v>0.0699737398751149</v>
      </c>
    </row>
    <row r="31" spans="2:9" ht="12.75">
      <c r="B31" s="4"/>
      <c r="D31" s="30"/>
      <c r="E31" s="39"/>
      <c r="F31" s="39"/>
      <c r="G31" s="41"/>
      <c r="H31" s="41"/>
      <c r="I31" s="40"/>
    </row>
    <row r="32" spans="2:14" ht="12.75">
      <c r="B32" s="4">
        <v>11</v>
      </c>
      <c r="D32" s="30" t="s">
        <v>136</v>
      </c>
      <c r="E32" s="39">
        <v>0.0142</v>
      </c>
      <c r="F32" s="39"/>
      <c r="G32" s="40">
        <v>0.0672</v>
      </c>
      <c r="H32" s="40"/>
      <c r="I32" s="40">
        <f>E32*G32</f>
        <v>0.00095424</v>
      </c>
      <c r="M32">
        <f>+'RR Summary'!$E$23</f>
        <v>1.692870398430239</v>
      </c>
      <c r="N32" s="6">
        <f>+I32*M32</f>
        <v>0.0016154046489980712</v>
      </c>
    </row>
    <row r="33" spans="2:9" ht="12.75">
      <c r="B33" s="4"/>
      <c r="D33" s="30"/>
      <c r="E33" s="39"/>
      <c r="F33" s="39"/>
      <c r="G33" s="40"/>
      <c r="H33" s="40"/>
      <c r="I33" s="40"/>
    </row>
    <row r="34" spans="2:14" ht="12.75">
      <c r="B34" s="4">
        <v>12</v>
      </c>
      <c r="D34" s="30" t="s">
        <v>137</v>
      </c>
      <c r="E34" s="39">
        <v>0.5294</v>
      </c>
      <c r="F34" s="39"/>
      <c r="G34" s="40">
        <v>0.0651</v>
      </c>
      <c r="H34" s="40"/>
      <c r="I34" s="40">
        <f>E34*G34</f>
        <v>0.03446394</v>
      </c>
      <c r="N34" s="52">
        <f>+I34</f>
        <v>0.03446394</v>
      </c>
    </row>
    <row r="35" spans="2:9" ht="12.75">
      <c r="B35" s="4"/>
      <c r="D35" s="30"/>
      <c r="E35" s="39"/>
      <c r="F35" s="39"/>
      <c r="G35" s="40"/>
      <c r="H35" s="40"/>
      <c r="I35" s="40"/>
    </row>
    <row r="36" spans="2:14" ht="12.75">
      <c r="B36" s="4">
        <v>13</v>
      </c>
      <c r="D36" s="30" t="s">
        <v>138</v>
      </c>
      <c r="E36" s="42">
        <v>0.0154</v>
      </c>
      <c r="F36" s="39"/>
      <c r="G36" s="43">
        <v>0.0274</v>
      </c>
      <c r="H36" s="43"/>
      <c r="I36" s="43">
        <f>E36*G36</f>
        <v>0.00042196000000000003</v>
      </c>
      <c r="N36" s="53">
        <f>+I36</f>
        <v>0.00042196000000000003</v>
      </c>
    </row>
    <row r="37" spans="2:9" ht="12.75">
      <c r="B37" s="4"/>
      <c r="D37" s="30"/>
      <c r="E37" s="39"/>
      <c r="F37" s="39"/>
      <c r="G37" s="41"/>
      <c r="H37" s="41"/>
      <c r="I37" s="40"/>
    </row>
    <row r="38" spans="2:14" ht="13.5" thickBot="1">
      <c r="B38" s="4">
        <v>14</v>
      </c>
      <c r="D38" s="30" t="s">
        <v>139</v>
      </c>
      <c r="E38" s="39">
        <v>1</v>
      </c>
      <c r="F38" s="39"/>
      <c r="G38" s="41"/>
      <c r="H38" s="41"/>
      <c r="I38" s="62">
        <f>I30+I32+I34+I36</f>
        <v>0.077174515</v>
      </c>
      <c r="N38" s="54">
        <f>N30+N32+N34+N36</f>
        <v>0.10647504452411297</v>
      </c>
    </row>
    <row r="39" spans="2:9" ht="13.5" thickTop="1">
      <c r="B39" s="4"/>
      <c r="D39" s="32"/>
      <c r="E39" s="32"/>
      <c r="F39" s="32"/>
      <c r="G39" s="32"/>
      <c r="H39" s="32"/>
      <c r="I39" s="32"/>
    </row>
    <row r="40" spans="2:15" ht="12.75">
      <c r="B40" s="4"/>
      <c r="N40" s="52">
        <f>+N22-N38</f>
        <v>0.018309421688665256</v>
      </c>
      <c r="O40" t="s">
        <v>166</v>
      </c>
    </row>
    <row r="42" spans="3:15" ht="12.75">
      <c r="C42" t="s">
        <v>303</v>
      </c>
      <c r="N42" s="2">
        <f>+'Rate Base'!E43</f>
        <v>596314312</v>
      </c>
      <c r="O42" t="s">
        <v>167</v>
      </c>
    </row>
    <row r="43" ht="12.75">
      <c r="N43" s="2"/>
    </row>
    <row r="44" spans="14:15" ht="12.75">
      <c r="N44" s="2">
        <f>+N40*N42</f>
        <v>10918170.1973943</v>
      </c>
      <c r="O44" t="s">
        <v>168</v>
      </c>
    </row>
  </sheetData>
  <mergeCells count="3">
    <mergeCell ref="D24:I24"/>
    <mergeCell ref="D25:I25"/>
    <mergeCell ref="D9:I9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62"/>
  <sheetViews>
    <sheetView tabSelected="1" workbookViewId="0" topLeftCell="C1">
      <selection activeCell="C43" sqref="C4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57421875" style="0" bestFit="1" customWidth="1"/>
    <col min="4" max="4" width="2.7109375" style="0" customWidth="1"/>
    <col min="5" max="5" width="15.57421875" style="0" customWidth="1"/>
    <col min="6" max="6" width="1.7109375" style="0" customWidth="1"/>
    <col min="7" max="7" width="15.57421875" style="0" customWidth="1"/>
    <col min="8" max="8" width="2.7109375" style="0" customWidth="1"/>
    <col min="9" max="9" width="15.57421875" style="0" customWidth="1"/>
    <col min="10" max="10" width="2.7109375" style="0" customWidth="1"/>
    <col min="11" max="11" width="14.00390625" style="0" bestFit="1" customWidth="1"/>
    <col min="12" max="12" width="2.7109375" style="0" customWidth="1"/>
    <col min="13" max="13" width="14.00390625" style="0" customWidth="1"/>
    <col min="14" max="14" width="2.7109375" style="0" customWidth="1"/>
    <col min="15" max="15" width="16.57421875" style="0" bestFit="1" customWidth="1"/>
  </cols>
  <sheetData>
    <row r="5" ht="12.75">
      <c r="O5" s="60" t="s">
        <v>216</v>
      </c>
    </row>
    <row r="6" ht="12.75">
      <c r="O6" s="60" t="s">
        <v>214</v>
      </c>
    </row>
    <row r="7" spans="5:11" ht="18">
      <c r="E7" s="70" t="s">
        <v>210</v>
      </c>
      <c r="F7" s="70"/>
      <c r="G7" s="70"/>
      <c r="H7" s="70"/>
      <c r="I7" s="70"/>
      <c r="J7" s="70"/>
      <c r="K7" s="70"/>
    </row>
    <row r="8" spans="5:11" ht="15">
      <c r="E8" s="72" t="s">
        <v>215</v>
      </c>
      <c r="F8" s="72"/>
      <c r="G8" s="72"/>
      <c r="H8" s="72"/>
      <c r="I8" s="72"/>
      <c r="J8" s="72"/>
      <c r="K8" s="72"/>
    </row>
    <row r="9" spans="5:11" ht="15">
      <c r="E9" s="72" t="s">
        <v>212</v>
      </c>
      <c r="F9" s="72"/>
      <c r="G9" s="72"/>
      <c r="H9" s="72"/>
      <c r="I9" s="72"/>
      <c r="J9" s="72"/>
      <c r="K9" s="72"/>
    </row>
    <row r="11" spans="5:13" ht="12.75">
      <c r="E11" s="4"/>
      <c r="F11" s="4"/>
      <c r="G11" s="4"/>
      <c r="H11" s="4"/>
      <c r="I11" s="4"/>
      <c r="J11" s="4"/>
      <c r="M11" t="s">
        <v>256</v>
      </c>
    </row>
    <row r="12" spans="1:15" ht="12.75">
      <c r="A12" s="4"/>
      <c r="E12" s="4" t="s">
        <v>120</v>
      </c>
      <c r="F12" s="4"/>
      <c r="G12" s="4" t="s">
        <v>169</v>
      </c>
      <c r="H12" s="4"/>
      <c r="I12" s="4" t="s">
        <v>196</v>
      </c>
      <c r="J12" s="4"/>
      <c r="K12" s="4" t="s">
        <v>198</v>
      </c>
      <c r="M12" t="s">
        <v>257</v>
      </c>
      <c r="O12" s="4" t="s">
        <v>120</v>
      </c>
    </row>
    <row r="13" spans="1:15" ht="12.75">
      <c r="A13" s="4" t="s">
        <v>13</v>
      </c>
      <c r="E13" s="4" t="s">
        <v>121</v>
      </c>
      <c r="G13" s="4" t="s">
        <v>195</v>
      </c>
      <c r="I13" s="4" t="s">
        <v>197</v>
      </c>
      <c r="K13" s="4" t="s">
        <v>199</v>
      </c>
      <c r="L13" s="4"/>
      <c r="M13" s="4" t="s">
        <v>258</v>
      </c>
      <c r="N13" s="4"/>
      <c r="O13" s="4" t="s">
        <v>121</v>
      </c>
    </row>
    <row r="14" spans="1:15" ht="12.75">
      <c r="A14" s="5" t="s">
        <v>14</v>
      </c>
      <c r="C14" s="5" t="s">
        <v>15</v>
      </c>
      <c r="E14" s="5" t="s">
        <v>122</v>
      </c>
      <c r="F14" s="21"/>
      <c r="G14" s="5" t="s">
        <v>224</v>
      </c>
      <c r="H14" s="21"/>
      <c r="I14" s="5" t="s">
        <v>225</v>
      </c>
      <c r="J14" s="21"/>
      <c r="K14" s="5" t="s">
        <v>226</v>
      </c>
      <c r="L14" s="4"/>
      <c r="M14" s="5" t="s">
        <v>259</v>
      </c>
      <c r="N14" s="4"/>
      <c r="O14" s="5" t="s">
        <v>200</v>
      </c>
    </row>
    <row r="15" spans="1:15" ht="12.75">
      <c r="A15" s="21"/>
      <c r="C15" s="21" t="s">
        <v>217</v>
      </c>
      <c r="E15" s="21" t="s">
        <v>218</v>
      </c>
      <c r="F15" s="21"/>
      <c r="G15" s="21" t="s">
        <v>219</v>
      </c>
      <c r="H15" s="21"/>
      <c r="I15" s="21" t="s">
        <v>220</v>
      </c>
      <c r="J15" s="21"/>
      <c r="K15" s="21" t="s">
        <v>221</v>
      </c>
      <c r="L15" s="4"/>
      <c r="M15" s="21" t="s">
        <v>222</v>
      </c>
      <c r="N15" s="4"/>
      <c r="O15" s="21" t="s">
        <v>223</v>
      </c>
    </row>
    <row r="16" spans="1:15" ht="12.75">
      <c r="A16" s="21"/>
      <c r="C16" s="21"/>
      <c r="E16" s="21"/>
      <c r="F16" s="21"/>
      <c r="G16" s="21"/>
      <c r="H16" s="21"/>
      <c r="I16" s="21"/>
      <c r="J16" s="21"/>
      <c r="K16" s="21"/>
      <c r="L16" s="4"/>
      <c r="M16" s="21"/>
      <c r="N16" s="4"/>
      <c r="O16" s="21"/>
    </row>
    <row r="17" spans="1:15" ht="12.75">
      <c r="A17" s="21"/>
      <c r="C17" s="21"/>
      <c r="E17" s="21"/>
      <c r="F17" s="21"/>
      <c r="G17" s="21"/>
      <c r="H17" s="21"/>
      <c r="I17" s="21"/>
      <c r="J17" s="21"/>
      <c r="K17" s="21"/>
      <c r="L17" s="4"/>
      <c r="M17" s="21"/>
      <c r="N17" s="4"/>
      <c r="O17" s="21"/>
    </row>
    <row r="18" spans="1:3" ht="12.75">
      <c r="A18" s="4">
        <v>1</v>
      </c>
      <c r="C18" t="s">
        <v>96</v>
      </c>
    </row>
    <row r="19" spans="1:21" ht="12.75">
      <c r="A19" s="4">
        <f>+A18+1</f>
        <v>2</v>
      </c>
      <c r="C19" t="s">
        <v>97</v>
      </c>
      <c r="E19" s="2">
        <v>1044896250</v>
      </c>
      <c r="F19" s="2"/>
      <c r="G19" s="13"/>
      <c r="H19" s="2"/>
      <c r="I19" s="2"/>
      <c r="J19" s="2"/>
      <c r="K19" s="2">
        <f>-Swift!L26</f>
        <v>-245541.51176800003</v>
      </c>
      <c r="L19" s="2"/>
      <c r="M19" s="2"/>
      <c r="N19" s="2"/>
      <c r="O19" s="2">
        <f>SUM(E19:M19)</f>
        <v>1044650708.488232</v>
      </c>
      <c r="P19" s="2"/>
      <c r="Q19" s="2"/>
      <c r="R19" s="2"/>
      <c r="S19" s="2"/>
      <c r="T19" s="2"/>
      <c r="U19" s="2"/>
    </row>
    <row r="20" spans="1:21" ht="12.75">
      <c r="A20" s="4">
        <f aca="true" t="shared" si="0" ref="A20:A30">+A19+1</f>
        <v>3</v>
      </c>
      <c r="C20" t="s">
        <v>98</v>
      </c>
      <c r="E20" s="2">
        <v>99617</v>
      </c>
      <c r="F20" s="2"/>
      <c r="G20" s="13"/>
      <c r="H20" s="2"/>
      <c r="I20" s="2"/>
      <c r="J20" s="2"/>
      <c r="K20" s="2"/>
      <c r="L20" s="2"/>
      <c r="M20" s="2"/>
      <c r="N20" s="2"/>
      <c r="O20" s="2">
        <f aca="true" t="shared" si="1" ref="O20:O29">SUM(E20:M20)</f>
        <v>99617</v>
      </c>
      <c r="P20" s="2"/>
      <c r="Q20" s="2"/>
      <c r="R20" s="2"/>
      <c r="S20" s="2"/>
      <c r="T20" s="2"/>
      <c r="U20" s="2"/>
    </row>
    <row r="21" spans="1:21" ht="12.75">
      <c r="A21" s="4">
        <f t="shared" si="0"/>
        <v>4</v>
      </c>
      <c r="C21" t="s">
        <v>99</v>
      </c>
      <c r="E21" s="2">
        <v>16414699</v>
      </c>
      <c r="F21" s="2"/>
      <c r="G21" s="13"/>
      <c r="H21" s="2"/>
      <c r="I21" s="2"/>
      <c r="J21" s="2"/>
      <c r="K21" s="2"/>
      <c r="L21" s="2"/>
      <c r="M21" s="2">
        <f>+'Def debits'!H25</f>
        <v>-10552885</v>
      </c>
      <c r="N21" s="2"/>
      <c r="O21" s="2">
        <f t="shared" si="1"/>
        <v>5861814</v>
      </c>
      <c r="P21" s="2"/>
      <c r="Q21" s="2"/>
      <c r="R21" s="2"/>
      <c r="S21" s="2"/>
      <c r="T21" s="2"/>
      <c r="U21" s="2"/>
    </row>
    <row r="22" spans="1:21" ht="12.75">
      <c r="A22" s="4">
        <f t="shared" si="0"/>
        <v>5</v>
      </c>
      <c r="C22" t="s">
        <v>100</v>
      </c>
      <c r="E22" s="2">
        <v>8826303</v>
      </c>
      <c r="F22" s="2"/>
      <c r="G22" s="13"/>
      <c r="H22" s="2"/>
      <c r="I22" s="2"/>
      <c r="J22" s="2"/>
      <c r="K22" s="2"/>
      <c r="L22" s="2"/>
      <c r="M22" s="2"/>
      <c r="N22" s="2"/>
      <c r="O22" s="2">
        <f t="shared" si="1"/>
        <v>8826303</v>
      </c>
      <c r="P22" s="2"/>
      <c r="Q22" s="2"/>
      <c r="R22" s="2"/>
      <c r="S22" s="2"/>
      <c r="T22" s="2"/>
      <c r="U22" s="2"/>
    </row>
    <row r="23" spans="1:21" ht="12.75">
      <c r="A23" s="4">
        <f t="shared" si="0"/>
        <v>6</v>
      </c>
      <c r="C23" t="s">
        <v>101</v>
      </c>
      <c r="E23" s="2">
        <v>0</v>
      </c>
      <c r="F23" s="2"/>
      <c r="G23" s="13"/>
      <c r="H23" s="2"/>
      <c r="I23" s="2"/>
      <c r="J23" s="2"/>
      <c r="K23" s="2"/>
      <c r="L23" s="2"/>
      <c r="M23" s="2"/>
      <c r="N23" s="2"/>
      <c r="O23" s="2">
        <f t="shared" si="1"/>
        <v>0</v>
      </c>
      <c r="P23" s="2"/>
      <c r="Q23" s="2"/>
      <c r="R23" s="2"/>
      <c r="S23" s="2"/>
      <c r="T23" s="2"/>
      <c r="U23" s="2"/>
    </row>
    <row r="24" spans="1:21" ht="12.75">
      <c r="A24" s="4">
        <f t="shared" si="0"/>
        <v>7</v>
      </c>
      <c r="C24" t="s">
        <v>102</v>
      </c>
      <c r="E24" s="2">
        <v>1334636</v>
      </c>
      <c r="F24" s="2"/>
      <c r="G24" s="13"/>
      <c r="H24" s="2"/>
      <c r="I24" s="2"/>
      <c r="J24" s="2"/>
      <c r="K24" s="2"/>
      <c r="L24" s="2"/>
      <c r="M24" s="2"/>
      <c r="N24" s="2"/>
      <c r="O24" s="2">
        <f t="shared" si="1"/>
        <v>1334636</v>
      </c>
      <c r="P24" s="2"/>
      <c r="Q24" s="2"/>
      <c r="R24" s="2"/>
      <c r="S24" s="2"/>
      <c r="T24" s="2"/>
      <c r="U24" s="2"/>
    </row>
    <row r="25" spans="1:21" ht="12.75">
      <c r="A25" s="4">
        <f t="shared" si="0"/>
        <v>8</v>
      </c>
      <c r="C25" t="s">
        <v>103</v>
      </c>
      <c r="E25" s="2">
        <v>4067988</v>
      </c>
      <c r="F25" s="2"/>
      <c r="G25" s="13"/>
      <c r="H25" s="2"/>
      <c r="I25" s="2"/>
      <c r="J25" s="2"/>
      <c r="K25" s="2"/>
      <c r="L25" s="2"/>
      <c r="M25" s="2"/>
      <c r="N25" s="2"/>
      <c r="O25" s="2">
        <f t="shared" si="1"/>
        <v>4067988</v>
      </c>
      <c r="P25" s="2"/>
      <c r="Q25" s="2"/>
      <c r="R25" s="2"/>
      <c r="S25" s="2"/>
      <c r="T25" s="2"/>
      <c r="U25" s="2"/>
    </row>
    <row r="26" spans="1:21" ht="12.75">
      <c r="A26" s="4">
        <f t="shared" si="0"/>
        <v>9</v>
      </c>
      <c r="C26" t="s">
        <v>104</v>
      </c>
      <c r="E26" s="2">
        <v>6612849</v>
      </c>
      <c r="F26" s="2"/>
      <c r="G26" s="13"/>
      <c r="H26" s="2"/>
      <c r="I26" s="2"/>
      <c r="J26" s="2"/>
      <c r="K26" s="2"/>
      <c r="L26" s="2"/>
      <c r="M26" s="2"/>
      <c r="N26" s="2"/>
      <c r="O26" s="2">
        <f t="shared" si="1"/>
        <v>6612849</v>
      </c>
      <c r="P26" s="2"/>
      <c r="Q26" s="2"/>
      <c r="R26" s="2"/>
      <c r="S26" s="2"/>
      <c r="T26" s="2"/>
      <c r="U26" s="2"/>
    </row>
    <row r="27" spans="1:21" ht="12.75">
      <c r="A27" s="4">
        <f t="shared" si="0"/>
        <v>10</v>
      </c>
      <c r="C27" t="s">
        <v>105</v>
      </c>
      <c r="E27" s="2">
        <v>8479233</v>
      </c>
      <c r="F27" s="2"/>
      <c r="G27" s="13"/>
      <c r="H27" s="2"/>
      <c r="I27" s="2">
        <f>+LL!X65</f>
        <v>-10975545.249661384</v>
      </c>
      <c r="J27" s="2"/>
      <c r="K27" s="2"/>
      <c r="L27" s="2"/>
      <c r="M27" s="2"/>
      <c r="N27" s="2"/>
      <c r="O27" s="2">
        <f t="shared" si="1"/>
        <v>-2496312.249661384</v>
      </c>
      <c r="P27" s="2"/>
      <c r="Q27" s="2"/>
      <c r="R27" s="2"/>
      <c r="S27" s="2"/>
      <c r="T27" s="2"/>
      <c r="U27" s="2"/>
    </row>
    <row r="28" spans="1:21" ht="12.75">
      <c r="A28" s="4">
        <f t="shared" si="0"/>
        <v>11</v>
      </c>
      <c r="C28" t="s">
        <v>106</v>
      </c>
      <c r="E28" s="2">
        <v>2643690</v>
      </c>
      <c r="F28" s="2"/>
      <c r="G28" s="13"/>
      <c r="H28" s="2"/>
      <c r="I28" s="2"/>
      <c r="J28" s="2"/>
      <c r="K28" s="2"/>
      <c r="L28" s="2"/>
      <c r="M28" s="2"/>
      <c r="N28" s="2"/>
      <c r="O28" s="2">
        <f t="shared" si="1"/>
        <v>2643690</v>
      </c>
      <c r="P28" s="2"/>
      <c r="Q28" s="2"/>
      <c r="R28" s="2"/>
      <c r="S28" s="2"/>
      <c r="T28" s="2"/>
      <c r="U28" s="2"/>
    </row>
    <row r="29" spans="1:21" ht="12.75">
      <c r="A29" s="4">
        <f t="shared" si="0"/>
        <v>12</v>
      </c>
      <c r="C29" t="s">
        <v>107</v>
      </c>
      <c r="E29" s="3">
        <v>30149</v>
      </c>
      <c r="F29" s="13"/>
      <c r="G29" s="3"/>
      <c r="H29" s="13"/>
      <c r="I29" s="3"/>
      <c r="J29" s="13"/>
      <c r="K29" s="3"/>
      <c r="L29" s="2"/>
      <c r="M29" s="3"/>
      <c r="N29" s="2"/>
      <c r="O29" s="3">
        <f t="shared" si="1"/>
        <v>30149</v>
      </c>
      <c r="P29" s="2"/>
      <c r="Q29" s="2"/>
      <c r="R29" s="2"/>
      <c r="S29" s="2"/>
      <c r="T29" s="2"/>
      <c r="U29" s="2"/>
    </row>
    <row r="30" spans="1:21" ht="12.75">
      <c r="A30" s="4">
        <f t="shared" si="0"/>
        <v>13</v>
      </c>
      <c r="C30" t="s">
        <v>108</v>
      </c>
      <c r="E30" s="2">
        <f>SUM(E19:E29)</f>
        <v>1093405414</v>
      </c>
      <c r="F30" s="2"/>
      <c r="G30" s="2">
        <f>SUM(G19:G29)</f>
        <v>0</v>
      </c>
      <c r="H30" s="2"/>
      <c r="I30" s="2">
        <f>SUM(I19:I29)</f>
        <v>-10975545.249661384</v>
      </c>
      <c r="J30" s="2"/>
      <c r="K30" s="2">
        <f>SUM(K19:K29)</f>
        <v>-245541.51176800003</v>
      </c>
      <c r="L30" s="2"/>
      <c r="M30" s="2">
        <f>SUM(M19:M29)</f>
        <v>-10552885</v>
      </c>
      <c r="N30" s="2"/>
      <c r="O30" s="2">
        <f>SUM(O19:O29)</f>
        <v>1071631442.2385707</v>
      </c>
      <c r="P30" s="2"/>
      <c r="Q30" s="2"/>
      <c r="R30" s="2"/>
      <c r="S30" s="2"/>
      <c r="T30" s="2"/>
      <c r="U30" s="2"/>
    </row>
    <row r="31" spans="1:21" ht="12.75">
      <c r="A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">
        <f>+A30+1</f>
        <v>14</v>
      </c>
      <c r="C32" t="s">
        <v>109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">
        <f aca="true" t="shared" si="2" ref="A33:A44">+A32+1</f>
        <v>15</v>
      </c>
      <c r="C33" t="s">
        <v>110</v>
      </c>
      <c r="E33" s="2">
        <f>-403169502</f>
        <v>-403169502</v>
      </c>
      <c r="F33" s="2"/>
      <c r="G33" s="2"/>
      <c r="H33" s="2"/>
      <c r="I33" s="2"/>
      <c r="J33" s="2"/>
      <c r="K33" s="2"/>
      <c r="L33" s="2"/>
      <c r="M33" s="2"/>
      <c r="N33" s="2"/>
      <c r="O33" s="2">
        <f aca="true" t="shared" si="3" ref="O33:O39">SUM(E33:M33)</f>
        <v>-403169502</v>
      </c>
      <c r="P33" s="2"/>
      <c r="Q33" s="2"/>
      <c r="R33" s="2"/>
      <c r="S33" s="2"/>
      <c r="T33" s="2"/>
      <c r="U33" s="2"/>
    </row>
    <row r="34" spans="1:21" ht="12.75">
      <c r="A34" s="4">
        <f t="shared" si="2"/>
        <v>16</v>
      </c>
      <c r="C34" t="s">
        <v>111</v>
      </c>
      <c r="E34" s="2">
        <f>-20423185</f>
        <v>-20423185</v>
      </c>
      <c r="F34" s="2"/>
      <c r="G34" s="2"/>
      <c r="H34" s="2"/>
      <c r="I34" s="2"/>
      <c r="J34" s="2"/>
      <c r="K34" s="2"/>
      <c r="L34" s="2"/>
      <c r="M34" s="2"/>
      <c r="N34" s="2"/>
      <c r="O34" s="2">
        <f t="shared" si="3"/>
        <v>-20423185</v>
      </c>
      <c r="P34" s="2"/>
      <c r="Q34" s="2"/>
      <c r="R34" s="2"/>
      <c r="S34" s="2"/>
      <c r="T34" s="2"/>
      <c r="U34" s="2"/>
    </row>
    <row r="35" spans="1:21" ht="12.75">
      <c r="A35" s="4">
        <f t="shared" si="2"/>
        <v>17</v>
      </c>
      <c r="C35" t="s">
        <v>112</v>
      </c>
      <c r="E35" s="2">
        <f>-57360729</f>
        <v>-57360729</v>
      </c>
      <c r="F35" s="2"/>
      <c r="G35" s="2"/>
      <c r="H35" s="2"/>
      <c r="I35" s="2"/>
      <c r="J35" s="2"/>
      <c r="K35" s="2"/>
      <c r="L35" s="2"/>
      <c r="M35" s="2"/>
      <c r="N35" s="2"/>
      <c r="O35" s="2">
        <f t="shared" si="3"/>
        <v>-57360729</v>
      </c>
      <c r="P35" s="2"/>
      <c r="Q35" s="2"/>
      <c r="R35" s="2"/>
      <c r="S35" s="2"/>
      <c r="T35" s="2"/>
      <c r="U35" s="2"/>
    </row>
    <row r="36" spans="1:21" ht="12.75">
      <c r="A36" s="4">
        <f t="shared" si="2"/>
        <v>18</v>
      </c>
      <c r="C36" t="s">
        <v>113</v>
      </c>
      <c r="E36" s="2">
        <f>-2634576</f>
        <v>-2634576</v>
      </c>
      <c r="F36" s="2"/>
      <c r="G36" s="2"/>
      <c r="H36" s="2"/>
      <c r="I36" s="2"/>
      <c r="J36" s="2"/>
      <c r="K36" s="2"/>
      <c r="L36" s="2"/>
      <c r="M36" s="2"/>
      <c r="N36" s="2"/>
      <c r="O36" s="2">
        <f t="shared" si="3"/>
        <v>-2634576</v>
      </c>
      <c r="P36" s="2"/>
      <c r="Q36" s="2"/>
      <c r="R36" s="2"/>
      <c r="S36" s="2"/>
      <c r="T36" s="2"/>
      <c r="U36" s="2"/>
    </row>
    <row r="37" spans="1:21" ht="12.75">
      <c r="A37" s="4">
        <f t="shared" si="2"/>
        <v>19</v>
      </c>
      <c r="C37" t="s">
        <v>114</v>
      </c>
      <c r="E37" s="2">
        <f>-38641</f>
        <v>-38641</v>
      </c>
      <c r="F37" s="2"/>
      <c r="G37" s="2"/>
      <c r="H37" s="2"/>
      <c r="I37" s="2"/>
      <c r="J37" s="2"/>
      <c r="K37" s="2"/>
      <c r="L37" s="2"/>
      <c r="M37" s="2"/>
      <c r="N37" s="2"/>
      <c r="O37" s="2">
        <f t="shared" si="3"/>
        <v>-38641</v>
      </c>
      <c r="P37" s="2"/>
      <c r="Q37" s="2"/>
      <c r="R37" s="2"/>
      <c r="S37" s="2"/>
      <c r="T37" s="2"/>
      <c r="U37" s="2"/>
    </row>
    <row r="38" spans="1:21" ht="12.75">
      <c r="A38" s="4">
        <f t="shared" si="2"/>
        <v>20</v>
      </c>
      <c r="C38" t="s">
        <v>115</v>
      </c>
      <c r="E38" s="2">
        <v>0</v>
      </c>
      <c r="F38" s="2"/>
      <c r="G38" s="2">
        <f>-'Cust Depts'!H32</f>
        <v>-1225145.7230769233</v>
      </c>
      <c r="H38" s="2"/>
      <c r="I38" s="2"/>
      <c r="J38" s="2"/>
      <c r="K38" s="2"/>
      <c r="L38" s="2"/>
      <c r="M38" s="2"/>
      <c r="N38" s="2"/>
      <c r="O38" s="2">
        <f t="shared" si="3"/>
        <v>-1225145.7230769233</v>
      </c>
      <c r="P38" s="2"/>
      <c r="Q38" s="2"/>
      <c r="R38" s="2"/>
      <c r="S38" s="2"/>
      <c r="T38" s="2"/>
      <c r="U38" s="2"/>
    </row>
    <row r="39" spans="1:21" ht="12.75">
      <c r="A39" s="4">
        <f t="shared" si="2"/>
        <v>21</v>
      </c>
      <c r="C39" t="s">
        <v>116</v>
      </c>
      <c r="E39" s="3">
        <v>-13464469</v>
      </c>
      <c r="F39" s="13"/>
      <c r="G39" s="3"/>
      <c r="H39" s="13"/>
      <c r="I39" s="3"/>
      <c r="J39" s="13"/>
      <c r="K39" s="3"/>
      <c r="L39" s="2"/>
      <c r="M39" s="3"/>
      <c r="N39" s="2"/>
      <c r="O39" s="3">
        <f t="shared" si="3"/>
        <v>-13464469</v>
      </c>
      <c r="P39" s="2"/>
      <c r="Q39" s="2"/>
      <c r="R39" s="2"/>
      <c r="S39" s="2"/>
      <c r="T39" s="2"/>
      <c r="U39" s="2"/>
    </row>
    <row r="40" spans="1:21" ht="12.75">
      <c r="A40" s="4">
        <f t="shared" si="2"/>
        <v>22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">
        <f t="shared" si="2"/>
        <v>23</v>
      </c>
      <c r="C41" t="s">
        <v>117</v>
      </c>
      <c r="E41" s="2">
        <f>SUM(E33:E40)</f>
        <v>-497091102</v>
      </c>
      <c r="F41" s="2"/>
      <c r="G41" s="2">
        <f>SUM(G33:G40)</f>
        <v>-1225145.7230769233</v>
      </c>
      <c r="H41" s="2"/>
      <c r="I41" s="2">
        <f>SUM(I33:I40)</f>
        <v>0</v>
      </c>
      <c r="J41" s="2"/>
      <c r="K41" s="2">
        <f>SUM(K33:K40)</f>
        <v>0</v>
      </c>
      <c r="L41" s="2"/>
      <c r="M41" s="2">
        <f>SUM(M33:M40)</f>
        <v>0</v>
      </c>
      <c r="N41" s="2"/>
      <c r="O41" s="2">
        <f>SUM(O33:O40)</f>
        <v>-498316247.72307694</v>
      </c>
      <c r="P41" s="2"/>
      <c r="Q41" s="2"/>
      <c r="R41" s="2"/>
      <c r="S41" s="2"/>
      <c r="T41" s="2"/>
      <c r="U41" s="2"/>
    </row>
    <row r="42" spans="1:21" ht="12.75">
      <c r="A42" s="4">
        <f t="shared" si="2"/>
        <v>24</v>
      </c>
      <c r="C42" t="s">
        <v>303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thickBot="1">
      <c r="A43" s="4">
        <f t="shared" si="2"/>
        <v>25</v>
      </c>
      <c r="C43" t="s">
        <v>118</v>
      </c>
      <c r="E43" s="27">
        <f>+E30+E41</f>
        <v>596314312</v>
      </c>
      <c r="F43" s="13"/>
      <c r="G43" s="27">
        <f>+G30+G41</f>
        <v>-1225145.7230769233</v>
      </c>
      <c r="H43" s="13"/>
      <c r="I43" s="27">
        <f>+I30+I41</f>
        <v>-10975545.249661384</v>
      </c>
      <c r="J43" s="13"/>
      <c r="K43" s="27">
        <f>+K30+K41</f>
        <v>-245541.51176800003</v>
      </c>
      <c r="L43" s="2"/>
      <c r="M43" s="27">
        <f>+M30+M41</f>
        <v>-10552885</v>
      </c>
      <c r="N43" s="2"/>
      <c r="O43" s="27">
        <f>+O30+O41</f>
        <v>573315194.5154938</v>
      </c>
      <c r="P43" s="2"/>
      <c r="Q43" s="2"/>
      <c r="R43" s="2"/>
      <c r="S43" s="2"/>
      <c r="T43" s="2"/>
      <c r="U43" s="2"/>
    </row>
    <row r="44" spans="1:21" ht="13.5" thickTop="1">
      <c r="A44" s="4">
        <f t="shared" si="2"/>
        <v>26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f>SUM(E43:M43)</f>
        <v>573315194.5154938</v>
      </c>
      <c r="P47" s="2"/>
      <c r="Q47" s="2"/>
      <c r="R47" s="2"/>
      <c r="S47" s="2"/>
      <c r="T47" s="2"/>
      <c r="U47" s="2"/>
    </row>
    <row r="48" spans="1:21" ht="12.75">
      <c r="A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5:21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5:21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5:21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5:21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5:21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5:21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5:21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5:21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5:21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5:21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5:21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mergeCells count="3">
    <mergeCell ref="E7:K7"/>
    <mergeCell ref="E8:K8"/>
    <mergeCell ref="E9:K9"/>
  </mergeCells>
  <printOptions/>
  <pageMargins left="1.25" right="0.75" top="1.25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3.7109375" style="0" customWidth="1"/>
    <col min="4" max="4" width="9.7109375" style="0" bestFit="1" customWidth="1"/>
    <col min="6" max="6" width="8.7109375" style="0" customWidth="1"/>
    <col min="7" max="7" width="6.7109375" style="0" customWidth="1"/>
    <col min="8" max="8" width="14.00390625" style="0" bestFit="1" customWidth="1"/>
    <col min="9" max="9" width="12.7109375" style="0" customWidth="1"/>
  </cols>
  <sheetData>
    <row r="1" ht="12.75">
      <c r="I1" s="60" t="s">
        <v>245</v>
      </c>
    </row>
    <row r="2" ht="12.75">
      <c r="I2" s="60" t="s">
        <v>214</v>
      </c>
    </row>
    <row r="3" ht="12.75">
      <c r="I3" s="60"/>
    </row>
    <row r="4" ht="12.75">
      <c r="I4" s="60"/>
    </row>
    <row r="7" spans="3:8" ht="15.75">
      <c r="C7" s="73" t="s">
        <v>242</v>
      </c>
      <c r="D7" s="73"/>
      <c r="E7" s="73"/>
      <c r="F7" s="73"/>
      <c r="G7" s="73"/>
      <c r="H7" s="73"/>
    </row>
    <row r="8" spans="3:8" ht="12.75">
      <c r="C8" s="74" t="s">
        <v>212</v>
      </c>
      <c r="D8" s="74"/>
      <c r="E8" s="74"/>
      <c r="F8" s="74"/>
      <c r="G8" s="74"/>
      <c r="H8" s="74"/>
    </row>
    <row r="9" spans="3:8" ht="12.75">
      <c r="C9" s="74" t="s">
        <v>244</v>
      </c>
      <c r="D9" s="74"/>
      <c r="E9" s="74"/>
      <c r="F9" s="74"/>
      <c r="G9" s="74"/>
      <c r="H9" s="74"/>
    </row>
    <row r="11" ht="12.75">
      <c r="A11" s="4" t="s">
        <v>13</v>
      </c>
    </row>
    <row r="12" spans="1:8" ht="12.75">
      <c r="A12" s="5" t="s">
        <v>14</v>
      </c>
      <c r="C12" s="10" t="s">
        <v>15</v>
      </c>
      <c r="D12" s="10"/>
      <c r="E12" s="10"/>
      <c r="F12" s="10"/>
      <c r="G12" s="11"/>
      <c r="H12" s="5" t="s">
        <v>4</v>
      </c>
    </row>
    <row r="13" ht="12.75">
      <c r="G13" s="11"/>
    </row>
    <row r="14" spans="1:10" ht="12.75">
      <c r="A14" s="4">
        <v>1</v>
      </c>
      <c r="C14" s="11" t="s">
        <v>18</v>
      </c>
      <c r="D14" s="11"/>
      <c r="E14" s="11"/>
      <c r="F14" s="11"/>
      <c r="G14" s="11"/>
      <c r="H14" s="11"/>
      <c r="I14" s="11"/>
      <c r="J14" s="11"/>
    </row>
    <row r="15" spans="1:10" ht="12.75">
      <c r="A15" s="4">
        <v>2</v>
      </c>
      <c r="C15" s="11" t="s">
        <v>19</v>
      </c>
      <c r="D15" s="11"/>
      <c r="E15" s="11"/>
      <c r="F15" s="11"/>
      <c r="G15" s="11"/>
      <c r="H15" s="15"/>
      <c r="I15" s="11"/>
      <c r="J15" s="11"/>
    </row>
    <row r="16" spans="1:10" ht="12.75">
      <c r="A16" s="4">
        <v>3</v>
      </c>
      <c r="C16" s="11"/>
      <c r="D16" s="14">
        <v>37315</v>
      </c>
      <c r="E16" s="11"/>
      <c r="F16" s="11"/>
      <c r="G16" s="11"/>
      <c r="H16" s="17">
        <v>1095724.26</v>
      </c>
      <c r="I16" s="11"/>
      <c r="J16" s="11"/>
    </row>
    <row r="17" spans="1:10" ht="12.75">
      <c r="A17" s="4">
        <v>4</v>
      </c>
      <c r="C17" s="11"/>
      <c r="D17" s="14">
        <f>+D16+31</f>
        <v>37346</v>
      </c>
      <c r="E17" s="11"/>
      <c r="F17" s="11"/>
      <c r="G17" s="11"/>
      <c r="H17" s="15">
        <v>1206914.12</v>
      </c>
      <c r="I17" s="11"/>
      <c r="J17" s="11"/>
    </row>
    <row r="18" spans="1:10" ht="12.75">
      <c r="A18" s="4">
        <v>5</v>
      </c>
      <c r="C18" s="11"/>
      <c r="D18" s="14">
        <f>+D17+30</f>
        <v>37376</v>
      </c>
      <c r="E18" s="11"/>
      <c r="F18" s="11"/>
      <c r="G18" s="11"/>
      <c r="H18" s="15">
        <v>1214182.12</v>
      </c>
      <c r="I18" s="11"/>
      <c r="J18" s="11"/>
    </row>
    <row r="19" spans="1:10" ht="12.75">
      <c r="A19" s="4">
        <v>6</v>
      </c>
      <c r="C19" s="11"/>
      <c r="D19" s="14">
        <f>+D18+31</f>
        <v>37407</v>
      </c>
      <c r="E19" s="11"/>
      <c r="F19" s="11"/>
      <c r="G19" s="11"/>
      <c r="H19" s="15">
        <v>1231364.12</v>
      </c>
      <c r="I19" s="11"/>
      <c r="J19" s="11"/>
    </row>
    <row r="20" spans="1:10" ht="12.75">
      <c r="A20" s="4">
        <v>7</v>
      </c>
      <c r="C20" s="11"/>
      <c r="D20" s="14">
        <f>+D19+30</f>
        <v>37437</v>
      </c>
      <c r="E20" s="11"/>
      <c r="F20" s="11"/>
      <c r="G20" s="11"/>
      <c r="H20" s="15">
        <v>1204007.12</v>
      </c>
      <c r="I20" s="11"/>
      <c r="J20" s="11"/>
    </row>
    <row r="21" spans="1:10" ht="12.75">
      <c r="A21" s="4">
        <v>8</v>
      </c>
      <c r="C21" s="11"/>
      <c r="D21" s="14">
        <f>+D20+31</f>
        <v>37468</v>
      </c>
      <c r="E21" s="11"/>
      <c r="F21" s="11"/>
      <c r="G21" s="11"/>
      <c r="H21" s="15">
        <v>1215226.4</v>
      </c>
      <c r="I21" s="11"/>
      <c r="J21" s="11"/>
    </row>
    <row r="22" spans="1:10" ht="12.75">
      <c r="A22" s="4">
        <v>9</v>
      </c>
      <c r="C22" s="11"/>
      <c r="D22" s="14">
        <f>+D21+31</f>
        <v>37499</v>
      </c>
      <c r="E22" s="11"/>
      <c r="F22" s="11"/>
      <c r="G22" s="11"/>
      <c r="H22" s="15">
        <v>1195363.4</v>
      </c>
      <c r="I22" s="11"/>
      <c r="J22" s="11"/>
    </row>
    <row r="23" spans="1:10" ht="12.75">
      <c r="A23" s="4">
        <v>10</v>
      </c>
      <c r="C23" s="11"/>
      <c r="D23" s="14">
        <f>+D22+30</f>
        <v>37529</v>
      </c>
      <c r="E23" s="11"/>
      <c r="F23" s="11"/>
      <c r="G23" s="11"/>
      <c r="H23" s="15">
        <v>1202793.4</v>
      </c>
      <c r="I23" s="11"/>
      <c r="J23" s="11"/>
    </row>
    <row r="24" spans="1:10" ht="12.75">
      <c r="A24" s="4">
        <v>11</v>
      </c>
      <c r="C24" s="11"/>
      <c r="D24" s="14">
        <f>+D23+31</f>
        <v>37560</v>
      </c>
      <c r="E24" s="11"/>
      <c r="F24" s="11"/>
      <c r="G24" s="11"/>
      <c r="H24" s="15">
        <v>1215140.15</v>
      </c>
      <c r="I24" s="11"/>
      <c r="J24" s="11"/>
    </row>
    <row r="25" spans="1:10" ht="12.75">
      <c r="A25" s="4">
        <v>12</v>
      </c>
      <c r="C25" s="11"/>
      <c r="D25" s="14">
        <f>+D24+30</f>
        <v>37590</v>
      </c>
      <c r="E25" s="11"/>
      <c r="F25" s="11"/>
      <c r="G25" s="11"/>
      <c r="H25" s="15">
        <v>1221966.15</v>
      </c>
      <c r="I25" s="11"/>
      <c r="J25" s="11"/>
    </row>
    <row r="26" spans="1:10" ht="12.75">
      <c r="A26" s="4">
        <v>13</v>
      </c>
      <c r="C26" s="11"/>
      <c r="D26" s="14">
        <f>+D25+31</f>
        <v>37621</v>
      </c>
      <c r="E26" s="11"/>
      <c r="F26" s="11"/>
      <c r="G26" s="11"/>
      <c r="H26" s="15">
        <v>1255340.72</v>
      </c>
      <c r="I26" s="11"/>
      <c r="J26" s="11"/>
    </row>
    <row r="27" spans="1:10" ht="12.75">
      <c r="A27" s="4">
        <v>14</v>
      </c>
      <c r="C27" s="11"/>
      <c r="D27" s="14">
        <f>+D26+31</f>
        <v>37652</v>
      </c>
      <c r="E27" s="11"/>
      <c r="F27" s="11"/>
      <c r="G27" s="11"/>
      <c r="H27" s="15">
        <v>1340732.22</v>
      </c>
      <c r="I27" s="11"/>
      <c r="J27" s="11"/>
    </row>
    <row r="28" spans="1:10" ht="12.75">
      <c r="A28" s="4">
        <v>15</v>
      </c>
      <c r="C28" s="11"/>
      <c r="D28" s="14">
        <f>+D27+28</f>
        <v>37680</v>
      </c>
      <c r="E28" s="11"/>
      <c r="F28" s="11"/>
      <c r="G28" s="11"/>
      <c r="H28" s="18">
        <v>1328140.22</v>
      </c>
      <c r="I28" s="11"/>
      <c r="J28" s="11"/>
    </row>
    <row r="29" spans="3:10" ht="12.75">
      <c r="C29" s="11"/>
      <c r="D29" s="14"/>
      <c r="E29" s="11"/>
      <c r="F29" s="11"/>
      <c r="G29" s="11"/>
      <c r="H29" s="15"/>
      <c r="I29" s="11"/>
      <c r="J29" s="11"/>
    </row>
    <row r="30" spans="1:10" ht="12.75">
      <c r="A30" s="4">
        <v>16</v>
      </c>
      <c r="C30" s="11"/>
      <c r="D30" s="14" t="s">
        <v>20</v>
      </c>
      <c r="E30" s="11"/>
      <c r="F30" s="11"/>
      <c r="G30" s="11"/>
      <c r="I30" s="11"/>
      <c r="J30" s="11"/>
    </row>
    <row r="31" spans="1:10" ht="12.75">
      <c r="A31" s="4">
        <v>17</v>
      </c>
      <c r="C31" s="11"/>
      <c r="D31" s="11" t="s">
        <v>18</v>
      </c>
      <c r="E31" s="11"/>
      <c r="F31" s="11"/>
      <c r="G31" s="11"/>
      <c r="H31" s="15"/>
      <c r="I31" s="11"/>
      <c r="J31" s="11"/>
    </row>
    <row r="32" spans="1:8" ht="13.5" thickBot="1">
      <c r="A32" s="4">
        <v>18</v>
      </c>
      <c r="D32" t="s">
        <v>21</v>
      </c>
      <c r="G32" s="11"/>
      <c r="H32" s="9">
        <f>SUM(H16:H29)/13</f>
        <v>1225145.7230769233</v>
      </c>
    </row>
    <row r="33" ht="13.5" thickTop="1">
      <c r="G33" s="11"/>
    </row>
    <row r="34" spans="1:7" ht="12.75">
      <c r="A34" s="4">
        <v>19</v>
      </c>
      <c r="D34" t="s">
        <v>22</v>
      </c>
      <c r="G34" s="11"/>
    </row>
    <row r="35" spans="1:8" ht="12.75">
      <c r="A35" s="4">
        <v>20</v>
      </c>
      <c r="D35" t="s">
        <v>23</v>
      </c>
      <c r="G35" s="11"/>
      <c r="H35" s="16">
        <v>0.0118</v>
      </c>
    </row>
    <row r="36" ht="12.75">
      <c r="G36" s="11"/>
    </row>
    <row r="37" spans="1:7" ht="12.75">
      <c r="A37" s="4">
        <v>21</v>
      </c>
      <c r="D37" t="s">
        <v>18</v>
      </c>
      <c r="G37" s="11"/>
    </row>
    <row r="38" spans="1:7" ht="12.75">
      <c r="A38" s="4">
        <v>22</v>
      </c>
      <c r="D38" t="s">
        <v>260</v>
      </c>
      <c r="G38" s="11"/>
    </row>
    <row r="39" spans="1:8" ht="13.5" thickBot="1">
      <c r="A39" s="4">
        <v>23</v>
      </c>
      <c r="D39" t="s">
        <v>261</v>
      </c>
      <c r="G39" s="11"/>
      <c r="H39" s="7">
        <f>+H32*H35</f>
        <v>14456.719532307694</v>
      </c>
    </row>
    <row r="40" ht="13.5" thickTop="1">
      <c r="G40" s="11"/>
    </row>
    <row r="41" ht="12.75">
      <c r="G41" s="11"/>
    </row>
    <row r="42" spans="3:7" ht="12.75">
      <c r="C42" t="s">
        <v>303</v>
      </c>
      <c r="G42" s="11"/>
    </row>
    <row r="43" ht="12.75">
      <c r="G43" s="11"/>
    </row>
    <row r="44" ht="12.75">
      <c r="G44" s="11"/>
    </row>
    <row r="45" ht="12.75">
      <c r="G45" s="11"/>
    </row>
    <row r="46" ht="12.75">
      <c r="G46" s="11"/>
    </row>
    <row r="47" ht="12.75">
      <c r="G47" s="11"/>
    </row>
    <row r="48" ht="12.75">
      <c r="G48" s="11"/>
    </row>
    <row r="49" ht="12.75">
      <c r="G49" s="11"/>
    </row>
    <row r="50" ht="12.75">
      <c r="G50" s="11"/>
    </row>
    <row r="51" ht="12.75">
      <c r="G51" s="11"/>
    </row>
  </sheetData>
  <mergeCells count="3">
    <mergeCell ref="C7:H7"/>
    <mergeCell ref="C8:H8"/>
    <mergeCell ref="C9:H9"/>
  </mergeCells>
  <printOptions/>
  <pageMargins left="1.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65"/>
  <sheetViews>
    <sheetView tabSelected="1" workbookViewId="0" topLeftCell="P1">
      <selection activeCell="C43" sqref="C43"/>
    </sheetView>
  </sheetViews>
  <sheetFormatPr defaultColWidth="9.140625" defaultRowHeight="12.75"/>
  <cols>
    <col min="2" max="2" width="2.7109375" style="0" customWidth="1"/>
    <col min="5" max="5" width="12.28125" style="0" bestFit="1" customWidth="1"/>
    <col min="6" max="6" width="2.7109375" style="0" customWidth="1"/>
    <col min="8" max="8" width="2.7109375" style="0" customWidth="1"/>
    <col min="9" max="9" width="14.57421875" style="0" customWidth="1"/>
    <col min="11" max="11" width="14.00390625" style="0" bestFit="1" customWidth="1"/>
    <col min="12" max="12" width="2.7109375" style="0" customWidth="1"/>
    <col min="14" max="14" width="2.7109375" style="0" customWidth="1"/>
    <col min="15" max="15" width="14.7109375" style="0" customWidth="1"/>
    <col min="16" max="16" width="2.7109375" style="0" customWidth="1"/>
    <col min="17" max="17" width="12.8515625" style="0" bestFit="1" customWidth="1"/>
    <col min="18" max="18" width="12.8515625" style="0" customWidth="1"/>
    <col min="19" max="19" width="5.7109375" style="0" customWidth="1"/>
    <col min="20" max="21" width="2.7109375" style="0" customWidth="1"/>
    <col min="22" max="22" width="19.421875" style="0" customWidth="1"/>
    <col min="23" max="23" width="6.7109375" style="0" customWidth="1"/>
    <col min="24" max="24" width="17.00390625" style="0" bestFit="1" customWidth="1"/>
    <col min="25" max="25" width="5.7109375" style="0" customWidth="1"/>
    <col min="26" max="26" width="6.7109375" style="0" customWidth="1"/>
    <col min="27" max="27" width="5.7109375" style="0" customWidth="1"/>
    <col min="28" max="28" width="15.00390625" style="0" bestFit="1" customWidth="1"/>
    <col min="29" max="29" width="2.7109375" style="0" customWidth="1"/>
    <col min="31" max="31" width="2.7109375" style="0" customWidth="1"/>
    <col min="32" max="32" width="14.57421875" style="0" customWidth="1"/>
  </cols>
  <sheetData>
    <row r="3" ht="12.75">
      <c r="AB3" s="60"/>
    </row>
    <row r="4" ht="12.75">
      <c r="AB4" s="60" t="s">
        <v>246</v>
      </c>
    </row>
    <row r="5" ht="12.75">
      <c r="AB5" s="60" t="s">
        <v>214</v>
      </c>
    </row>
    <row r="7" spans="21:28" ht="18">
      <c r="U7" s="70" t="s">
        <v>242</v>
      </c>
      <c r="V7" s="70"/>
      <c r="W7" s="70"/>
      <c r="X7" s="70"/>
      <c r="Y7" s="70"/>
      <c r="Z7" s="70"/>
      <c r="AA7" s="70"/>
      <c r="AB7" s="70"/>
    </row>
    <row r="8" spans="21:28" ht="12.75">
      <c r="U8" s="71" t="s">
        <v>212</v>
      </c>
      <c r="V8" s="71"/>
      <c r="W8" s="71"/>
      <c r="X8" s="71"/>
      <c r="Y8" s="71"/>
      <c r="Z8" s="71"/>
      <c r="AA8" s="71"/>
      <c r="AB8" s="71"/>
    </row>
    <row r="9" spans="2:28" ht="12.75">
      <c r="B9" s="75" t="s">
        <v>170</v>
      </c>
      <c r="C9" s="75"/>
      <c r="D9" s="75"/>
      <c r="E9" s="75"/>
      <c r="F9" s="75"/>
      <c r="G9" s="75"/>
      <c r="H9" s="75"/>
      <c r="I9" s="75"/>
      <c r="K9" s="71" t="s">
        <v>181</v>
      </c>
      <c r="L9" s="71"/>
      <c r="M9" s="71"/>
      <c r="N9" s="71"/>
      <c r="O9" s="71"/>
      <c r="Q9" s="4" t="s">
        <v>182</v>
      </c>
      <c r="R9" s="4"/>
      <c r="S9" s="4"/>
      <c r="T9" s="4"/>
      <c r="U9" s="71" t="s">
        <v>247</v>
      </c>
      <c r="V9" s="71"/>
      <c r="W9" s="71"/>
      <c r="X9" s="71"/>
      <c r="Y9" s="71"/>
      <c r="Z9" s="71"/>
      <c r="AA9" s="71"/>
      <c r="AB9" s="71"/>
    </row>
    <row r="10" spans="11:22" ht="12.75">
      <c r="K10" s="71" t="s">
        <v>180</v>
      </c>
      <c r="L10" s="71"/>
      <c r="M10" s="71"/>
      <c r="N10" s="71"/>
      <c r="O10" s="71"/>
      <c r="Q10" s="4" t="s">
        <v>56</v>
      </c>
      <c r="R10" s="4"/>
      <c r="S10" s="4"/>
      <c r="T10" s="4"/>
      <c r="U10" s="4"/>
      <c r="V10" s="4"/>
    </row>
    <row r="11" spans="2:24" ht="12.75">
      <c r="B11" t="s">
        <v>44</v>
      </c>
      <c r="E11" s="2"/>
      <c r="X11" s="4" t="s">
        <v>184</v>
      </c>
    </row>
    <row r="12" spans="5:28" ht="12.75">
      <c r="E12" s="2"/>
      <c r="S12" s="4" t="s">
        <v>13</v>
      </c>
      <c r="X12" s="4" t="s">
        <v>183</v>
      </c>
      <c r="Z12" s="4" t="s">
        <v>185</v>
      </c>
      <c r="AB12" s="4" t="s">
        <v>187</v>
      </c>
    </row>
    <row r="13" spans="2:28" ht="12.75">
      <c r="B13" t="s">
        <v>174</v>
      </c>
      <c r="E13" s="2"/>
      <c r="G13" s="24">
        <f>+I13-E13</f>
        <v>0</v>
      </c>
      <c r="S13" s="5" t="s">
        <v>14</v>
      </c>
      <c r="U13" s="10" t="s">
        <v>174</v>
      </c>
      <c r="V13" s="10"/>
      <c r="X13" s="5" t="s">
        <v>248</v>
      </c>
      <c r="Z13" s="5" t="s">
        <v>186</v>
      </c>
      <c r="AB13" s="5" t="s">
        <v>186</v>
      </c>
    </row>
    <row r="14" spans="3:32" ht="12.75">
      <c r="C14" t="s">
        <v>45</v>
      </c>
      <c r="E14" s="2">
        <v>43214732</v>
      </c>
      <c r="G14" s="23">
        <v>26.3</v>
      </c>
      <c r="I14" s="24">
        <f>+E14*G14</f>
        <v>1136547451.6000001</v>
      </c>
      <c r="K14" s="2">
        <f>34245275+6068538</f>
        <v>40313813</v>
      </c>
      <c r="M14" s="23">
        <v>26.3</v>
      </c>
      <c r="O14" s="24">
        <f>+K14*M14</f>
        <v>1060253281.9</v>
      </c>
      <c r="Q14" s="2">
        <v>2022342.2970600408</v>
      </c>
      <c r="R14" s="2"/>
      <c r="S14" s="2">
        <v>1</v>
      </c>
      <c r="T14" s="2"/>
      <c r="V14" t="s">
        <v>45</v>
      </c>
      <c r="X14" s="2">
        <f>+K14-Q14</f>
        <v>38291470.70293996</v>
      </c>
      <c r="Z14" s="23">
        <v>26.3</v>
      </c>
      <c r="AB14" s="24">
        <f>+X14*Z14</f>
        <v>1007065679.4873209</v>
      </c>
      <c r="AD14" s="26"/>
      <c r="AF14" s="24"/>
    </row>
    <row r="15" spans="3:32" ht="12.75">
      <c r="C15" t="s">
        <v>46</v>
      </c>
      <c r="E15" s="2">
        <v>9626138</v>
      </c>
      <c r="G15" s="23">
        <v>31</v>
      </c>
      <c r="I15" s="24">
        <f aca="true" t="shared" si="0" ref="I15:I23">+E15*G15</f>
        <v>298410278</v>
      </c>
      <c r="K15" s="2">
        <f>51615809-34245275</f>
        <v>17370534</v>
      </c>
      <c r="M15" s="23">
        <v>31</v>
      </c>
      <c r="O15" s="24">
        <f aca="true" t="shared" si="1" ref="O15:O23">+K15*M15</f>
        <v>538486554</v>
      </c>
      <c r="Q15" s="2">
        <v>6145590.017515287</v>
      </c>
      <c r="R15" s="2"/>
      <c r="S15" s="2">
        <v>2</v>
      </c>
      <c r="T15" s="2"/>
      <c r="V15" t="s">
        <v>46</v>
      </c>
      <c r="X15" s="2">
        <f aca="true" t="shared" si="2" ref="X15:X22">+K15-Q15</f>
        <v>11224943.982484713</v>
      </c>
      <c r="Z15" s="23">
        <v>31</v>
      </c>
      <c r="AB15" s="24">
        <f aca="true" t="shared" si="3" ref="AB15:AB23">+X15*Z15</f>
        <v>347973263.4570261</v>
      </c>
      <c r="AD15" s="26"/>
      <c r="AF15" s="24"/>
    </row>
    <row r="16" spans="3:32" ht="12.75">
      <c r="C16" t="s">
        <v>47</v>
      </c>
      <c r="E16" s="2">
        <v>1311424</v>
      </c>
      <c r="G16" s="23">
        <v>27.6</v>
      </c>
      <c r="I16" s="24">
        <f t="shared" si="0"/>
        <v>36195302.4</v>
      </c>
      <c r="K16" s="2">
        <v>5429336</v>
      </c>
      <c r="M16" s="23">
        <v>27.6</v>
      </c>
      <c r="O16" s="24">
        <f t="shared" si="1"/>
        <v>149849673.6</v>
      </c>
      <c r="Q16" s="2">
        <v>739841.2833482445</v>
      </c>
      <c r="R16" s="2"/>
      <c r="S16" s="2">
        <v>3</v>
      </c>
      <c r="T16" s="2"/>
      <c r="V16" t="s">
        <v>47</v>
      </c>
      <c r="X16" s="2">
        <f>+K16-Q16-Swift!L22</f>
        <v>4616628.580463755</v>
      </c>
      <c r="Z16" s="23">
        <v>27.6</v>
      </c>
      <c r="AB16" s="24">
        <f t="shared" si="3"/>
        <v>127418948.82079965</v>
      </c>
      <c r="AD16" s="26"/>
      <c r="AF16" s="24"/>
    </row>
    <row r="17" spans="3:32" ht="12.75">
      <c r="C17" t="s">
        <v>48</v>
      </c>
      <c r="E17" s="2">
        <v>3379648</v>
      </c>
      <c r="G17" s="23">
        <v>43</v>
      </c>
      <c r="I17" s="24">
        <f t="shared" si="0"/>
        <v>145324864</v>
      </c>
      <c r="K17" s="2">
        <f>8666833-6068538</f>
        <v>2598295</v>
      </c>
      <c r="M17" s="23">
        <v>43</v>
      </c>
      <c r="O17" s="24">
        <f t="shared" si="1"/>
        <v>111726685</v>
      </c>
      <c r="Q17" s="2">
        <v>98732.18736957549</v>
      </c>
      <c r="R17" s="2"/>
      <c r="S17" s="2">
        <v>4</v>
      </c>
      <c r="T17" s="2"/>
      <c r="V17" t="s">
        <v>48</v>
      </c>
      <c r="X17" s="2">
        <f t="shared" si="2"/>
        <v>2499562.8126304243</v>
      </c>
      <c r="Z17" s="23">
        <v>43</v>
      </c>
      <c r="AB17" s="24">
        <f t="shared" si="3"/>
        <v>107481200.94310825</v>
      </c>
      <c r="AD17" s="26"/>
      <c r="AF17" s="24"/>
    </row>
    <row r="18" spans="3:32" ht="12.75">
      <c r="C18" t="s">
        <v>49</v>
      </c>
      <c r="E18" s="2">
        <v>100855227</v>
      </c>
      <c r="G18" s="23">
        <v>38.6</v>
      </c>
      <c r="I18" s="24">
        <f t="shared" si="0"/>
        <v>3893011762.2000003</v>
      </c>
      <c r="K18" s="2">
        <v>95872593</v>
      </c>
      <c r="M18" s="23">
        <v>38.6</v>
      </c>
      <c r="O18" s="24">
        <f t="shared" si="1"/>
        <v>3700682089.8</v>
      </c>
      <c r="Q18" s="2">
        <v>1488954.1153837545</v>
      </c>
      <c r="R18" s="2"/>
      <c r="S18" s="2">
        <v>5</v>
      </c>
      <c r="T18" s="2"/>
      <c r="V18" t="s">
        <v>49</v>
      </c>
      <c r="X18" s="2">
        <f t="shared" si="2"/>
        <v>94383638.88461624</v>
      </c>
      <c r="Z18" s="23">
        <v>38.6</v>
      </c>
      <c r="AB18" s="24">
        <f t="shared" si="3"/>
        <v>3643208460.946187</v>
      </c>
      <c r="AD18" s="26"/>
      <c r="AF18" s="24"/>
    </row>
    <row r="19" spans="3:32" ht="12.75">
      <c r="C19" t="s">
        <v>50</v>
      </c>
      <c r="E19" s="2">
        <v>7827626</v>
      </c>
      <c r="G19" s="23">
        <v>34.8</v>
      </c>
      <c r="I19" s="24">
        <f t="shared" si="0"/>
        <v>272401384.79999995</v>
      </c>
      <c r="K19" s="2">
        <v>8098811</v>
      </c>
      <c r="M19" s="23">
        <v>34.8</v>
      </c>
      <c r="O19" s="24">
        <f t="shared" si="1"/>
        <v>281838622.79999995</v>
      </c>
      <c r="Q19" s="24">
        <v>842787.8959777944</v>
      </c>
      <c r="R19" s="24"/>
      <c r="S19" s="24">
        <v>6</v>
      </c>
      <c r="T19" s="24"/>
      <c r="V19" t="s">
        <v>50</v>
      </c>
      <c r="X19" s="2">
        <f t="shared" si="2"/>
        <v>7256023.104022206</v>
      </c>
      <c r="Z19" s="23">
        <v>34.8</v>
      </c>
      <c r="AB19" s="24">
        <f t="shared" si="3"/>
        <v>252509604.01997274</v>
      </c>
      <c r="AD19" s="26"/>
      <c r="AF19" s="24"/>
    </row>
    <row r="20" spans="3:32" ht="12.75">
      <c r="C20" t="s">
        <v>51</v>
      </c>
      <c r="E20" s="2">
        <v>3622348</v>
      </c>
      <c r="G20" s="23">
        <v>32.4</v>
      </c>
      <c r="I20" s="24">
        <f t="shared" si="0"/>
        <v>117364075.19999999</v>
      </c>
      <c r="K20" s="2">
        <v>7073844</v>
      </c>
      <c r="M20" s="23">
        <v>32.4</v>
      </c>
      <c r="O20" s="24">
        <f t="shared" si="1"/>
        <v>229192545.6</v>
      </c>
      <c r="Q20" s="2">
        <v>5203164.042074969</v>
      </c>
      <c r="R20" s="2"/>
      <c r="S20" s="2">
        <v>7</v>
      </c>
      <c r="T20" s="2"/>
      <c r="V20" t="s">
        <v>51</v>
      </c>
      <c r="X20" s="2">
        <f t="shared" si="2"/>
        <v>1870679.957925031</v>
      </c>
      <c r="Z20" s="23">
        <v>32.4</v>
      </c>
      <c r="AB20" s="24">
        <f t="shared" si="3"/>
        <v>60610030.636771</v>
      </c>
      <c r="AD20" s="26"/>
      <c r="AF20" s="24"/>
    </row>
    <row r="21" spans="3:32" ht="12.75">
      <c r="C21" t="s">
        <v>52</v>
      </c>
      <c r="E21" s="2">
        <v>4004762</v>
      </c>
      <c r="G21" s="23">
        <v>31</v>
      </c>
      <c r="I21" s="24">
        <f t="shared" si="0"/>
        <v>124147622</v>
      </c>
      <c r="K21" s="24">
        <f>6612545+214200</f>
        <v>6826745</v>
      </c>
      <c r="M21" s="23">
        <v>31</v>
      </c>
      <c r="O21" s="24">
        <f t="shared" si="1"/>
        <v>211629095</v>
      </c>
      <c r="Q21" s="2">
        <v>3137801.392516058</v>
      </c>
      <c r="R21" s="2"/>
      <c r="S21" s="2">
        <v>8</v>
      </c>
      <c r="T21" s="2"/>
      <c r="V21" t="s">
        <v>52</v>
      </c>
      <c r="X21" s="2">
        <f t="shared" si="2"/>
        <v>3688943.607483942</v>
      </c>
      <c r="Z21" s="23">
        <v>31</v>
      </c>
      <c r="AB21" s="24">
        <f t="shared" si="3"/>
        <v>114357251.83200221</v>
      </c>
      <c r="AD21" s="26"/>
      <c r="AF21" s="24"/>
    </row>
    <row r="22" spans="3:32" ht="12.75">
      <c r="C22" t="s">
        <v>53</v>
      </c>
      <c r="E22" s="2">
        <v>275029</v>
      </c>
      <c r="G22" s="23">
        <v>32.9</v>
      </c>
      <c r="I22" s="24">
        <f t="shared" si="0"/>
        <v>9048454.1</v>
      </c>
      <c r="K22" s="2">
        <v>50208</v>
      </c>
      <c r="M22" s="23">
        <v>32.9</v>
      </c>
      <c r="O22" s="24">
        <f t="shared" si="1"/>
        <v>1651843.2</v>
      </c>
      <c r="Q22" s="2">
        <v>16698.017881975586</v>
      </c>
      <c r="R22" s="2"/>
      <c r="S22" s="2">
        <v>9</v>
      </c>
      <c r="T22" s="2"/>
      <c r="V22" t="s">
        <v>53</v>
      </c>
      <c r="X22" s="2">
        <f t="shared" si="2"/>
        <v>33509.98211802442</v>
      </c>
      <c r="Z22" s="23">
        <v>32.9</v>
      </c>
      <c r="AB22" s="24">
        <f t="shared" si="3"/>
        <v>1102478.4116830034</v>
      </c>
      <c r="AD22" s="26"/>
      <c r="AF22" s="24"/>
    </row>
    <row r="23" spans="3:32" ht="12.75">
      <c r="C23" t="s">
        <v>54</v>
      </c>
      <c r="E23" s="2">
        <v>19189776</v>
      </c>
      <c r="G23" s="23">
        <v>39.8</v>
      </c>
      <c r="I23" s="24">
        <f t="shared" si="0"/>
        <v>763753084.8</v>
      </c>
      <c r="K23" s="2">
        <v>24755832</v>
      </c>
      <c r="M23" s="23">
        <v>39.8</v>
      </c>
      <c r="O23" s="24">
        <f t="shared" si="1"/>
        <v>985282113.5999999</v>
      </c>
      <c r="Q23" s="2">
        <v>5190517.679944627</v>
      </c>
      <c r="R23" s="2"/>
      <c r="S23" s="2">
        <v>10</v>
      </c>
      <c r="T23" s="2"/>
      <c r="V23" t="s">
        <v>54</v>
      </c>
      <c r="X23" s="3">
        <f>+K23-Q23+'Inc State'!G32+'Inc State'!O32</f>
        <v>18889297.39458768</v>
      </c>
      <c r="Z23" s="23">
        <v>39.8</v>
      </c>
      <c r="AB23" s="51">
        <f t="shared" si="3"/>
        <v>751794036.3045896</v>
      </c>
      <c r="AD23" s="26"/>
      <c r="AF23" s="24"/>
    </row>
    <row r="24" spans="5:32" ht="12.75">
      <c r="E24" s="2"/>
      <c r="G24" s="23"/>
      <c r="K24" s="2"/>
      <c r="M24" s="23"/>
      <c r="X24" s="2"/>
      <c r="Z24" s="23"/>
      <c r="AF24" s="24"/>
    </row>
    <row r="25" spans="3:32" ht="12.75">
      <c r="C25" t="s">
        <v>55</v>
      </c>
      <c r="E25" s="2">
        <f>SUM(E14:E24)</f>
        <v>193306710</v>
      </c>
      <c r="G25" s="23">
        <f>+I25/E25</f>
        <v>35.15762220100896</v>
      </c>
      <c r="I25" s="24">
        <f>SUM(I14:I24)</f>
        <v>6796204279.100001</v>
      </c>
      <c r="K25" s="24">
        <f>SUM(K14:K24)</f>
        <v>208390011</v>
      </c>
      <c r="M25" s="23">
        <f>+O25/K25</f>
        <v>34.88935227562323</v>
      </c>
      <c r="O25" s="24">
        <f>SUM(O14:O24)</f>
        <v>7270592504.5</v>
      </c>
      <c r="S25" s="55">
        <v>12</v>
      </c>
      <c r="V25" t="s">
        <v>55</v>
      </c>
      <c r="X25" s="24">
        <f>SUM(X14:X24)</f>
        <v>182754699.00927198</v>
      </c>
      <c r="Z25" s="23">
        <f>+AB25/X25</f>
        <v>35.09360355508054</v>
      </c>
      <c r="AB25" s="24">
        <f>SUM(AB14:AB24)</f>
        <v>6413520954.859461</v>
      </c>
      <c r="AD25" s="26"/>
      <c r="AF25" s="24"/>
    </row>
    <row r="26" spans="5:32" ht="12.75">
      <c r="E26" s="2"/>
      <c r="G26" s="23"/>
      <c r="K26" s="2"/>
      <c r="M26" s="23"/>
      <c r="X26" s="2"/>
      <c r="Z26" s="23"/>
      <c r="AF26" s="24"/>
    </row>
    <row r="27" spans="3:32" ht="12.75">
      <c r="C27" t="s">
        <v>56</v>
      </c>
      <c r="E27" s="2">
        <v>23796615</v>
      </c>
      <c r="G27" s="23">
        <v>16.1</v>
      </c>
      <c r="I27" s="24">
        <f>+E27*G27</f>
        <v>383125501.50000006</v>
      </c>
      <c r="K27" s="2"/>
      <c r="M27" s="23">
        <v>16.1</v>
      </c>
      <c r="O27" s="24">
        <f>+K27*M27</f>
        <v>0</v>
      </c>
      <c r="Q27" s="24">
        <f>SUM(Q14:Q24)</f>
        <v>24886428.929072328</v>
      </c>
      <c r="R27" s="24"/>
      <c r="S27" s="24">
        <v>13</v>
      </c>
      <c r="T27" s="24"/>
      <c r="V27" t="s">
        <v>56</v>
      </c>
      <c r="X27" s="2">
        <f>+Q27</f>
        <v>24886428.929072328</v>
      </c>
      <c r="Z27" s="23">
        <v>16.1</v>
      </c>
      <c r="AB27" s="24">
        <f>+X27*Z27</f>
        <v>400671505.7580645</v>
      </c>
      <c r="AD27" s="26"/>
      <c r="AF27" s="24"/>
    </row>
    <row r="28" spans="5:32" ht="12.75">
      <c r="E28" s="2"/>
      <c r="G28" s="23"/>
      <c r="K28" s="2"/>
      <c r="M28" s="23"/>
      <c r="X28" s="2"/>
      <c r="Z28" s="23"/>
      <c r="AF28" s="24"/>
    </row>
    <row r="29" spans="2:32" ht="12.75">
      <c r="B29" t="s">
        <v>57</v>
      </c>
      <c r="E29" s="2"/>
      <c r="G29" s="23"/>
      <c r="K29" s="2"/>
      <c r="M29" s="23"/>
      <c r="S29">
        <v>14</v>
      </c>
      <c r="U29" t="s">
        <v>57</v>
      </c>
      <c r="X29" s="2"/>
      <c r="Z29" s="23"/>
      <c r="AF29" s="24"/>
    </row>
    <row r="30" spans="3:32" ht="12.75">
      <c r="C30" t="s">
        <v>58</v>
      </c>
      <c r="E30" s="2">
        <v>6177075</v>
      </c>
      <c r="G30" s="23">
        <v>156.3</v>
      </c>
      <c r="I30" s="24">
        <f>+E30*G30</f>
        <v>965476822.5000001</v>
      </c>
      <c r="K30" s="2">
        <v>5765670</v>
      </c>
      <c r="M30" s="23">
        <v>156.3</v>
      </c>
      <c r="O30" s="24">
        <f>+K30*M30</f>
        <v>901174221.0000001</v>
      </c>
      <c r="S30">
        <v>15</v>
      </c>
      <c r="V30" t="s">
        <v>58</v>
      </c>
      <c r="X30" s="2">
        <v>5765670</v>
      </c>
      <c r="Z30" s="23">
        <v>156.3</v>
      </c>
      <c r="AB30" s="24">
        <f>+X30*Z30</f>
        <v>901174221.0000001</v>
      </c>
      <c r="AD30" s="26"/>
      <c r="AF30" s="24"/>
    </row>
    <row r="31" spans="3:32" ht="12.75">
      <c r="C31" t="s">
        <v>59</v>
      </c>
      <c r="E31" s="2">
        <v>549657</v>
      </c>
      <c r="G31" s="23">
        <v>8</v>
      </c>
      <c r="I31" s="24">
        <f>+E31*G31</f>
        <v>4397256</v>
      </c>
      <c r="K31" s="2">
        <f>8815096-K30</f>
        <v>3049426</v>
      </c>
      <c r="M31" s="23">
        <v>8</v>
      </c>
      <c r="O31" s="24">
        <f>+K31*M31</f>
        <v>24395408</v>
      </c>
      <c r="S31">
        <v>16</v>
      </c>
      <c r="V31" t="s">
        <v>59</v>
      </c>
      <c r="X31" s="2">
        <f>8815096-X30</f>
        <v>3049426</v>
      </c>
      <c r="Z31" s="23">
        <v>8</v>
      </c>
      <c r="AB31" s="24">
        <f>+X31*Z31</f>
        <v>24395408</v>
      </c>
      <c r="AD31" s="26"/>
      <c r="AF31" s="24"/>
    </row>
    <row r="32" spans="5:32" ht="12.75">
      <c r="E32" s="2"/>
      <c r="G32" s="23"/>
      <c r="K32" s="2"/>
      <c r="M32" s="23"/>
      <c r="X32" s="2"/>
      <c r="Z32" s="23"/>
      <c r="AF32" s="24"/>
    </row>
    <row r="33" spans="2:32" ht="12.75">
      <c r="B33" t="s">
        <v>61</v>
      </c>
      <c r="E33" s="2"/>
      <c r="G33" s="23"/>
      <c r="K33" s="2"/>
      <c r="M33" s="23"/>
      <c r="S33">
        <v>17</v>
      </c>
      <c r="U33" t="s">
        <v>61</v>
      </c>
      <c r="X33" s="2"/>
      <c r="Z33" s="23"/>
      <c r="AF33" s="24"/>
    </row>
    <row r="34" spans="3:32" ht="12.75">
      <c r="C34" t="s">
        <v>60</v>
      </c>
      <c r="E34" s="2">
        <v>10806477</v>
      </c>
      <c r="G34" s="23">
        <v>33</v>
      </c>
      <c r="I34" s="24">
        <f>+E34*G34</f>
        <v>356613741</v>
      </c>
      <c r="K34" s="2">
        <v>7294655</v>
      </c>
      <c r="M34" s="23">
        <v>33</v>
      </c>
      <c r="O34" s="24">
        <f>+K34*M34</f>
        <v>240723615</v>
      </c>
      <c r="S34">
        <v>18</v>
      </c>
      <c r="V34" t="s">
        <v>60</v>
      </c>
      <c r="X34" s="55">
        <f>7294655+'Inc State'!G38+'Inc State'!I38+'Inc State'!M38+'Inc State'!O38</f>
        <v>6431309.362578661</v>
      </c>
      <c r="Z34" s="23">
        <v>33</v>
      </c>
      <c r="AB34" s="24">
        <f>+X34*Z34</f>
        <v>212233208.96509582</v>
      </c>
      <c r="AD34" s="26"/>
      <c r="AF34" s="24"/>
    </row>
    <row r="35" spans="3:32" ht="12.75">
      <c r="C35" t="s">
        <v>62</v>
      </c>
      <c r="E35" s="2">
        <v>1033728</v>
      </c>
      <c r="G35" s="23">
        <v>16.3</v>
      </c>
      <c r="I35" s="24">
        <f>+E35*G35</f>
        <v>16849766.400000002</v>
      </c>
      <c r="K35" s="2">
        <v>1571587</v>
      </c>
      <c r="M35" s="23">
        <v>16.3</v>
      </c>
      <c r="O35" s="24">
        <f>+K35*M35</f>
        <v>25616868.1</v>
      </c>
      <c r="S35">
        <v>19</v>
      </c>
      <c r="V35" t="s">
        <v>62</v>
      </c>
      <c r="X35" s="2">
        <v>1571587</v>
      </c>
      <c r="Z35" s="23">
        <v>16.3</v>
      </c>
      <c r="AB35" s="24">
        <f>+X35*Z35</f>
        <v>25616868.1</v>
      </c>
      <c r="AD35" s="26"/>
      <c r="AF35" s="24"/>
    </row>
    <row r="36" spans="5:32" ht="12.75">
      <c r="E36" s="2"/>
      <c r="G36" s="23"/>
      <c r="K36" s="2"/>
      <c r="M36" s="23"/>
      <c r="X36" s="2"/>
      <c r="Z36" s="23"/>
      <c r="AF36" s="24"/>
    </row>
    <row r="37" spans="2:32" ht="12.75">
      <c r="B37" t="s">
        <v>64</v>
      </c>
      <c r="E37" s="2"/>
      <c r="G37" s="23"/>
      <c r="I37" s="24"/>
      <c r="K37" s="2"/>
      <c r="M37" s="23"/>
      <c r="O37" s="24"/>
      <c r="S37">
        <v>20</v>
      </c>
      <c r="U37" t="s">
        <v>64</v>
      </c>
      <c r="X37" s="3">
        <f>+'Int Synch'!H24</f>
        <v>20831657</v>
      </c>
      <c r="Z37" s="23">
        <v>85.17880300862245</v>
      </c>
      <c r="AB37" s="24">
        <f>+X37*Z37</f>
        <v>1774415607.946191</v>
      </c>
      <c r="AD37" s="26"/>
      <c r="AF37" s="24"/>
    </row>
    <row r="38" spans="5:32" ht="12.75">
      <c r="E38" s="2"/>
      <c r="K38" s="2"/>
      <c r="X38" s="2"/>
      <c r="AF38" s="24"/>
    </row>
    <row r="39" spans="2:32" ht="12.75">
      <c r="B39" t="s">
        <v>63</v>
      </c>
      <c r="E39" s="2">
        <f>+E25+E27+E30+E31+E34+E35+E37</f>
        <v>235670262</v>
      </c>
      <c r="G39" s="23">
        <f>+I39/E39</f>
        <v>36.163524808658295</v>
      </c>
      <c r="I39" s="2">
        <f>+I25+I27+I30+I31+I34+I35+I37</f>
        <v>8522667366.500001</v>
      </c>
      <c r="K39" s="2">
        <f>+K25+K27+K30+K31+K34+K35+K37</f>
        <v>226071349</v>
      </c>
      <c r="M39" s="23">
        <f>+O39/K39</f>
        <v>37.4328841493311</v>
      </c>
      <c r="O39" s="2">
        <f>+O25+O27+O30+O31+O34+O35+O37</f>
        <v>8462502616.6</v>
      </c>
      <c r="S39">
        <v>21</v>
      </c>
      <c r="U39" t="s">
        <v>63</v>
      </c>
      <c r="X39" s="2">
        <f>SUM(X25:X37)</f>
        <v>245290777.30092296</v>
      </c>
      <c r="Z39" s="23">
        <f>+AB39/X39</f>
        <v>39.757009545715675</v>
      </c>
      <c r="AB39" s="2">
        <f>SUM(AB25:AB37)</f>
        <v>9752027774.628813</v>
      </c>
      <c r="AD39" s="26"/>
      <c r="AF39" s="2"/>
    </row>
    <row r="40" spans="5:24" ht="12.75">
      <c r="E40" s="2"/>
      <c r="K40" s="2"/>
      <c r="X40" s="2"/>
    </row>
    <row r="41" spans="5:32" ht="12.75">
      <c r="E41" s="55" t="s">
        <v>171</v>
      </c>
      <c r="K41" t="s">
        <v>176</v>
      </c>
      <c r="P41" t="s">
        <v>69</v>
      </c>
      <c r="AF41" s="24"/>
    </row>
    <row r="42" spans="3:21" ht="12.75">
      <c r="C42" t="s">
        <v>303</v>
      </c>
      <c r="E42" s="55"/>
      <c r="S42">
        <v>22</v>
      </c>
      <c r="U42" t="s">
        <v>189</v>
      </c>
    </row>
    <row r="43" spans="5:24" ht="12.75">
      <c r="E43" s="55"/>
      <c r="S43">
        <v>23</v>
      </c>
      <c r="V43" t="s">
        <v>190</v>
      </c>
      <c r="X43" s="25">
        <f>365/12/2</f>
        <v>15.208333333333334</v>
      </c>
    </row>
    <row r="44" spans="5:24" ht="12.75">
      <c r="E44" s="55" t="s">
        <v>175</v>
      </c>
      <c r="K44" t="s">
        <v>177</v>
      </c>
      <c r="X44" s="25"/>
    </row>
    <row r="45" spans="5:24" ht="12.75">
      <c r="E45" s="55" t="s">
        <v>172</v>
      </c>
      <c r="K45" t="s">
        <v>178</v>
      </c>
      <c r="Q45" t="s">
        <v>65</v>
      </c>
      <c r="S45">
        <v>24</v>
      </c>
      <c r="V45" t="s">
        <v>66</v>
      </c>
      <c r="X45" s="25">
        <v>2</v>
      </c>
    </row>
    <row r="46" spans="5:24" ht="12.75">
      <c r="E46" s="55" t="s">
        <v>173</v>
      </c>
      <c r="K46" t="s">
        <v>16</v>
      </c>
      <c r="X46" s="25"/>
    </row>
    <row r="47" spans="5:24" ht="12.75">
      <c r="E47" s="2"/>
      <c r="K47" t="s">
        <v>179</v>
      </c>
      <c r="Q47" t="s">
        <v>66</v>
      </c>
      <c r="S47">
        <v>25</v>
      </c>
      <c r="V47" t="s">
        <v>67</v>
      </c>
      <c r="X47" s="18">
        <v>17</v>
      </c>
    </row>
    <row r="48" ht="12.75">
      <c r="X48" s="25"/>
    </row>
    <row r="49" spans="17:24" ht="12.75">
      <c r="Q49" t="s">
        <v>67</v>
      </c>
      <c r="S49">
        <v>26</v>
      </c>
      <c r="V49" t="s">
        <v>44</v>
      </c>
      <c r="X49" s="25">
        <f>+X43+X45+X47</f>
        <v>34.208333333333336</v>
      </c>
    </row>
    <row r="50" ht="12.75">
      <c r="X50" s="25"/>
    </row>
    <row r="51" spans="17:24" ht="12.75">
      <c r="Q51" t="s">
        <v>68</v>
      </c>
      <c r="S51">
        <v>27</v>
      </c>
      <c r="V51" t="s">
        <v>191</v>
      </c>
      <c r="X51" s="25"/>
    </row>
    <row r="52" spans="19:24" ht="12.75">
      <c r="S52">
        <v>28</v>
      </c>
      <c r="V52" t="s">
        <v>262</v>
      </c>
      <c r="X52" s="56">
        <f>+Z39</f>
        <v>39.757009545715675</v>
      </c>
    </row>
    <row r="53" spans="17:24" ht="12.75">
      <c r="Q53" t="s">
        <v>70</v>
      </c>
      <c r="X53" s="26"/>
    </row>
    <row r="54" spans="19:24" ht="12.75">
      <c r="S54">
        <v>29</v>
      </c>
      <c r="V54" t="s">
        <v>192</v>
      </c>
      <c r="X54" s="26">
        <f>+X49-X52</f>
        <v>-5.54867621238234</v>
      </c>
    </row>
    <row r="55" ht="12.75">
      <c r="X55" s="26"/>
    </row>
    <row r="56" spans="19:24" ht="12.75">
      <c r="S56">
        <v>30</v>
      </c>
      <c r="U56" t="s">
        <v>188</v>
      </c>
      <c r="X56" s="3">
        <f>+X39/365</f>
        <v>672029.5268518437</v>
      </c>
    </row>
    <row r="57" ht="12.75">
      <c r="Q57" t="s">
        <v>71</v>
      </c>
    </row>
    <row r="58" spans="19:21" ht="12.75">
      <c r="S58">
        <v>31</v>
      </c>
      <c r="U58" t="s">
        <v>263</v>
      </c>
    </row>
    <row r="59" spans="19:24" ht="12.75">
      <c r="S59">
        <v>32</v>
      </c>
      <c r="U59" t="s">
        <v>264</v>
      </c>
      <c r="X59" s="24">
        <f>+X56*X54</f>
        <v>-3728874.2496613837</v>
      </c>
    </row>
    <row r="61" spans="19:24" ht="12.75">
      <c r="S61">
        <v>33</v>
      </c>
      <c r="U61" t="s">
        <v>265</v>
      </c>
      <c r="X61" s="2"/>
    </row>
    <row r="62" spans="19:24" ht="12.75">
      <c r="S62">
        <v>34</v>
      </c>
      <c r="U62" t="s">
        <v>16</v>
      </c>
      <c r="X62" s="3">
        <v>7246671</v>
      </c>
    </row>
    <row r="64" spans="19:21" ht="12.75">
      <c r="S64">
        <v>35</v>
      </c>
      <c r="U64" t="s">
        <v>193</v>
      </c>
    </row>
    <row r="65" spans="19:24" ht="13.5" thickBot="1">
      <c r="S65">
        <v>36</v>
      </c>
      <c r="U65" t="s">
        <v>194</v>
      </c>
      <c r="X65" s="57">
        <f>+X59-X62</f>
        <v>-10975545.249661384</v>
      </c>
    </row>
    <row r="66" ht="13.5" thickTop="1"/>
  </sheetData>
  <mergeCells count="6">
    <mergeCell ref="B9:I9"/>
    <mergeCell ref="K9:O9"/>
    <mergeCell ref="K10:O10"/>
    <mergeCell ref="U7:AB7"/>
    <mergeCell ref="U8:AB8"/>
    <mergeCell ref="U9:AB9"/>
  </mergeCells>
  <printOptions/>
  <pageMargins left="0.75" right="0.75" top="0.5" bottom="1" header="0.5" footer="0.5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2"/>
  <sheetViews>
    <sheetView tabSelected="1" workbookViewId="0" topLeftCell="A3">
      <selection activeCell="C43" sqref="C43"/>
    </sheetView>
  </sheetViews>
  <sheetFormatPr defaultColWidth="9.140625" defaultRowHeight="12.75"/>
  <cols>
    <col min="1" max="1" width="5.7109375" style="0" customWidth="1"/>
    <col min="2" max="3" width="2.7109375" style="0" customWidth="1"/>
    <col min="7" max="7" width="5.7109375" style="0" customWidth="1"/>
    <col min="8" max="8" width="11.28125" style="0" customWidth="1"/>
    <col min="9" max="9" width="2.7109375" style="0" customWidth="1"/>
    <col min="11" max="11" width="2.7109375" style="0" customWidth="1"/>
    <col min="12" max="12" width="12.140625" style="0" customWidth="1"/>
  </cols>
  <sheetData>
    <row r="4" ht="12.75">
      <c r="L4" t="s">
        <v>241</v>
      </c>
    </row>
    <row r="5" ht="12.75">
      <c r="L5" t="s">
        <v>214</v>
      </c>
    </row>
    <row r="7" spans="3:12" ht="15.75">
      <c r="C7" s="73" t="s">
        <v>242</v>
      </c>
      <c r="D7" s="73"/>
      <c r="E7" s="73"/>
      <c r="F7" s="73"/>
      <c r="G7" s="73"/>
      <c r="H7" s="73"/>
      <c r="I7" s="73"/>
      <c r="J7" s="73"/>
      <c r="K7" s="73"/>
      <c r="L7" s="73"/>
    </row>
    <row r="8" spans="3:12" ht="12.75">
      <c r="C8" s="74" t="s">
        <v>212</v>
      </c>
      <c r="D8" s="74"/>
      <c r="E8" s="74"/>
      <c r="F8" s="74"/>
      <c r="G8" s="74"/>
      <c r="H8" s="74"/>
      <c r="I8" s="74"/>
      <c r="J8" s="74"/>
      <c r="K8" s="74"/>
      <c r="L8" s="74"/>
    </row>
    <row r="9" spans="3:12" ht="12.75">
      <c r="C9" s="74" t="s">
        <v>300</v>
      </c>
      <c r="D9" s="74"/>
      <c r="E9" s="74"/>
      <c r="F9" s="74"/>
      <c r="G9" s="74"/>
      <c r="H9" s="74"/>
      <c r="I9" s="74"/>
      <c r="J9" s="74"/>
      <c r="K9" s="74"/>
      <c r="L9" s="74"/>
    </row>
    <row r="11" spans="7:12" ht="12.75">
      <c r="G11" s="11"/>
      <c r="J11" s="4" t="s">
        <v>5</v>
      </c>
      <c r="L11" s="4" t="s">
        <v>9</v>
      </c>
    </row>
    <row r="12" spans="7:12" ht="12.75">
      <c r="G12" s="11"/>
      <c r="J12" s="4" t="s">
        <v>6</v>
      </c>
      <c r="L12" s="4" t="s">
        <v>24</v>
      </c>
    </row>
    <row r="13" spans="1:12" ht="12.75">
      <c r="A13" s="4" t="s">
        <v>13</v>
      </c>
      <c r="G13" s="11"/>
      <c r="J13" s="4" t="s">
        <v>7</v>
      </c>
      <c r="L13" s="4" t="s">
        <v>6</v>
      </c>
    </row>
    <row r="14" spans="1:12" ht="12.75">
      <c r="A14" s="5" t="s">
        <v>14</v>
      </c>
      <c r="C14" s="76" t="s">
        <v>15</v>
      </c>
      <c r="D14" s="76"/>
      <c r="E14" s="76"/>
      <c r="F14" s="76"/>
      <c r="G14" s="11"/>
      <c r="H14" s="5" t="s">
        <v>4</v>
      </c>
      <c r="J14" s="5" t="s">
        <v>8</v>
      </c>
      <c r="L14" s="5" t="s">
        <v>10</v>
      </c>
    </row>
    <row r="15" spans="1:12" ht="12.75">
      <c r="A15" s="21"/>
      <c r="C15" s="11"/>
      <c r="D15" s="11"/>
      <c r="E15" s="11" t="s">
        <v>217</v>
      </c>
      <c r="F15" s="11"/>
      <c r="G15" s="11"/>
      <c r="H15" s="21" t="s">
        <v>218</v>
      </c>
      <c r="J15" s="21" t="s">
        <v>219</v>
      </c>
      <c r="L15" s="21" t="s">
        <v>220</v>
      </c>
    </row>
    <row r="16" ht="12.75">
      <c r="G16" s="11"/>
    </row>
    <row r="17" spans="1:7" ht="12.75">
      <c r="A17" s="4">
        <v>1</v>
      </c>
      <c r="C17" t="s">
        <v>301</v>
      </c>
      <c r="G17" s="11"/>
    </row>
    <row r="18" spans="1:7" ht="12.75">
      <c r="A18" s="4">
        <v>2</v>
      </c>
      <c r="C18" t="s">
        <v>0</v>
      </c>
      <c r="G18" s="11"/>
    </row>
    <row r="19" spans="1:12" ht="12.75">
      <c r="A19" s="4">
        <v>3</v>
      </c>
      <c r="D19" t="s">
        <v>1</v>
      </c>
      <c r="G19" s="11"/>
      <c r="H19" s="1">
        <f>+H22-H20</f>
        <v>348201</v>
      </c>
      <c r="J19" s="6">
        <v>0.083452</v>
      </c>
      <c r="L19" s="1">
        <f>+H19*J19</f>
        <v>29058.069852</v>
      </c>
    </row>
    <row r="20" spans="1:12" ht="12.75">
      <c r="A20" s="4">
        <v>4</v>
      </c>
      <c r="D20" t="s">
        <v>2</v>
      </c>
      <c r="G20" s="11"/>
      <c r="H20" s="3">
        <f>69100+191148</f>
        <v>260248</v>
      </c>
      <c r="J20" s="6">
        <v>0.168332</v>
      </c>
      <c r="L20" s="3">
        <f>+H20*J20</f>
        <v>43808.066336</v>
      </c>
    </row>
    <row r="21" spans="1:8" ht="12.75">
      <c r="A21" s="4"/>
      <c r="G21" s="11"/>
      <c r="H21" s="2"/>
    </row>
    <row r="22" spans="1:12" ht="13.5" thickBot="1">
      <c r="A22" s="4">
        <v>5</v>
      </c>
      <c r="D22" t="s">
        <v>3</v>
      </c>
      <c r="G22" s="11"/>
      <c r="H22" s="7">
        <v>608449</v>
      </c>
      <c r="L22" s="8">
        <f>SUM(L19:L21)</f>
        <v>72866.136188</v>
      </c>
    </row>
    <row r="23" spans="1:7" ht="13.5" thickTop="1">
      <c r="A23" s="4"/>
      <c r="G23" s="11"/>
    </row>
    <row r="24" spans="1:7" ht="12.75">
      <c r="A24" s="4"/>
      <c r="G24" s="11"/>
    </row>
    <row r="25" spans="1:7" ht="12.75">
      <c r="A25" s="4">
        <v>6</v>
      </c>
      <c r="C25" t="s">
        <v>302</v>
      </c>
      <c r="G25" s="11"/>
    </row>
    <row r="26" spans="1:12" ht="13.5" thickBot="1">
      <c r="A26" s="4">
        <v>7</v>
      </c>
      <c r="C26" t="s">
        <v>11</v>
      </c>
      <c r="G26" s="11"/>
      <c r="H26" s="1">
        <v>1458674</v>
      </c>
      <c r="J26" s="6">
        <v>0.168332</v>
      </c>
      <c r="L26" s="7">
        <f>+H26*J26</f>
        <v>245541.51176800003</v>
      </c>
    </row>
    <row r="27" spans="1:7" ht="13.5" thickTop="1">
      <c r="A27" s="4"/>
      <c r="G27" s="11"/>
    </row>
    <row r="28" spans="1:7" ht="12.75">
      <c r="A28" s="4"/>
      <c r="G28" s="11"/>
    </row>
    <row r="29" ht="12.75">
      <c r="A29" s="4"/>
    </row>
    <row r="30" spans="1:7" ht="12.75">
      <c r="A30" s="4">
        <v>8</v>
      </c>
      <c r="C30" t="s">
        <v>12</v>
      </c>
      <c r="G30" t="s">
        <v>243</v>
      </c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42" ht="12.75">
      <c r="C42" t="s">
        <v>303</v>
      </c>
    </row>
  </sheetData>
  <mergeCells count="4">
    <mergeCell ref="C7:L7"/>
    <mergeCell ref="C8:L8"/>
    <mergeCell ref="C9:L9"/>
    <mergeCell ref="C14:F14"/>
  </mergeCells>
  <printOptions/>
  <pageMargins left="1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tabSelected="1" workbookViewId="0" topLeftCell="A1">
      <selection activeCell="C43" sqref="C43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6" width="12.7109375" style="0" customWidth="1"/>
    <col min="7" max="7" width="1.7109375" style="0" customWidth="1"/>
    <col min="8" max="8" width="12.8515625" style="0" bestFit="1" customWidth="1"/>
    <col min="9" max="9" width="2.7109375" style="0" customWidth="1"/>
    <col min="10" max="10" width="11.28125" style="0" bestFit="1" customWidth="1"/>
  </cols>
  <sheetData>
    <row r="1" ht="12.75">
      <c r="K1" s="60" t="s">
        <v>293</v>
      </c>
    </row>
    <row r="2" ht="12.75">
      <c r="K2" s="60" t="s">
        <v>214</v>
      </c>
    </row>
    <row r="4" spans="2:12" ht="15.75">
      <c r="B4" s="4"/>
      <c r="C4" s="4"/>
      <c r="D4" s="73" t="s">
        <v>242</v>
      </c>
      <c r="E4" s="73"/>
      <c r="F4" s="73"/>
      <c r="G4" s="73"/>
      <c r="H4" s="73"/>
      <c r="I4" s="73"/>
      <c r="J4" s="73"/>
      <c r="K4" s="67"/>
      <c r="L4" s="67"/>
    </row>
    <row r="5" spans="2:12" ht="12.75">
      <c r="B5" s="4"/>
      <c r="C5" s="4"/>
      <c r="D5" s="74" t="s">
        <v>212</v>
      </c>
      <c r="E5" s="74"/>
      <c r="F5" s="74"/>
      <c r="G5" s="74"/>
      <c r="H5" s="74"/>
      <c r="I5" s="74"/>
      <c r="J5" s="74"/>
      <c r="K5" s="68"/>
      <c r="L5" s="68"/>
    </row>
    <row r="6" spans="2:12" ht="12.75">
      <c r="B6" s="4"/>
      <c r="C6" s="4"/>
      <c r="D6" s="74" t="s">
        <v>292</v>
      </c>
      <c r="E6" s="74"/>
      <c r="F6" s="74"/>
      <c r="G6" s="74"/>
      <c r="H6" s="74"/>
      <c r="I6" s="74"/>
      <c r="J6" s="74"/>
      <c r="K6" s="68"/>
      <c r="L6" s="68"/>
    </row>
    <row r="7" spans="2:11" ht="12.75">
      <c r="B7" s="4" t="s">
        <v>13</v>
      </c>
      <c r="C7" s="4"/>
      <c r="D7" s="4"/>
      <c r="E7" s="4"/>
      <c r="F7" s="4"/>
      <c r="G7" s="4"/>
      <c r="H7" s="4"/>
      <c r="I7" s="4"/>
      <c r="J7" s="4"/>
      <c r="K7" s="4"/>
    </row>
    <row r="8" spans="2:11" ht="12.75">
      <c r="B8" s="5" t="s">
        <v>14</v>
      </c>
      <c r="C8" s="4"/>
      <c r="D8" s="76" t="s">
        <v>15</v>
      </c>
      <c r="E8" s="76"/>
      <c r="F8" s="5"/>
      <c r="G8" s="21"/>
      <c r="H8" s="66" t="s">
        <v>4</v>
      </c>
      <c r="I8" s="4"/>
      <c r="J8" s="5" t="s">
        <v>289</v>
      </c>
      <c r="K8" s="4"/>
    </row>
    <row r="9" spans="2:11" ht="12.75">
      <c r="B9" s="4"/>
      <c r="C9" s="4"/>
      <c r="D9" s="4"/>
      <c r="E9" s="4"/>
      <c r="F9" s="4"/>
      <c r="G9" s="4"/>
      <c r="H9" s="64"/>
      <c r="I9" s="4"/>
      <c r="J9" s="4"/>
      <c r="K9" s="4"/>
    </row>
    <row r="10" spans="2:8" ht="12.75">
      <c r="B10" s="4">
        <v>1</v>
      </c>
      <c r="D10" t="s">
        <v>270</v>
      </c>
      <c r="H10" s="2"/>
    </row>
    <row r="11" spans="2:10" ht="12.75">
      <c r="B11" s="4">
        <v>2</v>
      </c>
      <c r="D11" t="s">
        <v>271</v>
      </c>
      <c r="H11" s="2"/>
      <c r="J11" t="s">
        <v>146</v>
      </c>
    </row>
    <row r="12" spans="2:10" ht="12.75">
      <c r="B12" s="4">
        <v>3</v>
      </c>
      <c r="D12" t="s">
        <v>272</v>
      </c>
      <c r="H12" s="2"/>
      <c r="J12" t="s">
        <v>147</v>
      </c>
    </row>
    <row r="13" spans="2:10" ht="12.75">
      <c r="B13" s="4">
        <v>4</v>
      </c>
      <c r="D13" t="s">
        <v>274</v>
      </c>
      <c r="H13" s="2"/>
      <c r="J13" t="s">
        <v>276</v>
      </c>
    </row>
    <row r="14" spans="2:10" ht="12.75">
      <c r="B14" s="4">
        <v>5</v>
      </c>
      <c r="D14" t="s">
        <v>273</v>
      </c>
      <c r="H14" s="2">
        <f>-7090093</f>
        <v>-7090093</v>
      </c>
      <c r="J14" s="65">
        <v>148</v>
      </c>
    </row>
    <row r="15" spans="2:8" ht="12.75">
      <c r="B15" s="4"/>
      <c r="H15" s="2"/>
    </row>
    <row r="16" spans="2:8" ht="12.75">
      <c r="B16" s="4">
        <v>6</v>
      </c>
      <c r="D16" t="s">
        <v>275</v>
      </c>
      <c r="H16" s="2"/>
    </row>
    <row r="17" spans="2:10" ht="12.75">
      <c r="B17" s="4">
        <v>7</v>
      </c>
      <c r="D17" t="s">
        <v>271</v>
      </c>
      <c r="H17" s="2"/>
      <c r="J17" t="s">
        <v>146</v>
      </c>
    </row>
    <row r="18" spans="2:10" ht="12.75">
      <c r="B18" s="4">
        <v>8</v>
      </c>
      <c r="D18" t="s">
        <v>272</v>
      </c>
      <c r="H18" s="2"/>
      <c r="J18" t="s">
        <v>147</v>
      </c>
    </row>
    <row r="19" spans="2:10" ht="12.75">
      <c r="B19" s="4">
        <v>9</v>
      </c>
      <c r="D19" t="s">
        <v>274</v>
      </c>
      <c r="H19" s="2"/>
      <c r="J19" t="s">
        <v>276</v>
      </c>
    </row>
    <row r="20" spans="2:10" ht="12.75">
      <c r="B20" s="4">
        <v>10</v>
      </c>
      <c r="D20" t="s">
        <v>273</v>
      </c>
      <c r="H20" s="3">
        <f>-3462792</f>
        <v>-3462792</v>
      </c>
      <c r="J20" s="65">
        <v>131</v>
      </c>
    </row>
    <row r="21" spans="2:8" ht="12.75">
      <c r="B21" s="4"/>
      <c r="H21" s="2"/>
    </row>
    <row r="22" spans="2:8" ht="12.75">
      <c r="B22" s="4">
        <v>11</v>
      </c>
      <c r="D22" t="s">
        <v>277</v>
      </c>
      <c r="H22" s="2"/>
    </row>
    <row r="23" spans="2:8" ht="12.75">
      <c r="B23" s="4">
        <v>12</v>
      </c>
      <c r="D23" t="s">
        <v>278</v>
      </c>
      <c r="H23" s="2"/>
    </row>
    <row r="24" spans="2:8" ht="12.75">
      <c r="B24" s="4">
        <v>13</v>
      </c>
      <c r="D24" t="s">
        <v>297</v>
      </c>
      <c r="H24" s="2"/>
    </row>
    <row r="25" spans="2:10" ht="13.5" thickBot="1">
      <c r="B25" s="4">
        <v>14</v>
      </c>
      <c r="D25" t="s">
        <v>279</v>
      </c>
      <c r="H25" s="27">
        <f>+H14+H20</f>
        <v>-10552885</v>
      </c>
      <c r="J25" t="s">
        <v>290</v>
      </c>
    </row>
    <row r="26" spans="2:8" ht="13.5" thickTop="1">
      <c r="B26" s="4"/>
      <c r="H26" s="2"/>
    </row>
    <row r="27" spans="2:8" ht="12.75">
      <c r="B27" s="4"/>
      <c r="H27" s="2"/>
    </row>
    <row r="28" spans="2:8" ht="12.75">
      <c r="B28" s="4">
        <v>15</v>
      </c>
      <c r="D28" t="s">
        <v>280</v>
      </c>
      <c r="H28" s="2"/>
    </row>
    <row r="29" spans="2:8" ht="12.75">
      <c r="B29" s="4">
        <v>16</v>
      </c>
      <c r="D29" t="s">
        <v>281</v>
      </c>
      <c r="H29" s="2"/>
    </row>
    <row r="30" spans="2:8" ht="12.75">
      <c r="B30" s="4">
        <v>17</v>
      </c>
      <c r="D30" t="s">
        <v>298</v>
      </c>
      <c r="H30" s="2"/>
    </row>
    <row r="31" spans="2:10" ht="12.75">
      <c r="B31" s="4">
        <v>18</v>
      </c>
      <c r="D31" t="s">
        <v>299</v>
      </c>
      <c r="H31" s="2"/>
      <c r="J31" t="s">
        <v>146</v>
      </c>
    </row>
    <row r="32" spans="2:10" ht="12.75">
      <c r="B32" s="4">
        <v>19</v>
      </c>
      <c r="D32" t="s">
        <v>282</v>
      </c>
      <c r="H32" s="2"/>
      <c r="J32" t="s">
        <v>147</v>
      </c>
    </row>
    <row r="33" spans="2:10" ht="12.75">
      <c r="B33" s="4">
        <v>20</v>
      </c>
      <c r="D33" t="s">
        <v>283</v>
      </c>
      <c r="H33" s="2"/>
      <c r="J33" t="s">
        <v>276</v>
      </c>
    </row>
    <row r="34" spans="2:10" ht="12.75">
      <c r="B34" s="4">
        <v>21</v>
      </c>
      <c r="D34" t="s">
        <v>284</v>
      </c>
      <c r="H34" s="2">
        <f>-1005699</f>
        <v>-1005699</v>
      </c>
      <c r="J34" s="65">
        <v>148</v>
      </c>
    </row>
    <row r="35" spans="2:8" ht="12.75">
      <c r="B35" s="4"/>
      <c r="H35" s="2"/>
    </row>
    <row r="36" spans="2:8" ht="12.75">
      <c r="B36" s="4">
        <v>22</v>
      </c>
      <c r="D36" t="s">
        <v>280</v>
      </c>
      <c r="H36" s="2"/>
    </row>
    <row r="37" spans="2:8" ht="12.75">
      <c r="B37" s="4">
        <v>23</v>
      </c>
      <c r="D37" t="s">
        <v>285</v>
      </c>
      <c r="H37" s="2"/>
    </row>
    <row r="38" spans="2:8" ht="12.75">
      <c r="B38" s="4">
        <v>24</v>
      </c>
      <c r="D38" t="s">
        <v>298</v>
      </c>
      <c r="H38" s="2"/>
    </row>
    <row r="39" spans="2:10" ht="12.75">
      <c r="B39" s="4">
        <v>25</v>
      </c>
      <c r="D39" t="s">
        <v>299</v>
      </c>
      <c r="H39" s="2"/>
      <c r="J39" t="s">
        <v>146</v>
      </c>
    </row>
    <row r="40" spans="2:10" ht="12.75">
      <c r="B40" s="4">
        <v>26</v>
      </c>
      <c r="D40" t="s">
        <v>282</v>
      </c>
      <c r="H40" s="2"/>
      <c r="J40" t="s">
        <v>147</v>
      </c>
    </row>
    <row r="41" spans="2:10" ht="12.75">
      <c r="B41" s="4">
        <v>27</v>
      </c>
      <c r="D41" t="s">
        <v>283</v>
      </c>
      <c r="H41" s="2"/>
      <c r="J41" t="s">
        <v>276</v>
      </c>
    </row>
    <row r="42" spans="2:10" ht="12.75">
      <c r="B42" s="4">
        <v>28</v>
      </c>
      <c r="C42" t="s">
        <v>303</v>
      </c>
      <c r="D42" t="s">
        <v>284</v>
      </c>
      <c r="H42" s="3">
        <f>-1131461</f>
        <v>-1131461</v>
      </c>
      <c r="J42" s="65">
        <v>149</v>
      </c>
    </row>
    <row r="43" spans="2:8" ht="12.75">
      <c r="B43" s="4"/>
      <c r="H43" s="2"/>
    </row>
    <row r="44" spans="2:4" ht="12.75">
      <c r="B44" s="4">
        <v>29</v>
      </c>
      <c r="D44" t="s">
        <v>277</v>
      </c>
    </row>
    <row r="45" spans="2:4" ht="12.75">
      <c r="B45" s="4">
        <v>30</v>
      </c>
      <c r="D45" t="s">
        <v>286</v>
      </c>
    </row>
    <row r="46" spans="2:4" ht="12.75">
      <c r="B46" s="4">
        <v>31</v>
      </c>
      <c r="D46" t="s">
        <v>287</v>
      </c>
    </row>
    <row r="47" spans="2:10" ht="13.5" thickBot="1">
      <c r="B47" s="4">
        <v>32</v>
      </c>
      <c r="D47" t="s">
        <v>288</v>
      </c>
      <c r="H47" s="57">
        <f>+H34+H42</f>
        <v>-2137160</v>
      </c>
      <c r="J47" t="s">
        <v>291</v>
      </c>
    </row>
    <row r="48" ht="13.5" thickTop="1">
      <c r="B48" s="4"/>
    </row>
  </sheetData>
  <mergeCells count="4">
    <mergeCell ref="D8:E8"/>
    <mergeCell ref="D4:J4"/>
    <mergeCell ref="D5:J5"/>
    <mergeCell ref="D6:J6"/>
  </mergeCells>
  <printOptions/>
  <pageMargins left="1.25" right="0.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6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13.8515625" style="0" customWidth="1"/>
  </cols>
  <sheetData>
    <row r="3" ht="12.75">
      <c r="S3" s="60"/>
    </row>
    <row r="4" ht="12.75">
      <c r="S4" s="60"/>
    </row>
    <row r="5" spans="5:19" ht="15.75">
      <c r="E5" s="73" t="s">
        <v>210</v>
      </c>
      <c r="F5" s="73"/>
      <c r="G5" s="73"/>
      <c r="H5" s="73"/>
      <c r="I5" s="73"/>
      <c r="J5" s="73"/>
      <c r="K5" s="73"/>
      <c r="L5" s="73"/>
      <c r="M5" s="73"/>
      <c r="S5" s="60" t="s">
        <v>240</v>
      </c>
    </row>
    <row r="6" spans="5:19" ht="12.75">
      <c r="E6" s="71" t="s">
        <v>227</v>
      </c>
      <c r="F6" s="71"/>
      <c r="G6" s="71"/>
      <c r="H6" s="71"/>
      <c r="I6" s="71"/>
      <c r="J6" s="71"/>
      <c r="K6" s="71"/>
      <c r="L6" s="71"/>
      <c r="M6" s="71"/>
      <c r="S6" s="60" t="s">
        <v>214</v>
      </c>
    </row>
    <row r="7" spans="5:13" ht="12.75">
      <c r="E7" s="71" t="s">
        <v>212</v>
      </c>
      <c r="F7" s="71"/>
      <c r="G7" s="71"/>
      <c r="H7" s="71"/>
      <c r="I7" s="71"/>
      <c r="J7" s="71"/>
      <c r="K7" s="71"/>
      <c r="L7" s="71"/>
      <c r="M7" s="71"/>
    </row>
    <row r="9" spans="1:19" ht="12.75">
      <c r="A9" s="4"/>
      <c r="E9" s="4" t="s">
        <v>268</v>
      </c>
      <c r="G9" s="4" t="s">
        <v>169</v>
      </c>
      <c r="I9" s="4" t="s">
        <v>198</v>
      </c>
      <c r="J9" s="4"/>
      <c r="K9" s="4" t="s">
        <v>294</v>
      </c>
      <c r="M9" s="4" t="s">
        <v>231</v>
      </c>
      <c r="S9" s="4" t="s">
        <v>268</v>
      </c>
    </row>
    <row r="10" spans="1:19" ht="12.75">
      <c r="A10" s="4"/>
      <c r="E10" s="4" t="s">
        <v>267</v>
      </c>
      <c r="G10" s="4" t="s">
        <v>228</v>
      </c>
      <c r="H10" s="4"/>
      <c r="I10" s="4" t="s">
        <v>199</v>
      </c>
      <c r="J10" s="4"/>
      <c r="K10" s="4" t="s">
        <v>295</v>
      </c>
      <c r="L10" s="4"/>
      <c r="M10" s="4" t="s">
        <v>232</v>
      </c>
      <c r="N10" s="4"/>
      <c r="O10" s="4" t="s">
        <v>235</v>
      </c>
      <c r="P10" s="4"/>
      <c r="Q10" s="4" t="s">
        <v>119</v>
      </c>
      <c r="S10" s="4" t="s">
        <v>267</v>
      </c>
    </row>
    <row r="11" spans="1:19" ht="12.75">
      <c r="A11" s="4" t="s">
        <v>13</v>
      </c>
      <c r="E11" s="4" t="s">
        <v>121</v>
      </c>
      <c r="G11" s="4" t="s">
        <v>119</v>
      </c>
      <c r="H11" s="4"/>
      <c r="I11" s="4" t="s">
        <v>230</v>
      </c>
      <c r="J11" s="4"/>
      <c r="K11" s="4" t="s">
        <v>296</v>
      </c>
      <c r="L11" s="4"/>
      <c r="M11" s="4" t="s">
        <v>233</v>
      </c>
      <c r="N11" s="4"/>
      <c r="O11" s="4" t="s">
        <v>236</v>
      </c>
      <c r="P11" s="4"/>
      <c r="Q11" s="4" t="s">
        <v>165</v>
      </c>
      <c r="S11" s="4" t="s">
        <v>163</v>
      </c>
    </row>
    <row r="12" spans="1:19" ht="12.75">
      <c r="A12" s="5" t="s">
        <v>14</v>
      </c>
      <c r="C12" s="5" t="s">
        <v>15</v>
      </c>
      <c r="E12" s="5" t="s">
        <v>122</v>
      </c>
      <c r="G12" s="5" t="s">
        <v>224</v>
      </c>
      <c r="H12" s="4"/>
      <c r="I12" s="5" t="s">
        <v>226</v>
      </c>
      <c r="J12" s="21"/>
      <c r="K12" s="5" t="s">
        <v>259</v>
      </c>
      <c r="L12" s="4"/>
      <c r="M12" s="5" t="s">
        <v>234</v>
      </c>
      <c r="N12" s="4"/>
      <c r="O12" s="5" t="s">
        <v>237</v>
      </c>
      <c r="P12" s="4"/>
      <c r="Q12" s="5" t="s">
        <v>238</v>
      </c>
      <c r="S12" s="5" t="s">
        <v>164</v>
      </c>
    </row>
    <row r="13" spans="1:19" ht="12.75">
      <c r="A13" s="4"/>
      <c r="C13" s="4" t="s">
        <v>217</v>
      </c>
      <c r="E13" s="21" t="s">
        <v>218</v>
      </c>
      <c r="G13" s="4" t="s">
        <v>219</v>
      </c>
      <c r="H13" s="4"/>
      <c r="I13" s="4" t="s">
        <v>220</v>
      </c>
      <c r="J13" s="4"/>
      <c r="K13" s="4" t="s">
        <v>221</v>
      </c>
      <c r="L13" s="4"/>
      <c r="M13" s="4" t="s">
        <v>222</v>
      </c>
      <c r="N13" s="4"/>
      <c r="O13" s="21" t="s">
        <v>223</v>
      </c>
      <c r="Q13" s="21" t="s">
        <v>239</v>
      </c>
      <c r="S13" s="63" t="s">
        <v>266</v>
      </c>
    </row>
    <row r="14" spans="1:19" ht="12.75">
      <c r="A14" s="4"/>
      <c r="E14" s="21"/>
      <c r="G14" s="4"/>
      <c r="H14" s="4"/>
      <c r="I14" s="4"/>
      <c r="J14" s="4"/>
      <c r="K14" s="4"/>
      <c r="L14" s="4"/>
      <c r="M14" s="4"/>
      <c r="N14" s="4"/>
      <c r="O14" s="4"/>
      <c r="P14" s="4"/>
      <c r="Q14" s="21"/>
      <c r="S14" s="21"/>
    </row>
    <row r="15" spans="1:17" ht="12.75">
      <c r="A15" s="4">
        <v>1</v>
      </c>
      <c r="C15" t="s">
        <v>72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ht="12.75">
      <c r="A16" s="4">
        <v>2</v>
      </c>
      <c r="C16" t="s">
        <v>73</v>
      </c>
      <c r="E16" s="2">
        <v>198589098.6121336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24">
        <f>SUM(E16:R16)</f>
        <v>198589098.6121336</v>
      </c>
    </row>
    <row r="17" spans="1:19" ht="12.75">
      <c r="A17" s="4">
        <v>3</v>
      </c>
      <c r="C17" t="s">
        <v>74</v>
      </c>
      <c r="E17" s="2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S17" s="24">
        <f aca="true" t="shared" si="0" ref="S17:S42">SUM(E17:R17)</f>
        <v>0</v>
      </c>
    </row>
    <row r="18" spans="1:19" ht="12.75">
      <c r="A18" s="4">
        <v>4</v>
      </c>
      <c r="C18" t="s">
        <v>75</v>
      </c>
      <c r="E18" s="2">
        <v>96578032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S18" s="24">
        <f t="shared" si="0"/>
        <v>96578032</v>
      </c>
    </row>
    <row r="19" spans="1:19" ht="12.75">
      <c r="A19" s="4">
        <v>5</v>
      </c>
      <c r="C19" t="s">
        <v>76</v>
      </c>
      <c r="E19" s="3">
        <v>8275819</v>
      </c>
      <c r="G19" s="3"/>
      <c r="H19" s="2"/>
      <c r="I19" s="3"/>
      <c r="J19" s="13"/>
      <c r="K19" s="3"/>
      <c r="L19" s="2"/>
      <c r="M19" s="3"/>
      <c r="N19" s="2"/>
      <c r="O19" s="3"/>
      <c r="P19" s="2"/>
      <c r="Q19" s="3"/>
      <c r="S19" s="51">
        <f t="shared" si="0"/>
        <v>8275819</v>
      </c>
    </row>
    <row r="20" spans="1:19" ht="12.75">
      <c r="A20" s="4">
        <v>6</v>
      </c>
      <c r="C20" t="s">
        <v>77</v>
      </c>
      <c r="E20" s="2">
        <f>SUM(E16:E19)</f>
        <v>303442949.6121336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4">
        <f>SUM(S16:S19)</f>
        <v>303442949.6121336</v>
      </c>
    </row>
    <row r="21" spans="1:19" ht="12.75">
      <c r="A21" s="4"/>
      <c r="E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24"/>
    </row>
    <row r="22" spans="1:19" ht="12.75">
      <c r="A22" s="4">
        <v>7</v>
      </c>
      <c r="C22" t="s">
        <v>78</v>
      </c>
      <c r="E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S22" s="24"/>
    </row>
    <row r="23" spans="1:19" ht="12.75">
      <c r="A23" s="4">
        <v>8</v>
      </c>
      <c r="C23" t="s">
        <v>79</v>
      </c>
      <c r="E23" s="2">
        <v>51615809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4">
        <f t="shared" si="0"/>
        <v>51615809</v>
      </c>
    </row>
    <row r="24" spans="1:19" ht="12.75">
      <c r="A24" s="4">
        <v>9</v>
      </c>
      <c r="C24" t="s">
        <v>80</v>
      </c>
      <c r="E24" s="2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S24" s="24">
        <f t="shared" si="0"/>
        <v>0</v>
      </c>
    </row>
    <row r="25" spans="1:19" ht="12.75">
      <c r="A25" s="4">
        <v>10</v>
      </c>
      <c r="C25" t="s">
        <v>81</v>
      </c>
      <c r="E25" s="2">
        <v>5429336</v>
      </c>
      <c r="G25" s="2"/>
      <c r="H25" s="2"/>
      <c r="I25" s="2">
        <f>-Swift!L22</f>
        <v>-72866.136188</v>
      </c>
      <c r="J25" s="2"/>
      <c r="K25" s="2"/>
      <c r="L25" s="2"/>
      <c r="M25" s="2"/>
      <c r="N25" s="2"/>
      <c r="O25" s="2"/>
      <c r="P25" s="2"/>
      <c r="Q25" s="2"/>
      <c r="S25" s="24">
        <f t="shared" si="0"/>
        <v>5356469.863812</v>
      </c>
    </row>
    <row r="26" spans="1:19" ht="12.75">
      <c r="A26" s="4">
        <v>11</v>
      </c>
      <c r="C26" t="s">
        <v>82</v>
      </c>
      <c r="E26" s="2">
        <v>104539425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S26" s="24">
        <f t="shared" si="0"/>
        <v>104539425</v>
      </c>
    </row>
    <row r="27" spans="1:19" ht="12.75">
      <c r="A27" s="4">
        <v>12</v>
      </c>
      <c r="C27" t="s">
        <v>50</v>
      </c>
      <c r="E27" s="2">
        <v>8098811</v>
      </c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S27" s="24">
        <f t="shared" si="0"/>
        <v>8098811</v>
      </c>
    </row>
    <row r="28" spans="1:19" ht="12.75">
      <c r="A28" s="4">
        <v>13</v>
      </c>
      <c r="C28" t="s">
        <v>51</v>
      </c>
      <c r="E28" s="2">
        <v>7073844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4">
        <f t="shared" si="0"/>
        <v>7073844</v>
      </c>
    </row>
    <row r="29" spans="1:19" ht="12.75">
      <c r="A29" s="4">
        <v>14</v>
      </c>
      <c r="C29" t="s">
        <v>83</v>
      </c>
      <c r="E29" s="2">
        <v>6612545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24">
        <f t="shared" si="0"/>
        <v>6612545</v>
      </c>
    </row>
    <row r="30" spans="1:19" ht="12.75">
      <c r="A30" s="4">
        <v>15</v>
      </c>
      <c r="C30" t="s">
        <v>84</v>
      </c>
      <c r="E30" s="2">
        <v>214200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4">
        <f t="shared" si="0"/>
        <v>214200</v>
      </c>
    </row>
    <row r="31" spans="1:19" ht="12.75">
      <c r="A31" s="4">
        <v>16</v>
      </c>
      <c r="C31" t="s">
        <v>53</v>
      </c>
      <c r="E31" s="2">
        <v>50208</v>
      </c>
      <c r="G31" s="2"/>
      <c r="H31" s="2"/>
      <c r="I31" s="2"/>
      <c r="J31" s="2"/>
      <c r="K31" s="2"/>
      <c r="L31" s="2"/>
      <c r="M31" s="13"/>
      <c r="N31" s="2"/>
      <c r="O31" s="2"/>
      <c r="P31" s="2"/>
      <c r="Q31" s="2"/>
      <c r="S31" s="24">
        <f t="shared" si="0"/>
        <v>50208</v>
      </c>
    </row>
    <row r="32" spans="1:19" ht="12.75">
      <c r="A32" s="4">
        <v>17</v>
      </c>
      <c r="C32" t="s">
        <v>85</v>
      </c>
      <c r="E32" s="3">
        <v>24755832</v>
      </c>
      <c r="G32" s="3">
        <f>+'Cust Depts'!H39</f>
        <v>14456.719532307694</v>
      </c>
      <c r="H32" s="2"/>
      <c r="I32" s="3"/>
      <c r="J32" s="13"/>
      <c r="K32" s="3"/>
      <c r="L32" s="2"/>
      <c r="M32" s="3"/>
      <c r="N32" s="2"/>
      <c r="O32" s="3">
        <f>+Benefits!H27</f>
        <v>-690473.645</v>
      </c>
      <c r="P32" s="2"/>
      <c r="Q32" s="3"/>
      <c r="S32" s="51">
        <f t="shared" si="0"/>
        <v>24079815.074532308</v>
      </c>
    </row>
    <row r="33" spans="1:19" ht="12.75">
      <c r="A33" s="4">
        <v>18</v>
      </c>
      <c r="C33" t="s">
        <v>86</v>
      </c>
      <c r="E33" s="13">
        <f>SUM(E23:E32)</f>
        <v>208390010</v>
      </c>
      <c r="G33" s="13">
        <f>SUM(G23:G32)</f>
        <v>14456.719532307694</v>
      </c>
      <c r="H33" s="2"/>
      <c r="I33" s="13">
        <f>SUM(I23:I32)</f>
        <v>-72866.136188</v>
      </c>
      <c r="J33" s="13"/>
      <c r="K33" s="13">
        <f>SUM(K23:K32)</f>
        <v>0</v>
      </c>
      <c r="L33" s="2"/>
      <c r="M33" s="13">
        <f>SUM(M23:M32)</f>
        <v>0</v>
      </c>
      <c r="N33" s="2"/>
      <c r="O33" s="13">
        <f>SUM(O23:O32)</f>
        <v>-690473.645</v>
      </c>
      <c r="P33" s="2"/>
      <c r="Q33" s="13">
        <f>SUM(Q23:Q32)</f>
        <v>0</v>
      </c>
      <c r="S33" s="50">
        <f>SUM(S21:S32)</f>
        <v>207641126.9383443</v>
      </c>
    </row>
    <row r="34" spans="1:19" ht="12.75">
      <c r="A34" s="4"/>
      <c r="E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S34" s="50"/>
    </row>
    <row r="35" spans="1:19" ht="12.75">
      <c r="A35" s="4">
        <v>19</v>
      </c>
      <c r="C35" t="s">
        <v>87</v>
      </c>
      <c r="E35" s="2">
        <v>29219529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24">
        <f t="shared" si="0"/>
        <v>29219529</v>
      </c>
    </row>
    <row r="36" spans="1:19" ht="12.75">
      <c r="A36" s="4">
        <v>20</v>
      </c>
      <c r="C36" t="s">
        <v>88</v>
      </c>
      <c r="E36" s="2">
        <v>4442033</v>
      </c>
      <c r="G36" s="2"/>
      <c r="H36" s="2"/>
      <c r="I36" s="2"/>
      <c r="J36" s="2"/>
      <c r="K36" s="2">
        <f>+'Def debits'!H47</f>
        <v>-2137160</v>
      </c>
      <c r="L36" s="2"/>
      <c r="M36" s="2"/>
      <c r="N36" s="2"/>
      <c r="O36" s="2"/>
      <c r="P36" s="2"/>
      <c r="Q36" s="2"/>
      <c r="S36" s="24">
        <f t="shared" si="0"/>
        <v>2304873</v>
      </c>
    </row>
    <row r="37" spans="1:19" ht="12.75">
      <c r="A37" s="4">
        <v>21</v>
      </c>
      <c r="C37" t="s">
        <v>89</v>
      </c>
      <c r="E37" s="2">
        <v>8815096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S37" s="24">
        <f t="shared" si="0"/>
        <v>8815096</v>
      </c>
    </row>
    <row r="38" spans="1:19" ht="12.75">
      <c r="A38" s="4">
        <v>22</v>
      </c>
      <c r="C38" t="s">
        <v>90</v>
      </c>
      <c r="E38" s="2">
        <v>7294655</v>
      </c>
      <c r="G38" s="2">
        <f>+G33*-$E$48</f>
        <v>-5716.186903074462</v>
      </c>
      <c r="H38" s="2"/>
      <c r="I38" s="2">
        <f>+I33*-$E$48</f>
        <v>28811.2702487352</v>
      </c>
      <c r="J38" s="2"/>
      <c r="K38" s="2">
        <f>+K36*-$E$48</f>
        <v>845033.0639999999</v>
      </c>
      <c r="L38" s="2"/>
      <c r="M38" s="2">
        <f>+'Tax IRS'!H19</f>
        <v>-1159454</v>
      </c>
      <c r="N38" s="2"/>
      <c r="O38" s="2">
        <f>+O33*-$E$48</f>
        <v>273013.279233</v>
      </c>
      <c r="P38" s="2"/>
      <c r="Q38" s="2">
        <f>+'Int Synch'!H33</f>
        <v>315388.1633244674</v>
      </c>
      <c r="S38" s="24">
        <f t="shared" si="0"/>
        <v>7591730.589903129</v>
      </c>
    </row>
    <row r="39" spans="1:19" ht="12.75">
      <c r="A39" s="4">
        <v>23</v>
      </c>
      <c r="C39" t="s">
        <v>91</v>
      </c>
      <c r="E39" s="2">
        <v>1571587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S39" s="24">
        <f t="shared" si="0"/>
        <v>1571587</v>
      </c>
    </row>
    <row r="40" spans="1:19" ht="12.75">
      <c r="A40" s="4">
        <v>24</v>
      </c>
      <c r="C40" t="s">
        <v>92</v>
      </c>
      <c r="E40" s="2">
        <v>7973284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24">
        <f t="shared" si="0"/>
        <v>7973284</v>
      </c>
    </row>
    <row r="41" spans="1:19" ht="12.75">
      <c r="A41" s="4">
        <v>25</v>
      </c>
      <c r="C41" t="s">
        <v>93</v>
      </c>
      <c r="E41" s="2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4">
        <f t="shared" si="0"/>
        <v>0</v>
      </c>
    </row>
    <row r="42" spans="1:19" ht="12.75">
      <c r="A42" s="4">
        <v>26</v>
      </c>
      <c r="C42" t="s">
        <v>303</v>
      </c>
      <c r="E42" s="3">
        <v>-612271.8275911068</v>
      </c>
      <c r="G42" s="3"/>
      <c r="H42" s="2"/>
      <c r="I42" s="3"/>
      <c r="J42" s="13"/>
      <c r="K42" s="3"/>
      <c r="L42" s="2"/>
      <c r="M42" s="3"/>
      <c r="N42" s="2"/>
      <c r="O42" s="3"/>
      <c r="P42" s="2"/>
      <c r="Q42" s="3"/>
      <c r="S42" s="51">
        <f t="shared" si="0"/>
        <v>-612271.8275911068</v>
      </c>
    </row>
    <row r="43" spans="1:19" ht="12.75">
      <c r="A43" s="4">
        <v>27</v>
      </c>
      <c r="C43" t="s">
        <v>94</v>
      </c>
      <c r="E43" s="2">
        <f>SUM(E33:E42)</f>
        <v>267093922.17240888</v>
      </c>
      <c r="G43" s="2">
        <f>SUM(G33:G42)</f>
        <v>8740.532629233232</v>
      </c>
      <c r="H43" s="2"/>
      <c r="I43" s="2">
        <f>SUM(I33:I42)</f>
        <v>-44054.865939264804</v>
      </c>
      <c r="J43" s="2"/>
      <c r="K43" s="2">
        <f>SUM(K33:K42)</f>
        <v>-1292126.9360000002</v>
      </c>
      <c r="L43" s="2"/>
      <c r="M43" s="2">
        <f>SUM(M33:M42)</f>
        <v>-1159454</v>
      </c>
      <c r="N43" s="2"/>
      <c r="O43" s="2">
        <f>SUM(O33:O42)</f>
        <v>-417460.365767</v>
      </c>
      <c r="P43" s="2"/>
      <c r="Q43" s="2">
        <f>SUM(Q33:Q42)</f>
        <v>315388.1633244674</v>
      </c>
      <c r="S43" s="2">
        <f>SUM(S33:S42)</f>
        <v>264504954.7006563</v>
      </c>
    </row>
    <row r="44" spans="1:19" ht="12.75">
      <c r="A44" s="4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4"/>
    </row>
    <row r="45" spans="1:19" ht="13.5" thickBot="1">
      <c r="A45" s="4">
        <v>28</v>
      </c>
      <c r="C45" t="s">
        <v>95</v>
      </c>
      <c r="E45" s="27">
        <f>+E20-E43</f>
        <v>36349027.43972474</v>
      </c>
      <c r="G45" s="27">
        <f>+G20-G43</f>
        <v>-8740.532629233232</v>
      </c>
      <c r="H45" s="2"/>
      <c r="I45" s="27">
        <f>+I20-I43</f>
        <v>44054.865939264804</v>
      </c>
      <c r="J45" s="13"/>
      <c r="K45" s="27">
        <f>+K20-K43</f>
        <v>1292126.9360000002</v>
      </c>
      <c r="L45" s="2"/>
      <c r="M45" s="27">
        <f>+M20-M43</f>
        <v>1159454</v>
      </c>
      <c r="N45" s="2"/>
      <c r="O45" s="27">
        <f>+O20-O43</f>
        <v>417460.365767</v>
      </c>
      <c r="P45" s="2"/>
      <c r="Q45" s="27">
        <f>+Q20-Q43</f>
        <v>-315388.1633244674</v>
      </c>
      <c r="S45" s="27">
        <f>+S20-S43</f>
        <v>38937994.91147733</v>
      </c>
    </row>
    <row r="46" spans="1:17" ht="13.5" thickTop="1">
      <c r="A46" s="4"/>
      <c r="E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4">
        <v>29</v>
      </c>
      <c r="C48" t="s">
        <v>229</v>
      </c>
      <c r="E48" s="61">
        <v>0.3954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7:17" ht="12.7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7:17" ht="12.7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7:17" ht="12.7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7:17" ht="12.7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7:17" ht="12.7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7:17" ht="12.7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7:17" ht="12.7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7:17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7:17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7:17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7:17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7:17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7:17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7:17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7:17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7:17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7:17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7:17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</sheetData>
  <mergeCells count="3">
    <mergeCell ref="E5:M5"/>
    <mergeCell ref="E6:M6"/>
    <mergeCell ref="E7:M7"/>
  </mergeCells>
  <printOptions/>
  <pageMargins left="1.25" right="0.75" top="1" bottom="1" header="0.5" footer="0.5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12.7109375" style="0" customWidth="1"/>
    <col min="8" max="8" width="11.8515625" style="0" bestFit="1" customWidth="1"/>
    <col min="9" max="9" width="5.7109375" style="0" customWidth="1"/>
  </cols>
  <sheetData>
    <row r="1" ht="12.75">
      <c r="J1" s="60" t="s">
        <v>249</v>
      </c>
    </row>
    <row r="2" ht="12.75">
      <c r="J2" s="60" t="s">
        <v>214</v>
      </c>
    </row>
    <row r="3" ht="12.75">
      <c r="J3" s="60"/>
    </row>
    <row r="4" ht="12.75">
      <c r="J4" s="60"/>
    </row>
    <row r="6" spans="3:9" ht="15.75">
      <c r="C6" s="73" t="s">
        <v>242</v>
      </c>
      <c r="D6" s="73"/>
      <c r="E6" s="73"/>
      <c r="F6" s="73"/>
      <c r="G6" s="73"/>
      <c r="H6" s="73"/>
      <c r="I6" s="73"/>
    </row>
    <row r="7" spans="3:9" ht="12.75">
      <c r="C7" s="74" t="s">
        <v>269</v>
      </c>
      <c r="D7" s="74"/>
      <c r="E7" s="74"/>
      <c r="F7" s="74"/>
      <c r="G7" s="74"/>
      <c r="H7" s="74"/>
      <c r="I7" s="74"/>
    </row>
    <row r="8" spans="3:9" ht="12.75">
      <c r="C8" s="74" t="s">
        <v>43</v>
      </c>
      <c r="D8" s="74"/>
      <c r="E8" s="74"/>
      <c r="F8" s="74"/>
      <c r="G8" s="74"/>
      <c r="H8" s="74"/>
      <c r="I8" s="74"/>
    </row>
    <row r="12" spans="1:7" ht="12.75">
      <c r="A12" s="4" t="s">
        <v>13</v>
      </c>
      <c r="G12" s="11"/>
    </row>
    <row r="13" spans="1:8" ht="12.75">
      <c r="A13" s="5" t="s">
        <v>14</v>
      </c>
      <c r="C13" s="10" t="s">
        <v>15</v>
      </c>
      <c r="D13" s="10"/>
      <c r="E13" s="10"/>
      <c r="F13" s="10"/>
      <c r="G13" s="11"/>
      <c r="H13" s="5" t="s">
        <v>4</v>
      </c>
    </row>
    <row r="14" ht="12.75">
      <c r="G14" s="11"/>
    </row>
    <row r="15" spans="1:9" ht="12.75">
      <c r="A15" s="4">
        <v>1</v>
      </c>
      <c r="C15" s="11" t="s">
        <v>38</v>
      </c>
      <c r="D15" s="11"/>
      <c r="E15" s="11"/>
      <c r="F15" s="11"/>
      <c r="G15" s="11"/>
      <c r="H15" s="11"/>
      <c r="I15" s="11"/>
    </row>
    <row r="16" spans="1:9" ht="12.75">
      <c r="A16" s="4">
        <v>2</v>
      </c>
      <c r="C16" s="11" t="s">
        <v>39</v>
      </c>
      <c r="D16" s="11"/>
      <c r="E16" s="11"/>
      <c r="F16" s="11"/>
      <c r="G16" s="11"/>
      <c r="H16" s="11"/>
      <c r="I16" s="11"/>
    </row>
    <row r="17" spans="1:9" ht="12.75">
      <c r="A17" s="4">
        <v>3</v>
      </c>
      <c r="C17" s="19" t="s">
        <v>40</v>
      </c>
      <c r="D17" s="11"/>
      <c r="E17" s="11"/>
      <c r="F17" s="11"/>
      <c r="G17" s="11"/>
      <c r="H17" s="12"/>
      <c r="I17" s="11"/>
    </row>
    <row r="18" spans="1:9" ht="12.75">
      <c r="A18" s="4">
        <v>4</v>
      </c>
      <c r="C18" s="19" t="s">
        <v>41</v>
      </c>
      <c r="D18" s="11"/>
      <c r="E18" s="11"/>
      <c r="F18" s="11"/>
      <c r="G18" s="11"/>
      <c r="H18" s="13"/>
      <c r="I18" s="11"/>
    </row>
    <row r="19" spans="1:9" ht="13.5" thickBot="1">
      <c r="A19" s="4">
        <v>5</v>
      </c>
      <c r="C19" s="19" t="s">
        <v>42</v>
      </c>
      <c r="D19" s="11"/>
      <c r="E19" s="11"/>
      <c r="F19" s="11"/>
      <c r="G19" s="11"/>
      <c r="H19" s="7">
        <f>-1159454</f>
        <v>-1159454</v>
      </c>
      <c r="I19" s="11"/>
    </row>
    <row r="20" spans="1:9" ht="13.5" thickTop="1">
      <c r="A20" s="21"/>
      <c r="B20" s="11"/>
      <c r="C20" s="11"/>
      <c r="D20" s="11"/>
      <c r="E20" s="11"/>
      <c r="F20" s="11"/>
      <c r="G20" s="11"/>
      <c r="H20" s="12"/>
      <c r="I20" s="11"/>
    </row>
    <row r="21" spans="1:9" ht="12.75">
      <c r="A21" s="21"/>
      <c r="B21" s="11"/>
      <c r="C21" s="19"/>
      <c r="D21" s="11"/>
      <c r="E21" s="11"/>
      <c r="F21" s="11"/>
      <c r="G21" s="11"/>
      <c r="H21" s="22"/>
      <c r="I21" s="11"/>
    </row>
    <row r="22" spans="1:9" ht="12.75">
      <c r="A22" s="2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21"/>
      <c r="B23" s="11"/>
      <c r="C23" s="19"/>
      <c r="D23" s="11"/>
      <c r="E23" s="11"/>
      <c r="F23" s="11"/>
      <c r="G23" s="11"/>
      <c r="H23" s="11"/>
      <c r="I23" s="11"/>
    </row>
    <row r="24" spans="1:9" ht="12.75">
      <c r="A24" s="21"/>
      <c r="B24" s="11"/>
      <c r="C24" s="19"/>
      <c r="D24" s="11"/>
      <c r="E24" s="11"/>
      <c r="F24" s="11"/>
      <c r="G24" s="11"/>
      <c r="H24" s="12"/>
      <c r="I24" s="11"/>
    </row>
    <row r="25" spans="1:9" ht="12.75">
      <c r="A25" s="21"/>
      <c r="B25" s="11"/>
      <c r="C25" s="19"/>
      <c r="D25" s="11"/>
      <c r="E25" s="11"/>
      <c r="F25" s="11"/>
      <c r="G25" s="11"/>
      <c r="H25" s="11"/>
      <c r="I25" s="11"/>
    </row>
    <row r="26" spans="1:9" ht="12.75">
      <c r="A26" s="21"/>
      <c r="B26" s="11"/>
      <c r="C26" s="19"/>
      <c r="D26" s="11"/>
      <c r="E26" s="11"/>
      <c r="F26" s="11"/>
      <c r="G26" s="11"/>
      <c r="H26" s="11"/>
      <c r="I26" s="11"/>
    </row>
    <row r="27" spans="1:9" ht="12.75">
      <c r="A27" s="21"/>
      <c r="B27" s="11"/>
      <c r="C27" s="19"/>
      <c r="D27" s="11"/>
      <c r="E27" s="11"/>
      <c r="F27" s="11"/>
      <c r="G27" s="11"/>
      <c r="H27" s="11"/>
      <c r="I27" s="11"/>
    </row>
    <row r="28" spans="1:9" ht="12.75">
      <c r="A28" s="21"/>
      <c r="B28" s="11"/>
      <c r="C28" s="19"/>
      <c r="D28" s="11"/>
      <c r="E28" s="11"/>
      <c r="F28" s="11"/>
      <c r="G28" s="11"/>
      <c r="H28" s="12"/>
      <c r="I28" s="11"/>
    </row>
    <row r="29" spans="1:9" ht="12.75">
      <c r="A29" s="21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21"/>
      <c r="B30" s="11"/>
      <c r="C30" s="19"/>
      <c r="D30" s="11"/>
      <c r="E30" s="11"/>
      <c r="F30" s="11"/>
      <c r="G30" s="11"/>
      <c r="H30" s="11"/>
      <c r="I30" s="11"/>
    </row>
    <row r="31" ht="12.75">
      <c r="A31" s="4"/>
    </row>
    <row r="42" ht="12.75">
      <c r="C42" t="s">
        <v>303</v>
      </c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2.7109375" style="0" customWidth="1"/>
    <col min="7" max="7" width="8.7109375" style="0" customWidth="1"/>
    <col min="8" max="8" width="14.00390625" style="0" bestFit="1" customWidth="1"/>
    <col min="9" max="9" width="6.7109375" style="0" customWidth="1"/>
  </cols>
  <sheetData>
    <row r="1" ht="12.75">
      <c r="J1" s="60" t="s">
        <v>254</v>
      </c>
    </row>
    <row r="2" ht="12.75">
      <c r="J2" s="60" t="s">
        <v>214</v>
      </c>
    </row>
    <row r="3" ht="12.75">
      <c r="J3" s="60"/>
    </row>
    <row r="4" ht="12.75">
      <c r="J4" s="60"/>
    </row>
    <row r="5" spans="3:9" ht="18">
      <c r="C5" s="70" t="s">
        <v>242</v>
      </c>
      <c r="D5" s="70"/>
      <c r="E5" s="70"/>
      <c r="F5" s="70"/>
      <c r="G5" s="70"/>
      <c r="H5" s="70"/>
      <c r="I5" s="70"/>
    </row>
    <row r="6" spans="3:9" ht="15">
      <c r="C6" s="72" t="s">
        <v>253</v>
      </c>
      <c r="D6" s="72"/>
      <c r="E6" s="72"/>
      <c r="F6" s="72"/>
      <c r="G6" s="72"/>
      <c r="H6" s="72"/>
      <c r="I6" s="72"/>
    </row>
    <row r="7" spans="3:9" ht="15">
      <c r="C7" s="72" t="s">
        <v>255</v>
      </c>
      <c r="D7" s="72"/>
      <c r="E7" s="72"/>
      <c r="F7" s="72"/>
      <c r="G7" s="72"/>
      <c r="H7" s="72"/>
      <c r="I7" s="72"/>
    </row>
    <row r="11" ht="12.75">
      <c r="A11" s="4" t="s">
        <v>13</v>
      </c>
    </row>
    <row r="12" spans="1:8" ht="12.75">
      <c r="A12" s="5" t="s">
        <v>14</v>
      </c>
      <c r="C12" s="10" t="s">
        <v>15</v>
      </c>
      <c r="D12" s="10"/>
      <c r="E12" s="10"/>
      <c r="F12" s="10"/>
      <c r="H12" s="5" t="s">
        <v>4</v>
      </c>
    </row>
    <row r="14" spans="1:10" ht="12.75">
      <c r="A14" s="4">
        <v>1</v>
      </c>
      <c r="C14" s="11" t="s">
        <v>25</v>
      </c>
      <c r="D14" s="11"/>
      <c r="E14" s="11"/>
      <c r="F14" s="11"/>
      <c r="G14" s="11"/>
      <c r="H14" s="11"/>
      <c r="I14" s="11"/>
      <c r="J14" s="11"/>
    </row>
    <row r="15" spans="1:10" ht="12.75">
      <c r="A15" s="4">
        <v>2</v>
      </c>
      <c r="C15" s="11" t="s">
        <v>26</v>
      </c>
      <c r="D15" s="11"/>
      <c r="E15" s="11"/>
      <c r="F15" s="11"/>
      <c r="G15" s="11"/>
      <c r="H15" s="11"/>
      <c r="I15" s="11"/>
      <c r="J15" s="11"/>
    </row>
    <row r="16" spans="1:10" ht="12.75">
      <c r="A16" s="4">
        <v>3</v>
      </c>
      <c r="C16" s="19" t="s">
        <v>27</v>
      </c>
      <c r="D16" s="11"/>
      <c r="E16" s="11"/>
      <c r="F16" s="11"/>
      <c r="G16" s="11"/>
      <c r="H16" s="12"/>
      <c r="I16" s="11"/>
      <c r="J16" s="11"/>
    </row>
    <row r="17" spans="1:10" ht="12.75">
      <c r="A17" s="4">
        <v>4</v>
      </c>
      <c r="C17" s="19" t="s">
        <v>28</v>
      </c>
      <c r="D17" s="11"/>
      <c r="E17" s="11"/>
      <c r="F17" s="11"/>
      <c r="G17" s="11"/>
      <c r="H17" s="13"/>
      <c r="I17" s="11"/>
      <c r="J17" s="11"/>
    </row>
    <row r="18" spans="1:10" ht="12.75">
      <c r="A18" s="4"/>
      <c r="C18" s="19" t="s">
        <v>29</v>
      </c>
      <c r="D18" s="11"/>
      <c r="E18" s="11"/>
      <c r="F18" s="11"/>
      <c r="G18" s="11"/>
      <c r="H18" s="12">
        <v>8274100</v>
      </c>
      <c r="I18" s="11"/>
      <c r="J18" s="11"/>
    </row>
    <row r="19" spans="1:10" ht="12.75">
      <c r="A19" s="4"/>
      <c r="C19" s="11"/>
      <c r="D19" s="11"/>
      <c r="E19" s="11"/>
      <c r="F19" s="11"/>
      <c r="G19" s="11"/>
      <c r="H19" s="12"/>
      <c r="I19" s="11"/>
      <c r="J19" s="11"/>
    </row>
    <row r="20" spans="1:10" ht="12.75">
      <c r="A20" s="4">
        <v>5</v>
      </c>
      <c r="C20" s="19" t="s">
        <v>30</v>
      </c>
      <c r="D20" s="11"/>
      <c r="E20" s="11"/>
      <c r="F20" s="11"/>
      <c r="G20" s="11"/>
      <c r="H20" s="20">
        <v>0.08345</v>
      </c>
      <c r="I20" s="11"/>
      <c r="J20" s="11"/>
    </row>
    <row r="21" spans="1:10" ht="12.75">
      <c r="A21" s="4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4">
        <v>6</v>
      </c>
      <c r="C22" s="19" t="s">
        <v>31</v>
      </c>
      <c r="D22" s="11"/>
      <c r="E22" s="11"/>
      <c r="F22" s="11"/>
      <c r="G22" s="11"/>
      <c r="H22" s="11"/>
      <c r="I22" s="11"/>
      <c r="J22" s="11"/>
    </row>
    <row r="23" spans="1:10" ht="12.75">
      <c r="A23" s="4">
        <v>7</v>
      </c>
      <c r="C23" s="19" t="s">
        <v>32</v>
      </c>
      <c r="D23" s="11"/>
      <c r="E23" s="11"/>
      <c r="F23" s="11"/>
      <c r="G23" s="11"/>
      <c r="H23" s="12"/>
      <c r="I23" s="11"/>
      <c r="J23" s="11"/>
    </row>
    <row r="24" spans="1:10" ht="12.75">
      <c r="A24" s="4">
        <v>8</v>
      </c>
      <c r="C24" s="19" t="s">
        <v>33</v>
      </c>
      <c r="D24" s="11"/>
      <c r="E24" s="11"/>
      <c r="F24" s="11"/>
      <c r="G24" s="11"/>
      <c r="H24" s="11"/>
      <c r="I24" s="11"/>
      <c r="J24" s="11"/>
    </row>
    <row r="25" spans="1:10" ht="12.75">
      <c r="A25" s="4">
        <v>9</v>
      </c>
      <c r="C25" s="19" t="s">
        <v>34</v>
      </c>
      <c r="D25" s="11"/>
      <c r="E25" s="11"/>
      <c r="F25" s="11"/>
      <c r="G25" s="11"/>
      <c r="H25" s="11"/>
      <c r="I25" s="11"/>
      <c r="J25" s="11"/>
    </row>
    <row r="26" spans="1:10" ht="12.75">
      <c r="A26" s="4">
        <v>10</v>
      </c>
      <c r="C26" s="19" t="s">
        <v>35</v>
      </c>
      <c r="D26" s="11"/>
      <c r="E26" s="11"/>
      <c r="F26" s="11"/>
      <c r="G26" s="11"/>
      <c r="H26" s="11"/>
      <c r="I26" s="11"/>
      <c r="J26" s="11"/>
    </row>
    <row r="27" spans="1:10" ht="13.5" thickBot="1">
      <c r="A27" s="4">
        <v>11</v>
      </c>
      <c r="C27" s="19" t="s">
        <v>36</v>
      </c>
      <c r="D27" s="11"/>
      <c r="E27" s="11"/>
      <c r="F27" s="11"/>
      <c r="G27" s="11"/>
      <c r="H27" s="7">
        <f>-H18*H20</f>
        <v>-690473.645</v>
      </c>
      <c r="I27" s="11"/>
      <c r="J27" s="11"/>
    </row>
    <row r="28" spans="1:10" ht="13.5" thickTop="1">
      <c r="A28" s="4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4">
        <v>12</v>
      </c>
      <c r="C29" s="19" t="s">
        <v>37</v>
      </c>
      <c r="D29" s="11"/>
      <c r="E29" s="11"/>
      <c r="F29" s="11"/>
      <c r="G29" s="11"/>
      <c r="H29" s="11"/>
      <c r="I29" s="11"/>
      <c r="J29" s="11"/>
    </row>
    <row r="30" ht="12.75">
      <c r="A30" s="4"/>
    </row>
    <row r="42" ht="12.75">
      <c r="C42" t="s">
        <v>303</v>
      </c>
    </row>
  </sheetData>
  <mergeCells count="3">
    <mergeCell ref="C5:I5"/>
    <mergeCell ref="C6:I6"/>
    <mergeCell ref="C7:I7"/>
  </mergeCells>
  <printOptions/>
  <pageMargins left="1.2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Utilitech,Inc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Brosch</dc:creator>
  <cp:keywords/>
  <dc:description/>
  <cp:lastModifiedBy>Office of the Attorney General</cp:lastModifiedBy>
  <cp:lastPrinted>2004-06-30T14:42:49Z</cp:lastPrinted>
  <dcterms:created xsi:type="dcterms:W3CDTF">2004-05-10T13:33:03Z</dcterms:created>
  <dcterms:modified xsi:type="dcterms:W3CDTF">2004-06-30T17:49:16Z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2004-07-01T00:00:00Z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