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worksheets/sheet26.xml" ContentType="application/vnd.openxmlformats-officedocument.spreadsheetml.worksheet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/chart3.xml" ContentType="application/vnd.openxmlformats-officedocument.drawingml.chart+xml"/>
  <Override PartName="/xl/charts/style2.xml" ContentType="application/vnd.ms-office.chartstyle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charts/colors2.xml" ContentType="application/vnd.ms-office.chartcolorstyl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charts/style4.xml" ContentType="application/vnd.ms-office.chartstyle+xml"/>
  <Override PartName="/xl/charts/colors1.xml" ContentType="application/vnd.ms-office.chartcolorstyl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olors4.xml" ContentType="application/vnd.ms-office.chartcolorsty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style1.xml" ContentType="application/vnd.ms-office.chartstyl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REVISED BENCH REQUEST 10.3 and 10.4\Liz - will move once complete\"/>
    </mc:Choice>
  </mc:AlternateContent>
  <bookViews>
    <workbookView xWindow="-15" yWindow="-15" windowWidth="11610" windowHeight="8445" tabRatio="819" firstSheet="1" activeTab="1"/>
  </bookViews>
  <sheets>
    <sheet name="Plant Trends" sheetId="147" state="hidden" r:id="rId1"/>
    <sheet name="Summary" sheetId="126" r:id="rId2"/>
    <sheet name="ROR" sheetId="110" r:id="rId3"/>
    <sheet name="Attrition 12.2015 to 2018" sheetId="120" r:id="rId4"/>
    <sheet name="Cost Trends" sheetId="122" r:id="rId5"/>
    <sheet name="Net Plant" sheetId="144" r:id="rId6"/>
    <sheet name="Dep-Amort" sheetId="142" r:id="rId7"/>
    <sheet name="Adj Taxes" sheetId="143" r:id="rId8"/>
    <sheet name="Adj Operating Exp-2007-2015" sheetId="157" r:id="rId9"/>
    <sheet name="Weighted Revenue Growth" sheetId="87" r:id="rId10"/>
    <sheet name="PF Power Supply 09.2015 load" sheetId="78" r:id="rId11"/>
    <sheet name="incremental load expense" sheetId="103" r:id="rId12"/>
    <sheet name="PF Power Supply 2018 load" sheetId="139" r:id="rId13"/>
    <sheet name="Other Revenue" sheetId="145" r:id="rId14"/>
    <sheet name="09.2015 Rev Model" sheetId="155" r:id="rId15"/>
    <sheet name="2017-18 Forecast Billing Determ" sheetId="156" r:id="rId16"/>
    <sheet name="12.2015 CB Power Supply" sheetId="135" r:id="rId17"/>
    <sheet name="456 Revenue" sheetId="140" state="hidden" r:id="rId18"/>
    <sheet name="CS2-Colstrip 2016 Incrmntl Exp" sheetId="141" state="hidden" r:id="rId19"/>
    <sheet name="Reg Amorts" sheetId="129" r:id="rId20"/>
    <sheet name="DSM" sheetId="91" state="hidden" r:id="rId21"/>
    <sheet name="ResX" sheetId="94" r:id="rId22"/>
    <sheet name="PS Consolidated" sheetId="134" r:id="rId23"/>
    <sheet name="Other Rev" sheetId="130" r:id="rId24"/>
    <sheet name="CBR Hist" sheetId="133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5" hidden="1">'2017-18 Forecast Billing Determ'!$A$2:$D$59</definedName>
    <definedName name="Actuals_Mo">[1]Tables!$B$19</definedName>
    <definedName name="Base1_Billing2" localSheetId="14">'09.2015 Rev Model'!$N$8</definedName>
    <definedName name="Base1_Billing2" localSheetId="16">#REF!</definedName>
    <definedName name="Base1_Billing2" localSheetId="15">#REF!</definedName>
    <definedName name="Base1_Billing2" localSheetId="8">#REF!</definedName>
    <definedName name="Base1_Billing2" localSheetId="24">#REF!</definedName>
    <definedName name="Base1_Billing2" localSheetId="12">#REF!</definedName>
    <definedName name="Base1_Billing2" localSheetId="22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4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4">#REF!</definedName>
    <definedName name="ID" localSheetId="15">#REF!</definedName>
    <definedName name="ID" localSheetId="8">#REF!</definedName>
    <definedName name="ID" localSheetId="12">#REF!</definedName>
    <definedName name="ID">#REF!</definedName>
    <definedName name="ID_001b" localSheetId="14">#REF!</definedName>
    <definedName name="ID_001b" localSheetId="16">#REF!</definedName>
    <definedName name="ID_001b" localSheetId="15">#REF!</definedName>
    <definedName name="ID_001b" localSheetId="8">#REF!</definedName>
    <definedName name="ID_001b" localSheetId="24">#REF!</definedName>
    <definedName name="ID_001b" localSheetId="12">#REF!</definedName>
    <definedName name="ID_001b" localSheetId="22">#REF!</definedName>
    <definedName name="ID_001b">#REF!</definedName>
    <definedName name="ID_011b" localSheetId="14">#REF!</definedName>
    <definedName name="ID_011b" localSheetId="16">#REF!</definedName>
    <definedName name="ID_011b" localSheetId="15">#REF!</definedName>
    <definedName name="ID_011b" localSheetId="8">#REF!</definedName>
    <definedName name="ID_011b" localSheetId="24">#REF!</definedName>
    <definedName name="ID_011b" localSheetId="12">#REF!</definedName>
    <definedName name="ID_011b" localSheetId="22">#REF!</definedName>
    <definedName name="ID_011b">#REF!</definedName>
    <definedName name="ID_012b" localSheetId="16">#REF!</definedName>
    <definedName name="ID_012b" localSheetId="8">#REF!</definedName>
    <definedName name="ID_012b" localSheetId="24">#REF!</definedName>
    <definedName name="ID_012b" localSheetId="12">#REF!</definedName>
    <definedName name="ID_012b" localSheetId="22">#REF!</definedName>
    <definedName name="ID_012b">#REF!</definedName>
    <definedName name="ID_021b" localSheetId="16">#REF!</definedName>
    <definedName name="ID_021b" localSheetId="8">#REF!</definedName>
    <definedName name="ID_021b" localSheetId="24">#REF!</definedName>
    <definedName name="ID_021b" localSheetId="12">#REF!</definedName>
    <definedName name="ID_021b" localSheetId="22">#REF!</definedName>
    <definedName name="ID_021b">#REF!</definedName>
    <definedName name="ID_Gas" localSheetId="14">'[5]DEBT CALC'!#REF!</definedName>
    <definedName name="ID_Gas" localSheetId="16">'[5]DEBT CALC'!#REF!</definedName>
    <definedName name="ID_Gas" localSheetId="15">'[5]DEBT CALC'!#REF!</definedName>
    <definedName name="ID_Gas" localSheetId="8">'[5]DEBT CALC'!#REF!</definedName>
    <definedName name="ID_Gas" localSheetId="3">'[5]DEBT CALC'!#REF!</definedName>
    <definedName name="ID_Gas" localSheetId="24">'[5]DEBT CALC'!#REF!</definedName>
    <definedName name="ID_Gas" localSheetId="4">'[5]DEBT CALC'!#REF!</definedName>
    <definedName name="ID_Gas" localSheetId="12">'[5]DEBT CALC'!#REF!</definedName>
    <definedName name="ID_Gas" localSheetId="22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4">'09.2015 Rev Model'!$A$1:$I$295</definedName>
    <definedName name="_xlnm.Print_Area" localSheetId="16">'12.2015 CB Power Supply'!$A$1:$H$46</definedName>
    <definedName name="_xlnm.Print_Area" localSheetId="15">'2017-18 Forecast Billing Determ'!$A$1:$D$59</definedName>
    <definedName name="_xlnm.Print_Area" localSheetId="8">'Adj Operating Exp-2007-2015'!$A$1:$J$30</definedName>
    <definedName name="_xlnm.Print_Area" localSheetId="7">'Adj Taxes'!$A$1:$J$31</definedName>
    <definedName name="_xlnm.Print_Area" localSheetId="3">'Attrition 12.2015 to 2018'!$A$1:$W$91</definedName>
    <definedName name="_xlnm.Print_Area" localSheetId="24">'CBR Hist'!$A$1:$U$79</definedName>
    <definedName name="_xlnm.Print_Area" localSheetId="4">'Cost Trends'!$A$1:$U$142</definedName>
    <definedName name="_xlnm.Print_Area" localSheetId="6">'Dep-Amort'!$A$1:$J$30</definedName>
    <definedName name="_xlnm.Print_Area" localSheetId="11">'incremental load expense'!$A$1:$M$56</definedName>
    <definedName name="_xlnm.Print_Area" localSheetId="5">'Net Plant'!$A$1:$J$30</definedName>
    <definedName name="_xlnm.Print_Area" localSheetId="13">'Other Revenue'!$A$1:$G$33</definedName>
    <definedName name="_xlnm.Print_Area" localSheetId="10">'PF Power Supply 09.2015 load'!$A$1:$R$46</definedName>
    <definedName name="_xlnm.Print_Area" localSheetId="12">'PF Power Supply 2018 load'!$A$1:$R$51</definedName>
    <definedName name="_xlnm.Print_Area" localSheetId="2">ROR!$A$1:$L$26</definedName>
    <definedName name="_xlnm.Print_Area" localSheetId="1">Summary!$A$1:$K$39</definedName>
    <definedName name="Print_for_Checking" localSheetId="14">'[5]ADJ SUMMARY'!#REF!:'[5]ADJ SUMMARY'!#REF!</definedName>
    <definedName name="Print_for_Checking" localSheetId="16">'[5]ADJ SUMMARY'!#REF!:'[5]ADJ SUMMARY'!#REF!</definedName>
    <definedName name="Print_for_Checking" localSheetId="15">'[5]ADJ SUMMARY'!#REF!:'[5]ADJ SUMMARY'!#REF!</definedName>
    <definedName name="Print_for_Checking" localSheetId="8">'[5]ADJ SUMMARY'!#REF!:'[5]ADJ SUMMARY'!#REF!</definedName>
    <definedName name="Print_for_Checking" localSheetId="3">'[5]ADJ SUMMARY'!#REF!:'[5]ADJ SUMMARY'!#REF!</definedName>
    <definedName name="Print_for_Checking" localSheetId="24">'[5]ADJ SUMMARY'!#REF!:'[5]ADJ SUMMARY'!#REF!</definedName>
    <definedName name="Print_for_Checking" localSheetId="4">'[5]ADJ SUMMARY'!#REF!:'[5]ADJ SUMMARY'!#REF!</definedName>
    <definedName name="Print_for_Checking" localSheetId="12">'[5]ADJ SUMMARY'!#REF!:'[5]ADJ SUMMARY'!#REF!</definedName>
    <definedName name="Print_for_Checking" localSheetId="22">'[5]ADJ SUMMARY'!#REF!:'[5]ADJ SUMMARY'!#REF!</definedName>
    <definedName name="Print_for_Checking">'[5]ADJ SUMMARY'!#REF!:'[5]ADJ SUMMARY'!#REF!</definedName>
    <definedName name="_xlnm.Print_Titles" localSheetId="24">'CBR Hist'!$A:$D,'CBR Hist'!$1:$9</definedName>
    <definedName name="_xlnm.Print_Titles" localSheetId="4">'Cost Trends'!$2:$2</definedName>
    <definedName name="PrintHeader" localSheetId="14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4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16">#REF!</definedName>
    <definedName name="Summary" localSheetId="15">#REF!</definedName>
    <definedName name="Summary" localSheetId="8">#REF!</definedName>
    <definedName name="Summary" localSheetId="3">#REF!</definedName>
    <definedName name="Summary" localSheetId="24">#REF!</definedName>
    <definedName name="Summary" localSheetId="4">#REF!</definedName>
    <definedName name="Summary" localSheetId="12">#REF!</definedName>
    <definedName name="Summary" localSheetId="22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16">#REF!</definedName>
    <definedName name="WA_001b" localSheetId="15">#REF!</definedName>
    <definedName name="WA_001b" localSheetId="8">#REF!</definedName>
    <definedName name="WA_001b" localSheetId="24">#REF!</definedName>
    <definedName name="WA_001b" localSheetId="12">#REF!</definedName>
    <definedName name="WA_001b" localSheetId="22">#REF!</definedName>
    <definedName name="WA_001b">#REF!</definedName>
    <definedName name="WA_011b" localSheetId="14">#REF!</definedName>
    <definedName name="WA_011b" localSheetId="16">#REF!</definedName>
    <definedName name="WA_011b" localSheetId="15">#REF!</definedName>
    <definedName name="WA_011b" localSheetId="8">#REF!</definedName>
    <definedName name="WA_011b" localSheetId="24">#REF!</definedName>
    <definedName name="WA_011b" localSheetId="12">#REF!</definedName>
    <definedName name="WA_011b" localSheetId="22">#REF!</definedName>
    <definedName name="WA_011b">#REF!</definedName>
    <definedName name="WA_012b" localSheetId="14">#REF!</definedName>
    <definedName name="WA_012b" localSheetId="16">#REF!</definedName>
    <definedName name="WA_012b" localSheetId="15">#REF!</definedName>
    <definedName name="WA_012b" localSheetId="8">#REF!</definedName>
    <definedName name="WA_012b" localSheetId="24">#REF!</definedName>
    <definedName name="WA_012b" localSheetId="12">#REF!</definedName>
    <definedName name="WA_012b" localSheetId="22">#REF!</definedName>
    <definedName name="WA_012b">#REF!</definedName>
    <definedName name="WA_021b" localSheetId="16">#REF!</definedName>
    <definedName name="WA_021b" localSheetId="8">#REF!</definedName>
    <definedName name="WA_021b" localSheetId="24">#REF!</definedName>
    <definedName name="WA_021b" localSheetId="12">#REF!</definedName>
    <definedName name="WA_021b" localSheetId="22">#REF!</definedName>
    <definedName name="WA_021b">#REF!</definedName>
    <definedName name="WA_Gas" localSheetId="14">'[5]DEBT CALC'!#REF!</definedName>
    <definedName name="WA_Gas" localSheetId="16">'[5]DEBT CALC'!#REF!</definedName>
    <definedName name="WA_Gas" localSheetId="15">'[5]DEBT CALC'!#REF!</definedName>
    <definedName name="WA_Gas" localSheetId="8">'[5]DEBT CALC'!#REF!</definedName>
    <definedName name="WA_Gas" localSheetId="3">'[5]DEBT CALC'!#REF!</definedName>
    <definedName name="WA_Gas" localSheetId="24">'[5]DEBT CALC'!#REF!</definedName>
    <definedName name="WA_Gas" localSheetId="4">'[5]DEBT CALC'!#REF!</definedName>
    <definedName name="WA_Gas" localSheetId="18">'[5]DEBT CALC'!#REF!</definedName>
    <definedName name="WA_Gas" localSheetId="12">'[5]DEBT CALC'!#REF!</definedName>
    <definedName name="WA_Gas" localSheetId="22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4" hidden="1">'CBR Hist'!#REF!,'CBR Hist'!$E:$E</definedName>
    <definedName name="Z_6E1B8C45_B07F_11D2_B0DC_0000832CDFF0_.wvu.PrintArea" localSheetId="24" hidden="1">'CBR Hist'!$E:$E</definedName>
    <definedName name="Z_6E1B8C45_B07F_11D2_B0DC_0000832CDFF0_.wvu.PrintTitles" localSheetId="24" hidden="1">'CBR Hist'!$A:$D,'CBR Hist'!$1:$9</definedName>
    <definedName name="Z_A15D1962_B049_11D2_8670_0000832CEEE8_.wvu.Cols" localSheetId="24" hidden="1">'CBR Hist'!$E:$E</definedName>
  </definedNames>
  <calcPr calcId="152511" calcMode="manual"/>
</workbook>
</file>

<file path=xl/calcChain.xml><?xml version="1.0" encoding="utf-8"?>
<calcChain xmlns="http://schemas.openxmlformats.org/spreadsheetml/2006/main">
  <c r="R43" i="78" l="1"/>
  <c r="R41" i="139" l="1"/>
  <c r="J37" i="126" l="1"/>
  <c r="J38" i="126" l="1"/>
  <c r="P22" i="78" l="1"/>
  <c r="P11" i="78"/>
  <c r="R11" i="78"/>
  <c r="L14" i="139" l="1"/>
  <c r="D14" i="78" l="1"/>
  <c r="F14" i="78" l="1"/>
  <c r="L14" i="78"/>
  <c r="P14" i="78" s="1"/>
  <c r="R14" i="78" s="1"/>
  <c r="R30" i="139" l="1"/>
  <c r="R29" i="139"/>
  <c r="R28" i="139"/>
  <c r="R25" i="139"/>
  <c r="R23" i="139"/>
  <c r="R18" i="139"/>
  <c r="R17" i="139"/>
  <c r="R15" i="139"/>
  <c r="R13" i="139"/>
  <c r="R12" i="139"/>
  <c r="L33" i="139"/>
  <c r="N32" i="139"/>
  <c r="N30" i="139"/>
  <c r="N29" i="139"/>
  <c r="N28" i="139"/>
  <c r="N26" i="139"/>
  <c r="N25" i="139"/>
  <c r="N24" i="139"/>
  <c r="N23" i="139"/>
  <c r="N22" i="139"/>
  <c r="N33" i="139" s="1"/>
  <c r="N18" i="139"/>
  <c r="N17" i="139"/>
  <c r="N15" i="139"/>
  <c r="L19" i="139"/>
  <c r="L35" i="139" s="1"/>
  <c r="N13" i="139"/>
  <c r="N12" i="139"/>
  <c r="N11" i="139"/>
  <c r="N19" i="139" l="1"/>
  <c r="N35" i="139" s="1"/>
  <c r="N14" i="139"/>
  <c r="N37" i="139" l="1"/>
  <c r="N39" i="139" s="1"/>
  <c r="P11" i="139" l="1"/>
  <c r="R11" i="139" s="1"/>
  <c r="P32" i="78"/>
  <c r="R32" i="78" s="1"/>
  <c r="R30" i="78"/>
  <c r="R29" i="78"/>
  <c r="R28" i="78"/>
  <c r="P26" i="78"/>
  <c r="R25" i="78"/>
  <c r="P24" i="78"/>
  <c r="R23" i="78"/>
  <c r="P22" i="139"/>
  <c r="R22" i="139" s="1"/>
  <c r="R18" i="78"/>
  <c r="R17" i="78"/>
  <c r="R15" i="78"/>
  <c r="R13" i="78"/>
  <c r="R12" i="78"/>
  <c r="L33" i="78"/>
  <c r="N32" i="78"/>
  <c r="N30" i="78"/>
  <c r="N29" i="78"/>
  <c r="N28" i="78"/>
  <c r="N26" i="78"/>
  <c r="N25" i="78"/>
  <c r="N24" i="78"/>
  <c r="N23" i="78"/>
  <c r="N22" i="78"/>
  <c r="N18" i="78"/>
  <c r="N17" i="78"/>
  <c r="N15" i="78"/>
  <c r="L19" i="78"/>
  <c r="N13" i="78"/>
  <c r="N12" i="78"/>
  <c r="N11" i="78"/>
  <c r="L35" i="78" l="1"/>
  <c r="P19" i="78"/>
  <c r="P14" i="139"/>
  <c r="R14" i="139" s="1"/>
  <c r="R19" i="139" s="1"/>
  <c r="P32" i="139"/>
  <c r="R32" i="139" s="1"/>
  <c r="R24" i="78"/>
  <c r="P24" i="139"/>
  <c r="R24" i="139" s="1"/>
  <c r="R22" i="78"/>
  <c r="R26" i="78"/>
  <c r="P26" i="139"/>
  <c r="P33" i="78"/>
  <c r="R19" i="78"/>
  <c r="N33" i="78"/>
  <c r="N14" i="78"/>
  <c r="N19" i="78" s="1"/>
  <c r="N35" i="78" l="1"/>
  <c r="N37" i="78" s="1"/>
  <c r="N39" i="78" s="1"/>
  <c r="P35" i="78"/>
  <c r="R33" i="78"/>
  <c r="R35" i="78" s="1"/>
  <c r="R37" i="78" s="1"/>
  <c r="R39" i="78" s="1"/>
  <c r="R41" i="78" s="1"/>
  <c r="P19" i="139"/>
  <c r="R26" i="139"/>
  <c r="R33" i="139" s="1"/>
  <c r="R35" i="139" s="1"/>
  <c r="R37" i="139" s="1"/>
  <c r="R39" i="139" s="1"/>
  <c r="R43" i="139" s="1"/>
  <c r="R44" i="139" s="1"/>
  <c r="P33" i="139"/>
  <c r="P35" i="139" l="1"/>
  <c r="U32" i="133"/>
  <c r="T32" i="133"/>
  <c r="S32" i="133"/>
  <c r="R32" i="133"/>
  <c r="Q32" i="133"/>
  <c r="P32" i="133"/>
  <c r="O32" i="133"/>
  <c r="K32" i="110" l="1"/>
  <c r="K32" i="144"/>
  <c r="K32" i="142"/>
  <c r="K32" i="87"/>
  <c r="H22" i="87" l="1"/>
  <c r="H21" i="87"/>
  <c r="H20" i="87"/>
  <c r="H14" i="87" s="1"/>
  <c r="H18" i="87"/>
  <c r="H17" i="87"/>
  <c r="H16" i="87"/>
  <c r="H15" i="87"/>
  <c r="H13" i="87"/>
  <c r="H11" i="87"/>
  <c r="H10" i="87"/>
  <c r="H9" i="87"/>
  <c r="H8" i="87"/>
  <c r="H7" i="87"/>
  <c r="F22" i="87"/>
  <c r="F21" i="87"/>
  <c r="F20" i="87"/>
  <c r="F18" i="87"/>
  <c r="F17" i="87"/>
  <c r="F16" i="87"/>
  <c r="F15" i="87"/>
  <c r="F14" i="87"/>
  <c r="F13" i="87"/>
  <c r="F11" i="87"/>
  <c r="F10" i="87"/>
  <c r="F9" i="87"/>
  <c r="F8" i="87"/>
  <c r="F7" i="87"/>
  <c r="E22" i="87"/>
  <c r="E21" i="87"/>
  <c r="E20" i="87"/>
  <c r="E18" i="87"/>
  <c r="E17" i="87"/>
  <c r="E16" i="87"/>
  <c r="E14" i="87"/>
  <c r="E15" i="87"/>
  <c r="E13" i="87"/>
  <c r="E11" i="87"/>
  <c r="E10" i="87"/>
  <c r="E9" i="87"/>
  <c r="E8" i="87"/>
  <c r="E7" i="87"/>
  <c r="U79" i="122"/>
  <c r="D33" i="78" l="1"/>
  <c r="D19" i="78"/>
  <c r="D33" i="139"/>
  <c r="D19" i="139"/>
  <c r="G22" i="87"/>
  <c r="F29" i="87"/>
  <c r="E28" i="87"/>
  <c r="J28" i="126"/>
  <c r="D35" i="139" l="1"/>
  <c r="D35" i="78"/>
  <c r="J32" i="126"/>
  <c r="K28" i="126"/>
  <c r="G10" i="87"/>
  <c r="G14" i="87"/>
  <c r="G16" i="87"/>
  <c r="G21" i="87"/>
  <c r="E27" i="87"/>
  <c r="F28" i="87"/>
  <c r="G28" i="87" s="1"/>
  <c r="G15" i="87"/>
  <c r="G17" i="87"/>
  <c r="E29" i="87"/>
  <c r="G9" i="87"/>
  <c r="G8" i="87"/>
  <c r="G7" i="87"/>
  <c r="G11" i="87"/>
  <c r="G29" i="87"/>
  <c r="G20" i="87"/>
  <c r="F27" i="87"/>
  <c r="G13" i="87"/>
  <c r="G27" i="87" l="1"/>
  <c r="H25" i="87"/>
  <c r="I22" i="87" l="1"/>
  <c r="J22" i="87" s="1"/>
  <c r="I20" i="87"/>
  <c r="J20" i="87" s="1"/>
  <c r="I21" i="87"/>
  <c r="J21" i="87" s="1"/>
  <c r="I18" i="87"/>
  <c r="J18" i="87" s="1"/>
  <c r="I15" i="87"/>
  <c r="J15" i="87" s="1"/>
  <c r="I10" i="87"/>
  <c r="J10" i="87" s="1"/>
  <c r="I9" i="87"/>
  <c r="J9" i="87" s="1"/>
  <c r="I8" i="87"/>
  <c r="J8" i="87" s="1"/>
  <c r="I11" i="87"/>
  <c r="J11" i="87" s="1"/>
  <c r="I13" i="87"/>
  <c r="J13" i="87" s="1"/>
  <c r="I17" i="87"/>
  <c r="J17" i="87" s="1"/>
  <c r="I7" i="87"/>
  <c r="I16" i="87"/>
  <c r="J16" i="87" s="1"/>
  <c r="I14" i="87"/>
  <c r="J14" i="87" s="1"/>
  <c r="J7" i="87" l="1"/>
  <c r="J25" i="87" s="1"/>
  <c r="I25" i="87"/>
  <c r="U138" i="122" l="1"/>
  <c r="J11" i="120"/>
  <c r="T19" i="130" l="1"/>
  <c r="T18" i="130"/>
  <c r="T14" i="130"/>
  <c r="T7" i="134"/>
  <c r="T21" i="130" l="1"/>
  <c r="T23" i="130" s="1"/>
  <c r="T103" i="129" l="1"/>
  <c r="D30" i="135"/>
  <c r="D31" i="135"/>
  <c r="D14" i="135"/>
  <c r="E9" i="120"/>
  <c r="E11" i="120"/>
  <c r="E16" i="120"/>
  <c r="E17" i="120"/>
  <c r="E18" i="120"/>
  <c r="T93" i="129" l="1"/>
  <c r="T108" i="129"/>
  <c r="T50" i="129"/>
  <c r="T45" i="129"/>
  <c r="T7" i="130" l="1"/>
  <c r="T31" i="129" l="1"/>
  <c r="H4" i="110" l="1"/>
  <c r="T47" i="120" l="1"/>
  <c r="U47" i="120"/>
  <c r="H47" i="120"/>
  <c r="I47" i="120"/>
  <c r="H46" i="120"/>
  <c r="V46" i="120" l="1"/>
  <c r="U46" i="120"/>
  <c r="T70" i="120" l="1"/>
  <c r="T63" i="120"/>
  <c r="T10" i="120"/>
  <c r="T12" i="120" s="1"/>
  <c r="T28" i="120"/>
  <c r="T38" i="120"/>
  <c r="T72" i="120" l="1"/>
  <c r="T21" i="120"/>
  <c r="T39" i="120" s="1"/>
  <c r="T41" i="120" s="1"/>
  <c r="T49" i="120" s="1"/>
  <c r="T79" i="120" l="1"/>
  <c r="T75" i="120"/>
  <c r="U49" i="142"/>
  <c r="E76" i="120" l="1"/>
  <c r="V78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8" i="120"/>
  <c r="F28" i="120"/>
  <c r="G28" i="120"/>
  <c r="I12" i="120"/>
  <c r="E37" i="120"/>
  <c r="H63" i="120"/>
  <c r="H70" i="120"/>
  <c r="H38" i="120"/>
  <c r="H21" i="120"/>
  <c r="H12" i="120"/>
  <c r="H72" i="120" l="1"/>
  <c r="H75" i="120" s="1"/>
  <c r="H79" i="120" s="1"/>
  <c r="H50" i="120" s="1"/>
  <c r="H39" i="120"/>
  <c r="H41" i="120" s="1"/>
  <c r="G46" i="120"/>
  <c r="F22" i="139"/>
  <c r="F26" i="139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D75" i="156"/>
  <c r="C75" i="156"/>
  <c r="D74" i="156"/>
  <c r="C74" i="156"/>
  <c r="D73" i="156"/>
  <c r="C73" i="156"/>
  <c r="D72" i="156"/>
  <c r="C72" i="156"/>
  <c r="D71" i="156"/>
  <c r="C71" i="156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D45" i="156"/>
  <c r="C45" i="156"/>
  <c r="D44" i="156"/>
  <c r="C44" i="156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D12" i="156"/>
  <c r="C12" i="156"/>
  <c r="D11" i="156"/>
  <c r="C11" i="156"/>
  <c r="D10" i="156"/>
  <c r="C10" i="156"/>
  <c r="D9" i="156"/>
  <c r="C9" i="156"/>
  <c r="D8" i="156"/>
  <c r="C8" i="156"/>
  <c r="D7" i="156"/>
  <c r="C7" i="156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F118" i="155"/>
  <c r="E118" i="155"/>
  <c r="G117" i="155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I14" i="155"/>
  <c r="H14" i="155"/>
  <c r="H17" i="155" s="1"/>
  <c r="H20" i="155" s="1"/>
  <c r="G14" i="155"/>
  <c r="G17" i="155" s="1"/>
  <c r="G20" i="155" s="1"/>
  <c r="G23" i="155" s="1"/>
  <c r="F14" i="155"/>
  <c r="F17" i="155" s="1"/>
  <c r="F20" i="155" s="1"/>
  <c r="E14" i="155"/>
  <c r="E17" i="155" s="1"/>
  <c r="E20" i="155" s="1"/>
  <c r="E23" i="155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F37" i="155" l="1"/>
  <c r="F40" i="155" s="1"/>
  <c r="F43" i="155" s="1"/>
  <c r="D282" i="155"/>
  <c r="D285" i="155" s="1"/>
  <c r="C113" i="155"/>
  <c r="E225" i="155"/>
  <c r="E226" i="155" s="1"/>
  <c r="C29" i="156"/>
  <c r="D232" i="155"/>
  <c r="H274" i="155"/>
  <c r="H23" i="155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H49" i="120"/>
  <c r="H54" i="120" s="1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C14" i="155"/>
  <c r="E124" i="155"/>
  <c r="C187" i="155"/>
  <c r="D234" i="155"/>
  <c r="F241" i="155"/>
  <c r="G241" i="155" s="1"/>
  <c r="D37" i="155"/>
  <c r="F67" i="155"/>
  <c r="C191" i="155"/>
  <c r="H221" i="155"/>
  <c r="H275" i="155" l="1"/>
  <c r="H277" i="155" s="1"/>
  <c r="C166" i="155"/>
  <c r="F283" i="155"/>
  <c r="G283" i="155" s="1"/>
  <c r="G285" i="155" s="1"/>
  <c r="G286" i="155" s="1"/>
  <c r="E278" i="155"/>
  <c r="H84" i="155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252" i="155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E205" i="155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D299" i="155"/>
  <c r="D208" i="155"/>
  <c r="C207" i="155"/>
  <c r="C208" i="155" s="1"/>
  <c r="M7" i="120" l="1"/>
  <c r="F30" i="135"/>
  <c r="F32" i="135" l="1"/>
  <c r="I38" i="120" l="1"/>
  <c r="I28" i="120"/>
  <c r="I21" i="120"/>
  <c r="I46" i="120"/>
  <c r="I70" i="120" l="1"/>
  <c r="I39" i="120"/>
  <c r="I41" i="120" s="1"/>
  <c r="I49" i="120" s="1"/>
  <c r="I63" i="120"/>
  <c r="U10" i="122"/>
  <c r="T16" i="130"/>
  <c r="T94" i="129"/>
  <c r="F26" i="135"/>
  <c r="F11" i="135"/>
  <c r="F9" i="120" s="1"/>
  <c r="I72" i="120" l="1"/>
  <c r="I75" i="120" s="1"/>
  <c r="I79" i="120" s="1"/>
  <c r="D17" i="135" l="1"/>
  <c r="E7" i="120"/>
  <c r="K7" i="120" s="1"/>
  <c r="P7" i="120" s="1"/>
  <c r="E8" i="120"/>
  <c r="E77" i="120" l="1"/>
  <c r="K77" i="120" s="1"/>
  <c r="K76" i="120"/>
  <c r="E74" i="120"/>
  <c r="E69" i="120"/>
  <c r="E68" i="120"/>
  <c r="E67" i="120"/>
  <c r="E66" i="120"/>
  <c r="E65" i="120"/>
  <c r="E62" i="120"/>
  <c r="E61" i="120"/>
  <c r="E60" i="120"/>
  <c r="E59" i="120"/>
  <c r="E58" i="120"/>
  <c r="E52" i="120"/>
  <c r="E51" i="120"/>
  <c r="E50" i="120"/>
  <c r="E49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K18" i="120"/>
  <c r="E70" i="120" l="1"/>
  <c r="J27" i="120"/>
  <c r="S16" i="130"/>
  <c r="R16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3" i="129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71" i="129"/>
  <c r="U80" i="122" s="1"/>
  <c r="T75" i="129"/>
  <c r="T92" i="129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T46" i="129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B8" i="143" s="1"/>
  <c r="U21" i="122"/>
  <c r="U115" i="122"/>
  <c r="U117" i="122" s="1"/>
  <c r="J3" i="144" l="1"/>
  <c r="U108" i="122"/>
  <c r="U111" i="122" s="1"/>
  <c r="J3" i="142" s="1"/>
  <c r="B7" i="142" s="1"/>
  <c r="B8" i="142" s="1"/>
  <c r="U24" i="122"/>
  <c r="B7" i="144" l="1"/>
  <c r="B8" i="144" s="1"/>
  <c r="M58" i="120" s="1"/>
  <c r="U41" i="122"/>
  <c r="U43" i="122" s="1"/>
  <c r="U16" i="133"/>
  <c r="U18" i="133" s="1"/>
  <c r="U27" i="133"/>
  <c r="U33" i="133"/>
  <c r="U43" i="133"/>
  <c r="U63" i="133"/>
  <c r="U70" i="133"/>
  <c r="M74" i="120" l="1"/>
  <c r="M75" i="120" s="1"/>
  <c r="M65" i="120"/>
  <c r="U44" i="133"/>
  <c r="U46" i="133" s="1"/>
  <c r="U54" i="133" s="1"/>
  <c r="U71" i="133"/>
  <c r="U74" i="133" s="1"/>
  <c r="U78" i="133" s="1"/>
  <c r="U82" i="122" s="1"/>
  <c r="M69" i="120" l="1"/>
  <c r="M67" i="120"/>
  <c r="M66" i="120"/>
  <c r="M68" i="120"/>
  <c r="U133" i="122"/>
  <c r="U83" i="122"/>
  <c r="U79" i="133"/>
  <c r="U70" i="120" l="1"/>
  <c r="U63" i="120"/>
  <c r="U72" i="120" l="1"/>
  <c r="U79" i="120" l="1"/>
  <c r="U75" i="120"/>
  <c r="K62" i="120" l="1"/>
  <c r="U41" i="120"/>
  <c r="U49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S108" i="129"/>
  <c r="T16" i="133"/>
  <c r="T18" i="133" s="1"/>
  <c r="T27" i="133"/>
  <c r="T33" i="133"/>
  <c r="T43" i="133"/>
  <c r="T63" i="133"/>
  <c r="T70" i="133"/>
  <c r="U128" i="122" l="1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34" i="122" l="1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F13" i="110"/>
  <c r="U131" i="122" l="1"/>
  <c r="U112" i="122"/>
  <c r="I3" i="142"/>
  <c r="M18" i="120" s="1"/>
  <c r="F17" i="120"/>
  <c r="K17" i="120" s="1"/>
  <c r="T21" i="134"/>
  <c r="D36" i="135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F18" i="139"/>
  <c r="F17" i="139"/>
  <c r="F13" i="139"/>
  <c r="F12" i="139"/>
  <c r="F11" i="139"/>
  <c r="F33" i="139" l="1"/>
  <c r="H20" i="103"/>
  <c r="F19" i="139"/>
  <c r="H12" i="103"/>
  <c r="H19" i="103" l="1"/>
  <c r="H24" i="103" s="1"/>
  <c r="H41" i="103" s="1"/>
  <c r="H13" i="103"/>
  <c r="H14" i="103"/>
  <c r="H15" i="103" s="1"/>
  <c r="F35" i="139"/>
  <c r="J30" i="120"/>
  <c r="F15" i="135"/>
  <c r="F37" i="139" l="1"/>
  <c r="F39" i="139" s="1"/>
  <c r="H43" i="103"/>
  <c r="F39" i="110"/>
  <c r="H46" i="103" l="1"/>
  <c r="H51" i="103" s="1"/>
  <c r="E28" i="120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28" i="122"/>
  <c r="T134" i="122"/>
  <c r="R66" i="129"/>
  <c r="R69" i="129" s="1"/>
  <c r="R73" i="129" s="1"/>
  <c r="S75" i="122"/>
  <c r="S78" i="122" s="1"/>
  <c r="S79" i="122"/>
  <c r="S79" i="133"/>
  <c r="B44" i="120"/>
  <c r="S108" i="122" l="1"/>
  <c r="S111" i="122" s="1"/>
  <c r="S115" i="122"/>
  <c r="S117" i="122" s="1"/>
  <c r="S130" i="122"/>
  <c r="H3" i="144"/>
  <c r="S83" i="122"/>
  <c r="H3" i="142" l="1"/>
  <c r="T112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7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E17" i="130" l="1"/>
  <c r="E19" i="130" s="1"/>
  <c r="F140" i="122" s="1"/>
  <c r="Q9" i="130"/>
  <c r="T141" i="122" l="1"/>
  <c r="U139" i="122"/>
  <c r="U141" i="122" s="1"/>
  <c r="H2" i="145" s="1"/>
  <c r="F12" i="78"/>
  <c r="B6" i="145" l="1"/>
  <c r="B7" i="145" s="1"/>
  <c r="U142" i="122"/>
  <c r="T142" i="122"/>
  <c r="G2" i="145"/>
  <c r="T25" i="134"/>
  <c r="F31" i="135" l="1"/>
  <c r="T26" i="134" s="1"/>
  <c r="T29" i="134" s="1"/>
  <c r="U100" i="122" s="1"/>
  <c r="U104" i="122" s="1"/>
  <c r="J3" i="157" s="1"/>
  <c r="D19" i="135"/>
  <c r="Q72" i="120"/>
  <c r="L72" i="120"/>
  <c r="L75" i="120" s="1"/>
  <c r="N72" i="120"/>
  <c r="N75" i="120" s="1"/>
  <c r="F70" i="120"/>
  <c r="F63" i="120"/>
  <c r="B7" i="157" l="1"/>
  <c r="B8" i="157" s="1"/>
  <c r="T104" i="122"/>
  <c r="T31" i="134"/>
  <c r="T33" i="134" s="1"/>
  <c r="T54" i="134" s="1"/>
  <c r="F72" i="120"/>
  <c r="F75" i="120" s="1"/>
  <c r="F79" i="120" s="1"/>
  <c r="K74" i="120"/>
  <c r="O74" i="120" s="1"/>
  <c r="P74" i="120" s="1"/>
  <c r="V74" i="120" s="1"/>
  <c r="K66" i="120"/>
  <c r="K11" i="120"/>
  <c r="K37" i="120"/>
  <c r="K61" i="120"/>
  <c r="K69" i="120"/>
  <c r="K36" i="120"/>
  <c r="K35" i="120"/>
  <c r="K52" i="120"/>
  <c r="K67" i="120"/>
  <c r="G21" i="120"/>
  <c r="K30" i="120"/>
  <c r="K51" i="120"/>
  <c r="K8" i="120"/>
  <c r="P8" i="120" s="1"/>
  <c r="K59" i="120"/>
  <c r="K9" i="120"/>
  <c r="K31" i="120"/>
  <c r="K58" i="120"/>
  <c r="K60" i="120"/>
  <c r="K68" i="120"/>
  <c r="K27" i="120"/>
  <c r="K28" i="120" s="1"/>
  <c r="K32" i="120" s="1"/>
  <c r="G38" i="120"/>
  <c r="G12" i="120"/>
  <c r="K65" i="120"/>
  <c r="G63" i="120"/>
  <c r="G70" i="120"/>
  <c r="J63" i="120"/>
  <c r="J70" i="120"/>
  <c r="F19" i="135"/>
  <c r="F36" i="135"/>
  <c r="D38" i="135"/>
  <c r="D11" i="110"/>
  <c r="F11" i="110" s="1"/>
  <c r="T50" i="120" l="1"/>
  <c r="T54" i="120" s="1"/>
  <c r="T50" i="142"/>
  <c r="T50" i="143"/>
  <c r="U50" i="120"/>
  <c r="U54" i="120" s="1"/>
  <c r="T50" i="122"/>
  <c r="T51" i="122" s="1"/>
  <c r="P11" i="120"/>
  <c r="I3" i="157"/>
  <c r="M16" i="120"/>
  <c r="P10" i="120"/>
  <c r="O65" i="120"/>
  <c r="P65" i="120" s="1"/>
  <c r="V65" i="120" s="1"/>
  <c r="U105" i="122"/>
  <c r="T105" i="122"/>
  <c r="T35" i="134"/>
  <c r="D15" i="110"/>
  <c r="F15" i="110"/>
  <c r="V84" i="120" s="1"/>
  <c r="F16" i="120"/>
  <c r="K16" i="120" s="1"/>
  <c r="K21" i="120" s="1"/>
  <c r="G72" i="120"/>
  <c r="K10" i="120"/>
  <c r="G39" i="120"/>
  <c r="G41" i="120" s="1"/>
  <c r="G49" i="120" s="1"/>
  <c r="J72" i="120"/>
  <c r="J75" i="120" s="1"/>
  <c r="J79" i="120" s="1"/>
  <c r="F38" i="135"/>
  <c r="T81" i="120" l="1"/>
  <c r="U81" i="120"/>
  <c r="P12" i="120"/>
  <c r="H28" i="126"/>
  <c r="M36" i="120"/>
  <c r="F21" i="120"/>
  <c r="G75" i="120"/>
  <c r="G79" i="120" s="1"/>
  <c r="G50" i="120" s="1"/>
  <c r="F40" i="135"/>
  <c r="F42" i="135" s="1"/>
  <c r="K47" i="120"/>
  <c r="L47" i="120"/>
  <c r="M47" i="120"/>
  <c r="N47" i="120"/>
  <c r="O47" i="120"/>
  <c r="P47" i="120"/>
  <c r="Q47" i="120"/>
  <c r="R47" i="120"/>
  <c r="S47" i="120"/>
  <c r="V47" i="120"/>
  <c r="F47" i="120"/>
  <c r="G47" i="120"/>
  <c r="J47" i="120"/>
  <c r="E47" i="120"/>
  <c r="F46" i="120"/>
  <c r="J46" i="120"/>
  <c r="K46" i="120"/>
  <c r="L46" i="120"/>
  <c r="M46" i="120"/>
  <c r="N46" i="120"/>
  <c r="O46" i="120"/>
  <c r="P46" i="120"/>
  <c r="Q46" i="120"/>
  <c r="R46" i="120"/>
  <c r="S46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82" i="122"/>
  <c r="M133" i="122" s="1"/>
  <c r="N82" i="122"/>
  <c r="N133" i="122" s="1"/>
  <c r="O82" i="122"/>
  <c r="O133" i="122" s="1"/>
  <c r="P82" i="122"/>
  <c r="P133" i="122" s="1"/>
  <c r="Q82" i="122"/>
  <c r="Q133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K109" i="122" l="1"/>
  <c r="K32" i="122"/>
  <c r="K95" i="122" s="1"/>
  <c r="U49" i="122"/>
  <c r="Q74" i="122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R30" i="122"/>
  <c r="M30" i="122"/>
  <c r="P124" i="122"/>
  <c r="P30" i="122"/>
  <c r="Q30" i="122"/>
  <c r="L3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2" i="120"/>
  <c r="E75" i="120" s="1"/>
  <c r="E79" i="120" s="1"/>
  <c r="R15" i="122"/>
  <c r="U51" i="122" l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L19" i="130"/>
  <c r="L21" i="130"/>
  <c r="L23" i="130" s="1"/>
  <c r="I141" i="122"/>
  <c r="H21" i="130"/>
  <c r="H23" i="130" s="1"/>
  <c r="I19" i="130"/>
  <c r="I21" i="130"/>
  <c r="I23" i="130" s="1"/>
  <c r="M19" i="130"/>
  <c r="M21" i="130"/>
  <c r="M23" i="130" s="1"/>
  <c r="H141" i="122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39" i="122"/>
  <c r="Q141" i="122" s="1"/>
  <c r="N139" i="122"/>
  <c r="N141" i="122" s="1"/>
  <c r="G21" i="122"/>
  <c r="G115" i="122"/>
  <c r="G117" i="122" s="1"/>
  <c r="O108" i="122"/>
  <c r="O111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G139" i="122"/>
  <c r="G141" i="122" s="1"/>
  <c r="L139" i="122"/>
  <c r="L141" i="122" s="1"/>
  <c r="J139" i="122"/>
  <c r="J141" i="122" s="1"/>
  <c r="M139" i="122"/>
  <c r="M141" i="122" s="1"/>
  <c r="J21" i="122"/>
  <c r="J115" i="122"/>
  <c r="J117" i="122" s="1"/>
  <c r="H108" i="122"/>
  <c r="H111" i="122" s="1"/>
  <c r="H24" i="122"/>
  <c r="H41" i="122" s="1"/>
  <c r="H43" i="122" s="1"/>
  <c r="H51" i="122" s="1"/>
  <c r="S142" i="122"/>
  <c r="I142" i="122"/>
  <c r="R79" i="122"/>
  <c r="F21" i="122"/>
  <c r="R83" i="122" l="1"/>
  <c r="R130" i="122"/>
  <c r="C3" i="142"/>
  <c r="B3" i="142"/>
  <c r="D2" i="145"/>
  <c r="D3" i="142"/>
  <c r="Q83" i="122"/>
  <c r="O142" i="122"/>
  <c r="B2" i="145"/>
  <c r="C2" i="145"/>
  <c r="J142" i="122"/>
  <c r="K142" i="122"/>
  <c r="G142" i="122"/>
  <c r="H142" i="122"/>
  <c r="Q142" i="122"/>
  <c r="R142" i="122"/>
  <c r="N112" i="122"/>
  <c r="I112" i="122"/>
  <c r="J14" i="103"/>
  <c r="Q108" i="122"/>
  <c r="Q111" i="122" s="1"/>
  <c r="Q24" i="122"/>
  <c r="Q41" i="122" s="1"/>
  <c r="Q43" i="122" s="1"/>
  <c r="Q51" i="122" s="1"/>
  <c r="L108" i="122"/>
  <c r="L111" i="122" s="1"/>
  <c r="L24" i="122"/>
  <c r="L41" i="122" s="1"/>
  <c r="L43" i="122" s="1"/>
  <c r="L51" i="122" s="1"/>
  <c r="O112" i="122"/>
  <c r="P142" i="122"/>
  <c r="M142" i="122"/>
  <c r="J108" i="122"/>
  <c r="J111" i="122" s="1"/>
  <c r="J24" i="122"/>
  <c r="J41" i="122" s="1"/>
  <c r="J43" i="122" s="1"/>
  <c r="J51" i="122" s="1"/>
  <c r="G108" i="122"/>
  <c r="G111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N14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31" i="122" l="1"/>
  <c r="M112" i="122"/>
  <c r="E3" i="142"/>
  <c r="F3" i="142"/>
  <c r="H112" i="122"/>
  <c r="Q112" i="122"/>
  <c r="J112" i="122"/>
  <c r="P112" i="122"/>
  <c r="K112" i="122"/>
  <c r="L112" i="122"/>
  <c r="R108" i="122"/>
  <c r="R111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2" i="120"/>
  <c r="P52" i="120" s="1"/>
  <c r="V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4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1" i="120"/>
  <c r="P51" i="120" s="1"/>
  <c r="V51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F33" i="78" l="1"/>
  <c r="N32" i="94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F50" i="120"/>
  <c r="I50" i="120"/>
  <c r="I54" i="120" s="1"/>
  <c r="Q104" i="122"/>
  <c r="G3" i="142"/>
  <c r="K127" i="122"/>
  <c r="M127" i="122"/>
  <c r="R127" i="122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N43" i="91"/>
  <c r="N101" i="122"/>
  <c r="S15" i="94"/>
  <c r="S17" i="94" s="1"/>
  <c r="S31" i="94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M39" i="91"/>
  <c r="M42" i="91" s="1"/>
  <c r="J50" i="120"/>
  <c r="H130" i="122"/>
  <c r="H83" i="122"/>
  <c r="G130" i="122"/>
  <c r="G83" i="122"/>
  <c r="F130" i="122"/>
  <c r="F83" i="122"/>
  <c r="N130" i="122"/>
  <c r="N83" i="122"/>
  <c r="I130" i="122"/>
  <c r="I83" i="122"/>
  <c r="M130" i="122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K21" i="87"/>
  <c r="K63" i="120"/>
  <c r="K70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G19" i="103" l="1"/>
  <c r="I19" i="103" s="1"/>
  <c r="E19" i="103" s="1"/>
  <c r="M104" i="122"/>
  <c r="B3" i="157" s="1"/>
  <c r="O48" i="94"/>
  <c r="O53" i="94" s="1"/>
  <c r="G3" i="157"/>
  <c r="N104" i="122"/>
  <c r="K102" i="122"/>
  <c r="K104" i="122" s="1"/>
  <c r="E20" i="103"/>
  <c r="S17" i="120" s="1"/>
  <c r="V17" i="120" s="1"/>
  <c r="N45" i="91"/>
  <c r="F3" i="157"/>
  <c r="F3" i="143"/>
  <c r="R128" i="122"/>
  <c r="C3" i="143"/>
  <c r="P104" i="122"/>
  <c r="O104" i="122"/>
  <c r="B3" i="143"/>
  <c r="D3" i="143"/>
  <c r="G3" i="143"/>
  <c r="L128" i="122"/>
  <c r="M128" i="122"/>
  <c r="K128" i="122"/>
  <c r="S128" i="122"/>
  <c r="M105" i="122"/>
  <c r="O48" i="91"/>
  <c r="O53" i="91" s="1"/>
  <c r="R105" i="122"/>
  <c r="O128" i="122"/>
  <c r="S105" i="122"/>
  <c r="N128" i="122"/>
  <c r="P126" i="122"/>
  <c r="P127" i="122" s="1"/>
  <c r="S32" i="94"/>
  <c r="S45" i="91"/>
  <c r="N48" i="91"/>
  <c r="N53" i="91"/>
  <c r="R16" i="120"/>
  <c r="R21" i="120" s="1"/>
  <c r="R39" i="120" s="1"/>
  <c r="G13" i="103"/>
  <c r="G14" i="103" s="1"/>
  <c r="G131" i="122"/>
  <c r="R11" i="120"/>
  <c r="M43" i="91"/>
  <c r="M45" i="91" s="1"/>
  <c r="M48" i="91" s="1"/>
  <c r="H131" i="122"/>
  <c r="N131" i="122"/>
  <c r="K130" i="122"/>
  <c r="K83" i="122"/>
  <c r="I131" i="122"/>
  <c r="G101" i="122"/>
  <c r="F101" i="122"/>
  <c r="F104" i="122" s="1"/>
  <c r="M43" i="94"/>
  <c r="M45" i="94" s="1"/>
  <c r="M48" i="94" s="1"/>
  <c r="M53" i="94" s="1"/>
  <c r="I127" i="122"/>
  <c r="G127" i="122"/>
  <c r="H125" i="122"/>
  <c r="H127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2" i="120"/>
  <c r="K75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49" i="120" s="1"/>
  <c r="Q48" i="91"/>
  <c r="Q53" i="91" s="1"/>
  <c r="L105" i="122" l="1"/>
  <c r="E3" i="157"/>
  <c r="C3" i="157"/>
  <c r="D3" i="157"/>
  <c r="G104" i="122"/>
  <c r="I104" i="122"/>
  <c r="E3" i="143"/>
  <c r="O105" i="122"/>
  <c r="P128" i="122"/>
  <c r="Q128" i="122"/>
  <c r="N105" i="122"/>
  <c r="P105" i="122"/>
  <c r="Q105" i="122"/>
  <c r="S9" i="120"/>
  <c r="V9" i="120" s="1"/>
  <c r="I13" i="103"/>
  <c r="G24" i="103"/>
  <c r="G41" i="103" s="1"/>
  <c r="I14" i="103"/>
  <c r="G15" i="103"/>
  <c r="R12" i="120"/>
  <c r="R41" i="120" s="1"/>
  <c r="F49" i="120"/>
  <c r="F54" i="120" s="1"/>
  <c r="O130" i="122"/>
  <c r="O83" i="122"/>
  <c r="L130" i="122"/>
  <c r="L83" i="122"/>
  <c r="J128" i="122"/>
  <c r="G128" i="122"/>
  <c r="H128" i="122"/>
  <c r="I128" i="122"/>
  <c r="M53" i="91"/>
  <c r="K79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49" i="120" l="1"/>
  <c r="R54" i="120" s="1"/>
  <c r="M131" i="122"/>
  <c r="L131" i="122"/>
  <c r="S16" i="120"/>
  <c r="I24" i="103"/>
  <c r="I41" i="103" s="1"/>
  <c r="G43" i="103"/>
  <c r="G46" i="103" s="1"/>
  <c r="G51" i="103" s="1"/>
  <c r="I15" i="103"/>
  <c r="E14" i="103"/>
  <c r="S11" i="120" s="1"/>
  <c r="V11" i="120" s="1"/>
  <c r="P130" i="122"/>
  <c r="P83" i="122"/>
  <c r="O131" i="122"/>
  <c r="J130" i="122"/>
  <c r="J83" i="122"/>
  <c r="J48" i="91"/>
  <c r="J53" i="91" s="1"/>
  <c r="N22" i="87"/>
  <c r="P22" i="87" s="1"/>
  <c r="N18" i="87"/>
  <c r="P18" i="87" s="1"/>
  <c r="N11" i="87"/>
  <c r="P11" i="87" s="1"/>
  <c r="O24" i="87"/>
  <c r="V89" i="120" l="1"/>
  <c r="S21" i="120"/>
  <c r="M59" i="120"/>
  <c r="O58" i="120"/>
  <c r="I43" i="103"/>
  <c r="I46" i="103" s="1"/>
  <c r="I51" i="103" s="1"/>
  <c r="E24" i="103"/>
  <c r="J131" i="122"/>
  <c r="K131" i="122"/>
  <c r="P131" i="122"/>
  <c r="Q131" i="122"/>
  <c r="J10" i="103"/>
  <c r="E10" i="103" s="1"/>
  <c r="P24" i="87"/>
  <c r="P25" i="87" s="1"/>
  <c r="G12" i="126" l="1"/>
  <c r="G18" i="126" s="1"/>
  <c r="S7" i="120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1" i="120"/>
  <c r="O68" i="120"/>
  <c r="M62" i="120"/>
  <c r="M60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49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4" i="120"/>
  <c r="O21" i="120"/>
  <c r="O38" i="120"/>
  <c r="P38" i="120"/>
  <c r="O76" i="120"/>
  <c r="P76" i="120" s="1"/>
  <c r="O77" i="120"/>
  <c r="P77" i="120" s="1"/>
  <c r="O62" i="120"/>
  <c r="P62" i="120" s="1"/>
  <c r="V28" i="120" l="1"/>
  <c r="V62" i="120"/>
  <c r="V76" i="120"/>
  <c r="V77" i="120"/>
  <c r="V21" i="120"/>
  <c r="P21" i="120"/>
  <c r="P39" i="120" s="1"/>
  <c r="P41" i="120" s="1"/>
  <c r="O39" i="120"/>
  <c r="O41" i="120" s="1"/>
  <c r="O61" i="120"/>
  <c r="P61" i="120" s="1"/>
  <c r="O69" i="120"/>
  <c r="P69" i="120" s="1"/>
  <c r="V39" i="120" l="1"/>
  <c r="V41" i="120" s="1"/>
  <c r="V61" i="120"/>
  <c r="V69" i="120"/>
  <c r="O49" i="120"/>
  <c r="P68" i="120"/>
  <c r="O60" i="120"/>
  <c r="P60" i="120" s="1"/>
  <c r="V60" i="120" l="1"/>
  <c r="V68" i="120"/>
  <c r="O59" i="120"/>
  <c r="P59" i="120" s="1"/>
  <c r="O67" i="120"/>
  <c r="P67" i="120" s="1"/>
  <c r="V67" i="120" l="1"/>
  <c r="V59" i="120"/>
  <c r="O66" i="120"/>
  <c r="P66" i="120" s="1"/>
  <c r="V66" i="120" s="1"/>
  <c r="P58" i="120"/>
  <c r="V58" i="120" s="1"/>
  <c r="O63" i="120"/>
  <c r="V70" i="120" l="1"/>
  <c r="V63" i="120"/>
  <c r="P70" i="120"/>
  <c r="O70" i="120"/>
  <c r="O72" i="120" s="1"/>
  <c r="O75" i="120" s="1"/>
  <c r="P63" i="120"/>
  <c r="V72" i="120" l="1"/>
  <c r="V75" i="120" s="1"/>
  <c r="O79" i="120"/>
  <c r="O50" i="120" s="1"/>
  <c r="P72" i="120"/>
  <c r="P75" i="120" s="1"/>
  <c r="V79" i="120" l="1"/>
  <c r="O54" i="120"/>
  <c r="P79" i="120"/>
  <c r="V85" i="120" l="1"/>
  <c r="W79" i="120"/>
  <c r="W83" i="120"/>
  <c r="J54" i="120"/>
  <c r="F12" i="126" l="1"/>
  <c r="H12" i="126" s="1"/>
  <c r="H16" i="126" s="1"/>
  <c r="G54" i="120"/>
  <c r="K49" i="120" l="1"/>
  <c r="P49" i="120" l="1"/>
  <c r="V49" i="120" l="1"/>
  <c r="E54" i="120"/>
  <c r="E81" i="120" s="1"/>
  <c r="K50" i="120"/>
  <c r="K54" i="120" l="1"/>
  <c r="P50" i="120"/>
  <c r="V50" i="120" l="1"/>
  <c r="V54" i="120" s="1"/>
  <c r="V86" i="120" s="1"/>
  <c r="P54" i="120"/>
  <c r="F18" i="126" l="1"/>
  <c r="H18" i="126" s="1"/>
  <c r="H20" i="126" s="1"/>
  <c r="V81" i="120"/>
  <c r="V88" i="120" l="1"/>
  <c r="V90" i="120" s="1"/>
  <c r="H22" i="126"/>
  <c r="H26" i="126" s="1"/>
  <c r="H37" i="126" s="1"/>
  <c r="H38" i="126" s="1"/>
  <c r="K26" i="126" l="1"/>
  <c r="K30" i="126" l="1"/>
  <c r="K37" i="126"/>
  <c r="K38" i="126" s="1"/>
  <c r="H30" i="126"/>
  <c r="H32" i="126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</commentList>
</comments>
</file>

<file path=xl/comments5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6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comments10.xml><?xml version="1.0" encoding="utf-8"?>
<comments xmlns="http://schemas.openxmlformats.org/spreadsheetml/2006/main">
  <authors>
    <author>Liz Andrews</author>
  </authors>
  <commentList>
    <comment ref="O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2009-2015)</t>
        </r>
      </text>
    </comment>
  </commentList>
</comments>
</file>

<file path=xl/sharedStrings.xml><?xml version="1.0" encoding="utf-8"?>
<sst xmlns="http://schemas.openxmlformats.org/spreadsheetml/2006/main" count="2019" uniqueCount="770">
  <si>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</si>
  <si>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</si>
  <si>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</si>
  <si>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</si>
  <si>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</si>
  <si>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</si>
  <si>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</si>
  <si>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</si>
  <si>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</si>
  <si>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</si>
  <si>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</si>
  <si>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</si>
  <si>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</si>
  <si>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</si>
  <si>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</si>
  <si>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</si>
  <si>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</si>
  <si>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</si>
  <si>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</si>
  <si>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</si>
  <si>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</si>
  <si>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</si>
  <si>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</si>
  <si>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</si>
  <si>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</si>
  <si>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</si>
  <si>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</si>
  <si>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</si>
  <si>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</si>
  <si>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</si>
  <si>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</si>
  <si>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</si>
  <si>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</si>
  <si>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</si>
  <si>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</si>
  <si>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</si>
  <si>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</si>
  <si>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</si>
  <si>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</si>
  <si>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</si>
  <si>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</si>
  <si>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</si>
  <si>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</si>
  <si>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</si>
  <si>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</si>
  <si>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</si>
  <si>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</si>
  <si>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</si>
  <si>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</si>
  <si>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</si>
  <si>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</si>
  <si>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</si>
  <si>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</si>
  <si>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</si>
  <si>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</si>
  <si>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</si>
  <si>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</si>
  <si>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</si>
  <si>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</si>
  <si>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</si>
  <si>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</si>
  <si>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</si>
  <si>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</si>
  <si>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</si>
  <si>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</si>
  <si>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</si>
  <si>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</si>
  <si>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</si>
  <si>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</si>
  <si>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</si>
  <si>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</si>
  <si>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</si>
  <si>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</si>
  <si>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</si>
  <si>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</si>
  <si>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</si>
  <si>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</si>
  <si>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</si>
  <si>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</si>
  <si>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</si>
  <si>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</si>
  <si>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</si>
  <si>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</si>
  <si>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</si>
  <si>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</si>
  <si>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</si>
  <si>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</si>
  <si>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</si>
  <si>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</si>
  <si>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</si>
  <si>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</si>
  <si>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</si>
  <si>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</si>
  <si>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</si>
  <si>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</si>
  <si>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</si>
  <si>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</si>
  <si>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</si>
  <si>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</si>
  <si>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</si>
  <si>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</si>
  <si>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</si>
  <si>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</si>
  <si>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</si>
  <si>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</si>
  <si>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</si>
  <si>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</si>
  <si>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</si>
  <si>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</si>
  <si>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</si>
  <si>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</si>
  <si>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</si>
  <si>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</si>
  <si>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</si>
  <si>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</si>
  <si>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</si>
  <si>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</si>
  <si>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</si>
  <si>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</si>
  <si>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</si>
  <si>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</si>
  <si>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</si>
  <si>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</si>
  <si>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</si>
  <si>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</si>
  <si>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</si>
  <si>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</si>
  <si>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</si>
  <si>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</si>
  <si>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</si>
  <si>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</si>
  <si>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</si>
  <si>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</si>
  <si>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</si>
  <si>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</si>
  <si>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</si>
  <si>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</si>
  <si>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</si>
  <si>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</si>
  <si>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</si>
  <si>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</si>
  <si>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</si>
  <si>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</si>
  <si>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</si>
  <si>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</si>
  <si>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</si>
  <si>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</si>
  <si>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</si>
  <si>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</si>
  <si>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</si>
  <si>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</si>
  <si>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</si>
  <si>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</si>
  <si>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</si>
  <si>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</si>
  <si>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</si>
  <si>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</si>
  <si>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</si>
  <si>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</si>
  <si>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</si>
  <si>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</si>
  <si>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</si>
  <si>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</si>
  <si>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</si>
  <si>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</si>
  <si>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</si>
  <si>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</si>
  <si>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</si>
  <si>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</si>
  <si>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</si>
  <si>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</si>
  <si>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</si>
  <si>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</si>
  <si>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</si>
  <si>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</si>
  <si>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</si>
  <si>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</si>
  <si>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</si>
  <si>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</si>
  <si>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</si>
  <si>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</si>
  <si>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</si>
  <si>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</si>
  <si>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</si>
  <si>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</si>
  <si>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</si>
  <si>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</si>
  <si>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</si>
  <si>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</si>
  <si>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</si>
  <si>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</si>
  <si>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</si>
  <si>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</si>
  <si>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</si>
  <si>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</si>
  <si>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</si>
  <si>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</si>
  <si>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</si>
  <si>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</si>
  <si>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</si>
  <si>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</si>
  <si>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</si>
  <si>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</si>
  <si>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</si>
  <si>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</si>
  <si>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</si>
  <si>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</si>
  <si>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</si>
  <si>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</si>
  <si>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</si>
  <si>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</si>
  <si>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</si>
  <si>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</si>
  <si>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</si>
  <si>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</si>
  <si>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</si>
  <si>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</si>
  <si>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</si>
  <si>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</si>
  <si>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</si>
  <si>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</si>
  <si>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</si>
  <si>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</si>
  <si>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</si>
  <si>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</si>
  <si>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</si>
  <si>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</si>
  <si>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</si>
  <si>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</si>
  <si>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</si>
  <si>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</si>
  <si>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</si>
  <si>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</si>
  <si>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</si>
  <si>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</si>
  <si>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</si>
  <si>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</si>
  <si>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</si>
  <si>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</si>
  <si>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</si>
  <si>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</si>
  <si>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</si>
  <si>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</si>
  <si>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</si>
  <si>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</si>
  <si>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</si>
  <si>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</si>
  <si>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</si>
  <si>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</si>
  <si>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</si>
  <si>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</si>
  <si>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</si>
  <si>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</si>
  <si>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</si>
  <si>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</si>
  <si>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</si>
  <si>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</si>
  <si>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</si>
  <si>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</si>
  <si>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</si>
  <si>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</si>
  <si>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</si>
  <si>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</si>
  <si>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</si>
  <si>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</si>
  <si>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</si>
  <si>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</si>
  <si>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</si>
  <si>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</si>
  <si>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</si>
  <si>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</si>
  <si>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</si>
  <si>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</si>
  <si>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</si>
  <si>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</si>
  <si>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</si>
  <si>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</si>
  <si>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</si>
  <si>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</si>
  <si>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</si>
  <si>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</si>
  <si>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</si>
  <si>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</si>
  <si>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</si>
  <si>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</si>
  <si>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</si>
  <si>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</si>
  <si>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</si>
  <si>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</si>
  <si>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</si>
  <si>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</si>
  <si>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</si>
  <si>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</si>
  <si>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</si>
  <si>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</si>
  <si>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</si>
  <si>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</si>
  <si>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</si>
  <si>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</si>
  <si>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</si>
  <si>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</si>
  <si>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</si>
  <si>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</si>
  <si>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</si>
  <si>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</si>
  <si>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</si>
  <si>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</si>
  <si>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</si>
  <si>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</si>
  <si>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</si>
  <si>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</si>
  <si>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</si>
  <si>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</si>
  <si>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</si>
  <si>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</si>
  <si>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</si>
  <si>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</si>
  <si>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</si>
  <si>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</si>
  <si>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</si>
  <si>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</si>
  <si>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</si>
  <si>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</si>
  <si>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</si>
  <si>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</si>
  <si>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</si>
  <si>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</si>
  <si>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</si>
  <si>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</si>
  <si>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</si>
  <si>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</si>
  <si>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</si>
  <si>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</si>
  <si>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</si>
  <si>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</si>
  <si>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</si>
  <si>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</si>
  <si>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</si>
  <si>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</si>
  <si>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</si>
  <si>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</si>
  <si>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</si>
  <si>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</si>
  <si>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</si>
  <si>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</si>
  <si>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</si>
  <si>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</si>
  <si>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</si>
  <si>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</si>
  <si>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</si>
  <si>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</si>
  <si>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</si>
  <si>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</si>
  <si>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</si>
  <si>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</si>
  <si>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</si>
  <si>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</si>
  <si>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</si>
  <si>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</si>
  <si>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</si>
  <si>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</si>
  <si>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</si>
  <si>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</si>
  <si>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</si>
  <si>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</si>
  <si>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</si>
  <si>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</si>
  <si>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</si>
  <si>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</si>
  <si>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</si>
  <si>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</si>
  <si>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</si>
  <si>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</si>
  <si>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</si>
  <si>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</si>
  <si>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</si>
  <si>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</si>
  <si>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</si>
  <si>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</si>
  <si>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</si>
  <si>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</si>
  <si>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</si>
  <si>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</si>
  <si>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</si>
  <si>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</si>
  <si>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</si>
  <si>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</si>
  <si>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</si>
  <si>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</si>
  <si>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</si>
  <si>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</si>
  <si>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</si>
  <si>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</si>
  <si>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</si>
  <si>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</si>
  <si>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</si>
  <si>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</si>
  <si>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</si>
  <si>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</si>
  <si>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</si>
  <si>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</si>
  <si>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</si>
  <si>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</si>
  <si>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</si>
  <si>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</si>
  <si>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</si>
  <si>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</si>
  <si>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</si>
  <si>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</si>
  <si>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</si>
  <si>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</si>
  <si>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</si>
  <si>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</si>
  <si>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</si>
  <si>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</si>
  <si>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</si>
  <si>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</si>
  <si>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</si>
  <si>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</si>
  <si>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</si>
  <si>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</si>
  <si>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</si>
  <si>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</si>
  <si>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</si>
  <si>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</si>
  <si>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</si>
  <si>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</si>
  <si>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</si>
  <si>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</si>
  <si>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</si>
  <si>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</si>
  <si>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</si>
  <si>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</si>
  <si>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</si>
  <si>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</si>
  <si>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</si>
  <si>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</si>
  <si>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</si>
  <si>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</si>
  <si>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</si>
  <si>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</si>
  <si>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</si>
  <si>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</si>
  <si>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</si>
  <si>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</si>
  <si>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</si>
  <si>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</si>
  <si>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</si>
  <si>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</si>
  <si>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</si>
  <si>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</si>
  <si>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</si>
  <si>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</si>
  <si>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</si>
  <si>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</si>
  <si>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</si>
  <si>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</si>
  <si>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</si>
  <si>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</si>
  <si>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</si>
  <si>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</si>
  <si>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</si>
  <si>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</si>
  <si>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</si>
  <si>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</si>
  <si>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</si>
  <si>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</si>
  <si>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</si>
  <si>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</si>
  <si>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</si>
  <si>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</si>
  <si>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</si>
  <si>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</si>
  <si>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</si>
  <si>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</si>
  <si>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</si>
  <si>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</si>
  <si>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</si>
  <si>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</si>
  <si>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</si>
  <si>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</si>
  <si>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</si>
  <si>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</si>
  <si>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</si>
  <si>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</si>
  <si>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</si>
  <si>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</si>
  <si>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</si>
  <si>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</si>
  <si>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</si>
  <si>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</si>
  <si>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</si>
  <si>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</si>
  <si>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</si>
  <si>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</si>
  <si>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</si>
  <si>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</si>
  <si>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</si>
  <si>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</si>
  <si>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</si>
  <si>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</si>
  <si>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</si>
  <si>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</si>
  <si>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</si>
  <si>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</si>
  <si>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</si>
  <si>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</si>
  <si>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</si>
  <si>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</si>
  <si>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</si>
  <si>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</si>
  <si>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</si>
  <si>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</si>
  <si>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</si>
  <si>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</si>
  <si>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</si>
  <si>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</si>
  <si>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</si>
  <si>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</si>
  <si>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</si>
  <si>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</si>
  <si>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</si>
  <si>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</si>
  <si>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</si>
  <si>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</si>
  <si>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</si>
  <si>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</si>
  <si>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</si>
  <si>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</si>
  <si>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</si>
  <si>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</si>
  <si>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</si>
  <si>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</si>
  <si>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</si>
  <si>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</si>
  <si>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</si>
  <si>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</si>
  <si>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</si>
  <si>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</si>
  <si>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</si>
  <si>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</si>
  <si>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</si>
  <si>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</si>
  <si>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</si>
  <si>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</si>
  <si>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</si>
  <si>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</si>
  <si>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</si>
  <si>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</si>
  <si>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</si>
  <si>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</si>
  <si>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</si>
  <si>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</si>
  <si>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</si>
  <si>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</si>
  <si>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</si>
  <si>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</si>
  <si>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</si>
  <si>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</si>
  <si>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</si>
  <si>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</si>
  <si>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</si>
  <si>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</si>
  <si>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</si>
  <si>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</si>
  <si>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</si>
  <si>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</si>
  <si>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</si>
  <si>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</si>
  <si>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</si>
  <si>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</si>
  <si>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</si>
  <si>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</si>
  <si>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</si>
  <si>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</si>
  <si>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</si>
  <si>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</si>
  <si>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</si>
  <si>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</si>
  <si>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</si>
  <si>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</si>
  <si>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</si>
  <si>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</si>
  <si>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</si>
  <si>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</si>
  <si>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</si>
  <si>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Rate (2-year, to 2017)</t>
  </si>
  <si>
    <t>Actual Cost of Capital AMA 09/30/2015</t>
  </si>
  <si>
    <t>Proposed Cost of Capital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</si>
  <si>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</si>
  <si>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</si>
  <si>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</si>
  <si>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</si>
  <si>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</si>
  <si>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</si>
  <si>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</si>
  <si>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</si>
  <si>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</si>
  <si>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</si>
  <si>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</si>
  <si>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</si>
  <si>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</si>
  <si>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</si>
  <si>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</si>
  <si>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</si>
  <si>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</si>
  <si>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</si>
  <si>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</si>
  <si>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</si>
  <si>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</si>
  <si>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</si>
  <si>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</si>
  <si>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</si>
  <si>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</si>
  <si>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</si>
  <si>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</si>
  <si>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</si>
  <si>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</si>
  <si>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</si>
  <si>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</si>
  <si>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</si>
  <si>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</si>
  <si>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</si>
  <si>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</si>
  <si>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</si>
  <si>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</si>
  <si>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</si>
  <si>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</si>
  <si>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</si>
  <si>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</si>
  <si>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</si>
  <si>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</si>
  <si>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</si>
  <si>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</si>
  <si>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</si>
  <si>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</si>
  <si>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</si>
  <si>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</si>
  <si>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</si>
  <si>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</si>
  <si>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</si>
  <si>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</si>
  <si>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</si>
  <si>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</si>
  <si>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</si>
  <si>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</si>
  <si>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</si>
  <si>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</si>
  <si>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</si>
  <si>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</si>
  <si>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</si>
  <si>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</si>
  <si>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</si>
  <si>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</si>
  <si>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</si>
  <si>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</si>
  <si>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</si>
  <si>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</si>
  <si>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</si>
  <si>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</si>
  <si>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</si>
  <si>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</si>
  <si>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</si>
  <si>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Line Number</t>
  </si>
  <si>
    <t xml:space="preserve"> Non-Energy Cost Escalation Amount [G]*[H]=[I]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</si>
  <si>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</si>
  <si>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</si>
  <si>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12ME 12.2015 AMA Escalation Base</t>
  </si>
  <si>
    <t xml:space="preserve">AVISTA </t>
  </si>
  <si>
    <t>Avista Proposed O&amp;M Expense Growth Trend</t>
  </si>
  <si>
    <t xml:space="preserve"> Proposed Cap Structure*</t>
  </si>
  <si>
    <t>*Based on 2017 estimated capital structure and cost of debt.</t>
  </si>
  <si>
    <t>Avista Proposed Based on Commission Order No. 05 Docket, No. UE-150204</t>
  </si>
  <si>
    <r>
      <t>12ME 12.2015 AMA Commission Basis Report Totals</t>
    </r>
    <r>
      <rPr>
        <vertAlign val="superscript"/>
        <sz val="11"/>
        <rFont val="Times New Roman"/>
        <family val="1"/>
      </rPr>
      <t>1</t>
    </r>
  </si>
  <si>
    <t>2015</t>
  </si>
  <si>
    <t>12/31/2015-UPDATED</t>
  </si>
  <si>
    <t>(less) 12.2015 Normalized Net Power Supply  Cost</t>
  </si>
  <si>
    <t>Twelve Months Ended December 31, 2015</t>
  </si>
  <si>
    <t xml:space="preserve">Normalized 2015 </t>
  </si>
  <si>
    <t>Operating Expenses</t>
  </si>
  <si>
    <r>
      <t>Remove November 2015 Storm Expenses</t>
    </r>
    <r>
      <rPr>
        <vertAlign val="superscript"/>
        <sz val="11"/>
        <rFont val="Times New Roman"/>
        <family val="1"/>
      </rPr>
      <t>2</t>
    </r>
  </si>
  <si>
    <t>??</t>
  </si>
  <si>
    <t>Decoupling Deferred Revenue and Provision for Rate Refund</t>
  </si>
  <si>
    <t>REMOVED</t>
  </si>
  <si>
    <t>REVISED</t>
  </si>
  <si>
    <t>ADDED</t>
  </si>
  <si>
    <t>(d)</t>
  </si>
  <si>
    <t>(e)</t>
  </si>
  <si>
    <t>2017 Attrition Results</t>
  </si>
  <si>
    <t>6 Months - 06.2018 Revenue Requirement</t>
  </si>
  <si>
    <t>2018 Rate Base</t>
  </si>
  <si>
    <t>Rate of Return</t>
  </si>
  <si>
    <t>2018 Net Operating Income (at 2016 rates)</t>
  </si>
  <si>
    <t>2018 Rate of Return (at 2016 rates)</t>
  </si>
  <si>
    <t>2018 Net Operating Income Deficiency (Surplus)</t>
  </si>
  <si>
    <t xml:space="preserve">2018 Attrition Revenue Deficiency </t>
  </si>
  <si>
    <t>2018 Total General Business Revenues (at 2016 rates)</t>
  </si>
  <si>
    <t>Attrition-based 2018 revenue requirement</t>
  </si>
  <si>
    <t xml:space="preserve">Percent Revenue Requirement Change </t>
  </si>
  <si>
    <t>(1)</t>
  </si>
  <si>
    <t>Trended 12ME 06.2018 AMA Non-Energy Cost [G]+[I]=[J]</t>
  </si>
  <si>
    <t>(plus) 12ME 06.2018 Pro-Formed Net Energy Cost</t>
  </si>
  <si>
    <t>After Attrition Adj AMI Capital Project (2017)</t>
  </si>
  <si>
    <t>12ME 06.2018 AMA Revenue and Cost [J]+[K]+[L]+ [M]+ [N] = [O]</t>
  </si>
  <si>
    <t>Rate (2.5-year, to 2018 6ME 6/2018)</t>
  </si>
  <si>
    <t>09.2015 TO 2018 WEIGHTED REVENUE GROWTH</t>
  </si>
  <si>
    <t>12ME 2018</t>
  </si>
  <si>
    <t>Rate Case Power Supply Adjustment Pro Forma - 2018 Forecast Loads</t>
  </si>
  <si>
    <t>2018 PF  (12ME 6/2018)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</si>
  <si>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Staff_DR_030 - Attachment G.</t>
    </r>
  </si>
  <si>
    <r>
      <rPr>
        <vertAlign val="superscript"/>
        <sz val="12"/>
        <rFont val="Times New Roman"/>
        <family val="1"/>
      </rPr>
      <t>2</t>
    </r>
    <r>
      <rPr>
        <sz val="11"/>
        <rFont val="Times New Roman"/>
        <family val="1"/>
      </rPr>
      <t>November 2015 Storm expenses were removed for trending purposes and from Escalation Base.</t>
    </r>
  </si>
  <si>
    <r>
      <t>After Attrition Adj. Spokane River Projects (2017)</t>
    </r>
    <r>
      <rPr>
        <vertAlign val="superscript"/>
        <sz val="11"/>
        <rFont val="Times New Roman"/>
        <family val="1"/>
      </rPr>
      <t>4</t>
    </r>
  </si>
  <si>
    <t>(1) November 2015 Storm expenses were removed for trending purposes and from Escalation Base.</t>
  </si>
  <si>
    <t>Excise tax correction identified in UE-160228, 06.15.16 LMA (period 2009-2015)</t>
  </si>
  <si>
    <t>See CBR tab, Excise tax correction identified in UE-160228 06.15.2016 LMA for the period 2009-2015.</t>
  </si>
  <si>
    <t>Taxes  (1)</t>
  </si>
  <si>
    <t>(1) Excise tax correction identifed in UE-160228 for the periods 2009-2015.</t>
  </si>
  <si>
    <t>(3)</t>
  </si>
  <si>
    <t>UPDATED (1)</t>
  </si>
  <si>
    <t>Distribution (1)</t>
  </si>
  <si>
    <t>(1) Corrected excise tax error 2009-2015.</t>
  </si>
  <si>
    <t>Gross Down</t>
  </si>
  <si>
    <t>2018 UPDATED WASHINGTON ELECTRIC ATTRITION STUDY</t>
  </si>
  <si>
    <t>UPDATED 08/1/2016</t>
  </si>
  <si>
    <t xml:space="preserve">Taxes 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</si>
  <si>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Staff_DR_030.</t>
    </r>
  </si>
  <si>
    <t>2018  UPDATED ELECTRIC ATTRITION REVENUE REQUIREMENT</t>
  </si>
  <si>
    <r>
      <rPr>
        <vertAlign val="superscript"/>
        <sz val="12"/>
        <rFont val="Times New Roman"/>
        <family val="1"/>
      </rPr>
      <t>3</t>
    </r>
    <r>
      <rPr>
        <sz val="11"/>
        <rFont val="Times New Roman"/>
        <family val="1"/>
      </rPr>
      <t>Includes Plant Held for Furture Use.</t>
    </r>
  </si>
  <si>
    <t>(1) Corrected excise tax error in 2009-2015.</t>
  </si>
  <si>
    <t>Overall revenue dropped significantly in 2015, appears to be trending downward.</t>
  </si>
  <si>
    <t>November 2016 PF Update</t>
  </si>
  <si>
    <t>Per Avista Rebuttal</t>
  </si>
  <si>
    <t>Nov Update</t>
  </si>
  <si>
    <t>NET</t>
  </si>
  <si>
    <t>CHANGE</t>
  </si>
  <si>
    <t xml:space="preserve">2018 PF </t>
  </si>
  <si>
    <r>
      <t xml:space="preserve">Rate Case Power Supply Adjustment Pro Forma - </t>
    </r>
    <r>
      <rPr>
        <b/>
        <u/>
        <sz val="10"/>
        <rFont val="Arial"/>
        <family val="2"/>
      </rPr>
      <t>2018 Forecast Loads</t>
    </r>
  </si>
  <si>
    <r>
      <t xml:space="preserve">Rate Case Power Supply Adjustment Pro Forma - </t>
    </r>
    <r>
      <rPr>
        <b/>
        <u/>
        <sz val="10"/>
        <rFont val="Arial"/>
        <family val="2"/>
      </rPr>
      <t>09.2015 Historical Loads</t>
    </r>
  </si>
  <si>
    <t>Net Revenue Requirement Impact</t>
  </si>
  <si>
    <t>CF</t>
  </si>
  <si>
    <t>Includes Nov. 2016 Update</t>
  </si>
  <si>
    <t>Change per 2017 Update</t>
  </si>
  <si>
    <t>Incremental Decrease for 2018</t>
  </si>
  <si>
    <t>Both columns updated with Nov. update - same change in expense and revenue should result in no net change to this adjustment column [L], page 4-5.</t>
  </si>
  <si>
    <t>[Column K]</t>
  </si>
  <si>
    <t xml:space="preserve">[Column L] </t>
  </si>
  <si>
    <t>No Change --&gt;</t>
  </si>
  <si>
    <t>(1) The Companys is not requesting a higher increase than its original filing of $38.6 million for 2017.  January to June 2018 (6 months) request is being revised downward to $9 million and 3.4%.</t>
  </si>
  <si>
    <t>[USING HISTRICAL LOADS]</t>
  </si>
  <si>
    <t>[USING FORECASTED LOADS]</t>
  </si>
  <si>
    <t xml:space="preserve">[Adjusts for growth in power supply above historical load] </t>
  </si>
  <si>
    <t>(2) Increase in Transmission Wheeling Revenue totals $915,000 (Washington share) in 2017, no incremental change in 2018.</t>
  </si>
  <si>
    <t>(3) P/T Ratio updated from 64.71% to 65.63% per Avista Rebuttal, inclusion of updated P/T ratio consistent with WUTC Staff.</t>
  </si>
  <si>
    <t>(2)</t>
  </si>
  <si>
    <t>(1)  Revenue Growth adjustment shown in column [L] represents difference in power supply expense using test period loads versus forecasted loads. -  See updated Exh. No. EMA-9, column [L] pages 4 and 5.</t>
  </si>
  <si>
    <t>(1) Washington Power Supply adjustment using forecasted loads.  The difference in power supply expense using test period loads versus forecasted loads, is included in Revenue Growth adjustment shown in column [L] -  See updated Exh. No. EMA-9, column [L] pages 4 and 5.</t>
  </si>
  <si>
    <t>Rebuttal Revenue Requirement</t>
  </si>
  <si>
    <t>Revised Including November Power Supply Update</t>
  </si>
  <si>
    <t>Overall Net Reduction due to November Power Supply Update (2)</t>
  </si>
  <si>
    <t>(2) Includes impact of power supply cost update on columns [K] "Pro Formed Energy Cost" and [L] "Revenue Growth", see pages 4 and 5.</t>
  </si>
  <si>
    <t>Total (18 months)</t>
  </si>
  <si>
    <t>Grossed Down-incremental rev. req. change</t>
  </si>
  <si>
    <t>(4)</t>
  </si>
  <si>
    <t>(5)</t>
  </si>
  <si>
    <t>(6)</t>
  </si>
  <si>
    <r>
      <t xml:space="preserve">(5) OVERALL NET IMPACT to revenue requirement of November Power Supply Update </t>
    </r>
    <r>
      <rPr>
        <u/>
        <sz val="10"/>
        <rFont val="Arial"/>
        <family val="2"/>
      </rPr>
      <t>for 2017 only  (-$.335, million, prior to gross down).</t>
    </r>
    <r>
      <rPr>
        <sz val="10"/>
        <rFont val="Arial"/>
        <family val="2"/>
      </rPr>
      <t xml:space="preserve"> </t>
    </r>
  </si>
  <si>
    <r>
      <t xml:space="preserve">(4) OVERALL NET IMPACT to revenue requirement of November Power Supply Update </t>
    </r>
    <r>
      <rPr>
        <u/>
        <sz val="10"/>
        <rFont val="Arial"/>
        <family val="2"/>
      </rPr>
      <t>over 18 months (-$1.943 million, prior to gross down)</t>
    </r>
    <r>
      <rPr>
        <sz val="10"/>
        <rFont val="Arial"/>
        <family val="2"/>
      </rPr>
      <t xml:space="preserve">. </t>
    </r>
  </si>
  <si>
    <r>
      <t>(6) OVERALL NET IMPACT to revenue requirement of November Power Supply Update for</t>
    </r>
    <r>
      <rPr>
        <u/>
        <sz val="10"/>
        <rFont val="Arial"/>
        <family val="2"/>
      </rPr>
      <t xml:space="preserve"> incremental 6 mos. (Jan 2018-Jul 2018) (-$1.579 million, including gross down)</t>
    </r>
    <r>
      <rPr>
        <sz val="10"/>
        <rFont val="Arial"/>
        <family val="2"/>
      </rPr>
      <t xml:space="preserve">. </t>
    </r>
  </si>
  <si>
    <t>(1) Washington Power Supply adjustment included in updated electric 2018 Attrition Study -  See updated Exh. No. EMA-9, column [K] pages 4 and 5 (updated model provided with Attachment)</t>
  </si>
  <si>
    <t>(1) Washington Power Supply adjustment included in updated electric 2018 Attrition Study -  See updated Exh. No. EMA-9, column [K] pages 4 and 5 (updated model provided with Attachment B pages 17-32)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</si>
</sst>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b/>
      <i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041">
    <xf numFmtId="0" fontId="0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6" fillId="2" borderId="0"/>
    <xf numFmtId="0" fontId="71" fillId="0" borderId="0"/>
    <xf numFmtId="0" fontId="71" fillId="0" borderId="0"/>
    <xf numFmtId="0" fontId="21" fillId="0" borderId="0">
      <alignment readingOrder="1"/>
    </xf>
    <xf numFmtId="0" fontId="71" fillId="0" borderId="0"/>
    <xf numFmtId="0" fontId="21" fillId="0" borderId="0"/>
    <xf numFmtId="0" fontId="21" fillId="0" borderId="0"/>
    <xf numFmtId="0" fontId="21" fillId="0" borderId="0">
      <alignment readingOrder="1"/>
    </xf>
    <xf numFmtId="0" fontId="21" fillId="0" borderId="0"/>
    <xf numFmtId="0" fontId="21" fillId="0" borderId="0">
      <alignment readingOrder="1"/>
    </xf>
    <xf numFmtId="0" fontId="34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79" fillId="0" borderId="0" applyNumberFormat="0" applyFont="0" applyFill="0" applyBorder="0">
      <alignment horizontal="left" indent="4"/>
      <protection locked="0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13">
      <alignment horizontal="center"/>
    </xf>
    <xf numFmtId="3" fontId="80" fillId="0" borderId="0" applyFont="0" applyFill="0" applyBorder="0" applyAlignment="0" applyProtection="0"/>
    <xf numFmtId="0" fontId="80" fillId="6" borderId="0" applyNumberFormat="0" applyFont="0" applyBorder="0" applyAlignment="0" applyProtection="0"/>
    <xf numFmtId="166" fontId="63" fillId="3" borderId="0" applyFont="0" applyFill="0" applyBorder="0" applyAlignment="0" applyProtection="0">
      <alignment wrapText="1"/>
    </xf>
    <xf numFmtId="0" fontId="21" fillId="7" borderId="0" applyNumberFormat="0" applyFont="0" applyFill="0" applyBorder="0" applyAlignment="0" applyProtection="0"/>
    <xf numFmtId="0" fontId="9" fillId="0" borderId="0"/>
    <xf numFmtId="3" fontId="74" fillId="0" borderId="0"/>
    <xf numFmtId="3" fontId="74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8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1" fillId="0" borderId="0">
      <alignment readingOrder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5" fillId="0" borderId="26" applyNumberFormat="0" applyFill="0" applyAlignment="0" applyProtection="0"/>
    <xf numFmtId="0" fontId="95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7" fillId="10" borderId="0" applyNumberFormat="0" applyBorder="0" applyAlignment="0" applyProtection="0"/>
    <xf numFmtId="0" fontId="98" fillId="11" borderId="0" applyNumberFormat="0" applyBorder="0" applyAlignment="0" applyProtection="0"/>
    <xf numFmtId="0" fontId="99" fillId="12" borderId="27" applyNumberFormat="0" applyAlignment="0" applyProtection="0"/>
    <xf numFmtId="0" fontId="100" fillId="13" borderId="28" applyNumberFormat="0" applyAlignment="0" applyProtection="0"/>
    <xf numFmtId="0" fontId="101" fillId="13" borderId="27" applyNumberFormat="0" applyAlignment="0" applyProtection="0"/>
    <xf numFmtId="0" fontId="102" fillId="0" borderId="29" applyNumberFormat="0" applyFill="0" applyAlignment="0" applyProtection="0"/>
    <xf numFmtId="0" fontId="103" fillId="14" borderId="30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32" applyNumberFormat="0" applyFill="0" applyAlignment="0" applyProtection="0"/>
    <xf numFmtId="0" fontId="107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07" fillId="19" borderId="0" applyNumberFormat="0" applyBorder="0" applyAlignment="0" applyProtection="0"/>
    <xf numFmtId="0" fontId="107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07" fillId="23" borderId="0" applyNumberFormat="0" applyBorder="0" applyAlignment="0" applyProtection="0"/>
    <xf numFmtId="0" fontId="107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07" fillId="27" borderId="0" applyNumberFormat="0" applyBorder="0" applyAlignment="0" applyProtection="0"/>
    <xf numFmtId="0" fontId="107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07" fillId="31" borderId="0" applyNumberFormat="0" applyBorder="0" applyAlignment="0" applyProtection="0"/>
    <xf numFmtId="0" fontId="107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107" fillId="39" borderId="0" applyNumberFormat="0" applyBorder="0" applyAlignment="0" applyProtection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63" fillId="0" borderId="0"/>
    <xf numFmtId="0" fontId="40" fillId="0" borderId="0"/>
    <xf numFmtId="0" fontId="63" fillId="0" borderId="0"/>
    <xf numFmtId="0" fontId="21" fillId="0" borderId="0"/>
    <xf numFmtId="0" fontId="108" fillId="0" borderId="0"/>
    <xf numFmtId="0" fontId="21" fillId="0" borderId="0"/>
    <xf numFmtId="9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9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3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9" fontId="2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21" fillId="41" borderId="0" applyFont="0" applyFill="0" applyBorder="0" applyAlignment="0" applyProtection="0"/>
    <xf numFmtId="5" fontId="21" fillId="41" borderId="0" applyFont="0" applyFill="0" applyBorder="0" applyAlignment="0" applyProtection="0"/>
    <xf numFmtId="0" fontId="21" fillId="41" borderId="0" applyFont="0" applyFill="0" applyBorder="0" applyAlignment="0" applyProtection="0"/>
    <xf numFmtId="2" fontId="21" fillId="41" borderId="0" applyFont="0" applyFill="0" applyBorder="0" applyAlignment="0" applyProtection="0"/>
    <xf numFmtId="41" fontId="110" fillId="3" borderId="34">
      <alignment horizontal="left"/>
      <protection locked="0"/>
    </xf>
    <xf numFmtId="0" fontId="40" fillId="0" borderId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74" fillId="0" borderId="0"/>
    <xf numFmtId="9" fontId="34" fillId="0" borderId="0" applyFont="0" applyFill="0" applyBorder="0" applyAlignment="0" applyProtection="0"/>
    <xf numFmtId="0" fontId="34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74" fillId="0" borderId="0"/>
    <xf numFmtId="0" fontId="74" fillId="0" borderId="0"/>
    <xf numFmtId="44" fontId="21" fillId="0" borderId="0" applyFont="0" applyFill="0" applyBorder="0" applyAlignment="0" applyProtection="0"/>
    <xf numFmtId="0" fontId="5" fillId="0" borderId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21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0" fontId="3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4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4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3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/>
    <xf numFmtId="0" fontId="21" fillId="0" borderId="0"/>
    <xf numFmtId="0" fontId="74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9" fontId="34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9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43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4" fillId="0" borderId="0"/>
    <xf numFmtId="0" fontId="40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3" fontId="34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0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0" borderId="0"/>
    <xf numFmtId="9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40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4" fillId="0" borderId="0"/>
    <xf numFmtId="44" fontId="40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4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4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44" fontId="40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43" fontId="40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43" fontId="21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14" fillId="0" borderId="0"/>
    <xf numFmtId="44" fontId="21" fillId="0" borderId="0" applyFont="0" applyFill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>
      <alignment readingOrder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74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0"/>
    <xf numFmtId="3" fontId="74" fillId="0" borderId="0"/>
    <xf numFmtId="0" fontId="115" fillId="0" borderId="26" applyNumberFormat="0" applyFill="0" applyAlignment="0" applyProtection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116" fillId="0" borderId="0" applyBorder="0">
      <alignment horizontal="centerContinuous"/>
    </xf>
    <xf numFmtId="0" fontId="117" fillId="0" borderId="0" applyBorder="0">
      <alignment horizontal="centerContinuous"/>
    </xf>
    <xf numFmtId="0" fontId="118" fillId="42" borderId="0">
      <alignment horizontal="right"/>
    </xf>
    <xf numFmtId="0" fontId="117" fillId="42" borderId="33"/>
    <xf numFmtId="44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19" fillId="43" borderId="0">
      <alignment horizontal="left"/>
    </xf>
    <xf numFmtId="0" fontId="120" fillId="43" borderId="0">
      <alignment horizontal="right"/>
    </xf>
    <xf numFmtId="0" fontId="120" fillId="43" borderId="0">
      <alignment horizontal="center"/>
    </xf>
    <xf numFmtId="0" fontId="120" fillId="43" borderId="0">
      <alignment horizontal="right"/>
    </xf>
    <xf numFmtId="0" fontId="121" fillId="43" borderId="0">
      <alignment horizontal="left"/>
    </xf>
    <xf numFmtId="41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22" borderId="0" applyNumberFormat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19" fillId="43" borderId="0">
      <alignment horizontal="left"/>
    </xf>
    <xf numFmtId="0" fontId="119" fillId="43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0" fontId="67" fillId="42" borderId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9" fillId="43" borderId="0">
      <alignment horizontal="center"/>
    </xf>
    <xf numFmtId="49" fontId="123" fillId="43" borderId="0">
      <alignment horizontal="center"/>
    </xf>
    <xf numFmtId="0" fontId="120" fillId="43" borderId="0">
      <alignment horizontal="center"/>
    </xf>
    <xf numFmtId="0" fontId="120" fillId="43" borderId="0">
      <alignment horizontal="centerContinuous"/>
    </xf>
    <xf numFmtId="0" fontId="124" fillId="43" borderId="0">
      <alignment horizontal="left"/>
    </xf>
    <xf numFmtId="49" fontId="124" fillId="43" borderId="0">
      <alignment horizontal="center"/>
    </xf>
    <xf numFmtId="0" fontId="119" fillId="43" borderId="0">
      <alignment horizontal="left"/>
    </xf>
    <xf numFmtId="49" fontId="124" fillId="43" borderId="0">
      <alignment horizontal="left"/>
    </xf>
    <xf numFmtId="0" fontId="119" fillId="43" borderId="0">
      <alignment horizontal="centerContinuous"/>
    </xf>
    <xf numFmtId="0" fontId="119" fillId="43" borderId="0">
      <alignment horizontal="right"/>
    </xf>
    <xf numFmtId="49" fontId="119" fillId="43" borderId="0">
      <alignment horizontal="left"/>
    </xf>
    <xf numFmtId="0" fontId="120" fillId="43" borderId="0">
      <alignment horizontal="right"/>
    </xf>
    <xf numFmtId="0" fontId="124" fillId="44" borderId="0">
      <alignment horizontal="center"/>
    </xf>
    <xf numFmtId="0" fontId="125" fillId="44" borderId="0">
      <alignment horizontal="center"/>
    </xf>
    <xf numFmtId="0" fontId="126" fillId="43" borderId="0">
      <alignment horizontal="center"/>
    </xf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5" fillId="0" borderId="26" applyNumberFormat="0" applyFill="0" applyAlignment="0" applyProtection="0"/>
    <xf numFmtId="43" fontId="5" fillId="0" borderId="0" applyFont="0" applyFill="0" applyBorder="0" applyAlignment="0" applyProtection="0"/>
    <xf numFmtId="186" fontId="40" fillId="40" borderId="0" applyFont="0" applyFill="0" applyBorder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0" fontId="64" fillId="0" borderId="0">
      <alignment vertical="top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16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16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16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16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6" fillId="4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6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16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6" fillId="5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16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16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6" fillId="5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55" borderId="0" applyNumberFormat="0" applyBorder="0" applyAlignment="0" applyProtection="0"/>
    <xf numFmtId="0" fontId="127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27" fillId="52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53" borderId="0" applyNumberFormat="0" applyBorder="0" applyAlignment="0" applyProtection="0"/>
    <xf numFmtId="0" fontId="127" fillId="53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56" borderId="0" applyNumberFormat="0" applyBorder="0" applyAlignment="0" applyProtection="0"/>
    <xf numFmtId="0" fontId="127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27" fillId="57" borderId="0" applyNumberFormat="0" applyBorder="0" applyAlignment="0" applyProtection="0"/>
    <xf numFmtId="0" fontId="107" fillId="39" borderId="0" applyNumberFormat="0" applyBorder="0" applyAlignment="0" applyProtection="0"/>
    <xf numFmtId="0" fontId="107" fillId="39" borderId="0" applyNumberFormat="0" applyBorder="0" applyAlignment="0" applyProtection="0"/>
    <xf numFmtId="0" fontId="107" fillId="39" borderId="0" applyNumberFormat="0" applyBorder="0" applyAlignment="0" applyProtection="0"/>
    <xf numFmtId="0" fontId="107" fillId="58" borderId="0" applyNumberFormat="0" applyBorder="0" applyAlignment="0" applyProtection="0"/>
    <xf numFmtId="0" fontId="127" fillId="58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59" borderId="0" applyNumberFormat="0" applyBorder="0" applyAlignment="0" applyProtection="0"/>
    <xf numFmtId="0" fontId="127" fillId="5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60" borderId="0" applyNumberFormat="0" applyBorder="0" applyAlignment="0" applyProtection="0"/>
    <xf numFmtId="0" fontId="127" fillId="60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61" borderId="0" applyNumberFormat="0" applyBorder="0" applyAlignment="0" applyProtection="0"/>
    <xf numFmtId="0" fontId="127" fillId="61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56" borderId="0" applyNumberFormat="0" applyBorder="0" applyAlignment="0" applyProtection="0"/>
    <xf numFmtId="0" fontId="127" fillId="56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27" fillId="57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27" fillId="62" borderId="0" applyNumberFormat="0" applyBorder="0" applyAlignment="0" applyProtection="0"/>
    <xf numFmtId="189" fontId="128" fillId="63" borderId="0" applyNumberFormat="0" applyBorder="0" applyAlignment="0" applyProtection="0"/>
    <xf numFmtId="189" fontId="27" fillId="4" borderId="0" applyNumberFormat="0" applyBorder="0" applyAlignment="0" applyProtection="0"/>
    <xf numFmtId="189" fontId="27" fillId="4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129" fillId="10" borderId="0" applyNumberFormat="0" applyBorder="0" applyAlignment="0" applyProtection="0"/>
    <xf numFmtId="0" fontId="130" fillId="46" borderId="0" applyNumberFormat="0" applyBorder="0" applyAlignment="0" applyProtection="0"/>
    <xf numFmtId="0" fontId="40" fillId="0" borderId="0" applyFill="0" applyBorder="0" applyAlignment="0" applyProtection="0"/>
    <xf numFmtId="0" fontId="101" fillId="13" borderId="27" applyNumberFormat="0" applyAlignment="0" applyProtection="0"/>
    <xf numFmtId="0" fontId="101" fillId="13" borderId="27" applyNumberFormat="0" applyAlignment="0" applyProtection="0"/>
    <xf numFmtId="0" fontId="101" fillId="13" borderId="27" applyNumberFormat="0" applyAlignment="0" applyProtection="0"/>
    <xf numFmtId="0" fontId="101" fillId="64" borderId="27" applyNumberFormat="0" applyAlignment="0" applyProtection="0"/>
    <xf numFmtId="0" fontId="131" fillId="64" borderId="35" applyNumberFormat="0" applyAlignment="0" applyProtection="0"/>
    <xf numFmtId="0" fontId="132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/>
      <protection locked="0"/>
    </xf>
    <xf numFmtId="0" fontId="132" fillId="0" borderId="0" applyFill="0" applyBorder="0" applyProtection="0">
      <alignment horizontal="center" vertical="center"/>
    </xf>
    <xf numFmtId="0" fontId="103" fillId="14" borderId="30" applyNumberFormat="0" applyAlignment="0" applyProtection="0"/>
    <xf numFmtId="0" fontId="103" fillId="14" borderId="30" applyNumberFormat="0" applyAlignment="0" applyProtection="0"/>
    <xf numFmtId="0" fontId="103" fillId="14" borderId="30" applyNumberFormat="0" applyAlignment="0" applyProtection="0"/>
    <xf numFmtId="0" fontId="133" fillId="65" borderId="36" applyNumberFormat="0" applyAlignment="0" applyProtection="0"/>
    <xf numFmtId="0" fontId="134" fillId="0" borderId="13">
      <alignment horizontal="center"/>
    </xf>
    <xf numFmtId="190" fontId="135" fillId="0" borderId="0" applyFont="0" applyFill="0" applyBorder="0" applyAlignment="0" applyProtection="0">
      <alignment horizontal="right"/>
    </xf>
    <xf numFmtId="191" fontId="22" fillId="0" borderId="0" applyFont="0" applyFill="0" applyBorder="0" applyAlignment="0" applyProtection="0"/>
    <xf numFmtId="192" fontId="136" fillId="0" borderId="0" applyFont="0" applyFill="0" applyBorder="0" applyAlignment="0" applyProtection="0"/>
    <xf numFmtId="193" fontId="1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22" fillId="0" borderId="0">
      <protection locked="0"/>
    </xf>
    <xf numFmtId="0" fontId="139" fillId="0" borderId="0" applyFill="0" applyBorder="0" applyAlignment="0" applyProtection="0"/>
    <xf numFmtId="0" fontId="111" fillId="0" borderId="0" applyFill="0" applyBorder="0" applyAlignment="0" applyProtection="0">
      <protection locked="0"/>
    </xf>
    <xf numFmtId="0" fontId="139" fillId="0" borderId="0" applyFill="0" applyBorder="0" applyAlignment="0" applyProtection="0"/>
    <xf numFmtId="196" fontId="136" fillId="0" borderId="0" applyFont="0" applyFill="0" applyBorder="0" applyAlignment="0" applyProtection="0"/>
    <xf numFmtId="197" fontId="136" fillId="0" borderId="0" applyFont="0" applyFill="0" applyBorder="0" applyAlignment="0" applyProtection="0"/>
    <xf numFmtId="198" fontId="1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9" fontId="22" fillId="0" borderId="0">
      <protection locked="0"/>
    </xf>
    <xf numFmtId="188" fontId="140" fillId="0" borderId="0" applyFont="0" applyFill="0" applyBorder="0" applyAlignment="0" applyProtection="0"/>
    <xf numFmtId="189" fontId="141" fillId="0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00" fontId="143" fillId="0" borderId="0"/>
    <xf numFmtId="201" fontId="143" fillId="0" borderId="0"/>
    <xf numFmtId="166" fontId="143" fillId="0" borderId="0"/>
    <xf numFmtId="201" fontId="143" fillId="0" borderId="0"/>
    <xf numFmtId="202" fontId="143" fillId="0" borderId="0"/>
    <xf numFmtId="202" fontId="143" fillId="0" borderId="0"/>
    <xf numFmtId="200" fontId="143" fillId="0" borderId="0"/>
    <xf numFmtId="203" fontId="143" fillId="0" borderId="0"/>
    <xf numFmtId="204" fontId="143" fillId="0" borderId="0"/>
    <xf numFmtId="205" fontId="143" fillId="0" borderId="0"/>
    <xf numFmtId="206" fontId="143" fillId="0" borderId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44" fillId="47" borderId="0" applyNumberFormat="0" applyBorder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145" fillId="0" borderId="37" applyNumberFormat="0" applyFill="0" applyAlignment="0" applyProtection="0"/>
    <xf numFmtId="0" fontId="146" fillId="0" borderId="37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147" fillId="0" borderId="25" applyNumberFormat="0" applyFill="0" applyAlignment="0" applyProtection="0"/>
    <xf numFmtId="0" fontId="148" fillId="0" borderId="38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149" fillId="0" borderId="39" applyNumberFormat="0" applyFill="0" applyAlignment="0" applyProtection="0"/>
    <xf numFmtId="0" fontId="150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8" fillId="0" borderId="0" applyFill="0" applyAlignment="0" applyProtection="0"/>
    <xf numFmtId="0" fontId="43" fillId="0" borderId="0" applyFill="0" applyAlignment="0" applyProtection="0">
      <protection locked="0"/>
    </xf>
    <xf numFmtId="0" fontId="28" fillId="0" borderId="0" applyFill="0" applyAlignment="0" applyProtection="0"/>
    <xf numFmtId="0" fontId="28" fillId="0" borderId="1" applyFill="0" applyAlignment="0" applyProtection="0"/>
    <xf numFmtId="0" fontId="43" fillId="0" borderId="1" applyFill="0" applyAlignment="0" applyProtection="0">
      <protection locked="0"/>
    </xf>
    <xf numFmtId="0" fontId="28" fillId="0" borderId="1" applyFill="0" applyAlignment="0" applyProtection="0"/>
    <xf numFmtId="0" fontId="43" fillId="0" borderId="0" applyFill="0" applyAlignment="0" applyProtection="0"/>
    <xf numFmtId="189" fontId="151" fillId="42" borderId="0" applyNumberFormat="0" applyBorder="0" applyAlignment="0" applyProtection="0"/>
    <xf numFmtId="0" fontId="99" fillId="12" borderId="27" applyNumberFormat="0" applyAlignment="0" applyProtection="0"/>
    <xf numFmtId="0" fontId="99" fillId="12" borderId="27" applyNumberFormat="0" applyAlignment="0" applyProtection="0"/>
    <xf numFmtId="0" fontId="99" fillId="12" borderId="27" applyNumberFormat="0" applyAlignment="0" applyProtection="0"/>
    <xf numFmtId="0" fontId="152" fillId="50" borderId="35" applyNumberFormat="0" applyAlignment="0" applyProtection="0"/>
    <xf numFmtId="189" fontId="27" fillId="3" borderId="0" applyNumberFormat="0" applyBorder="0" applyAlignment="0" applyProtection="0"/>
    <xf numFmtId="189" fontId="27" fillId="3" borderId="0" applyNumberFormat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3" fillId="0" borderId="40" applyNumberFormat="0" applyFill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154" fillId="66" borderId="0" applyNumberFormat="0" applyBorder="0" applyAlignment="0" applyProtection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189" fontId="21" fillId="0" borderId="0"/>
    <xf numFmtId="0" fontId="113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0" fontId="21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5" fillId="0" borderId="0"/>
    <xf numFmtId="0" fontId="21" fillId="0" borderId="0"/>
    <xf numFmtId="0" fontId="64" fillId="0" borderId="0">
      <alignment vertical="top"/>
    </xf>
    <xf numFmtId="0" fontId="21" fillId="0" borderId="0"/>
    <xf numFmtId="0" fontId="21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189" fontId="74" fillId="0" borderId="0"/>
    <xf numFmtId="189" fontId="74" fillId="0" borderId="0"/>
    <xf numFmtId="0" fontId="64" fillId="0" borderId="0">
      <alignment vertical="top"/>
    </xf>
    <xf numFmtId="189" fontId="74" fillId="0" borderId="0"/>
    <xf numFmtId="189" fontId="74" fillId="0" borderId="0"/>
    <xf numFmtId="0" fontId="21" fillId="0" borderId="0"/>
    <xf numFmtId="0" fontId="5" fillId="0" borderId="0"/>
    <xf numFmtId="0" fontId="74" fillId="0" borderId="0"/>
    <xf numFmtId="0" fontId="64" fillId="0" borderId="0">
      <alignment vertical="top"/>
    </xf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16" fillId="15" borderId="31" applyNumberFormat="0" applyFont="0" applyAlignment="0" applyProtection="0"/>
    <xf numFmtId="0" fontId="21" fillId="67" borderId="41" applyNumberFormat="0" applyFont="0" applyAlignment="0" applyProtection="0"/>
    <xf numFmtId="0" fontId="5" fillId="15" borderId="31" applyNumberFormat="0" applyFont="0" applyAlignment="0" applyProtection="0"/>
    <xf numFmtId="0" fontId="100" fillId="13" borderId="28" applyNumberFormat="0" applyAlignment="0" applyProtection="0"/>
    <xf numFmtId="0" fontId="100" fillId="13" borderId="28" applyNumberFormat="0" applyAlignment="0" applyProtection="0"/>
    <xf numFmtId="0" fontId="100" fillId="13" borderId="28" applyNumberFormat="0" applyAlignment="0" applyProtection="0"/>
    <xf numFmtId="0" fontId="100" fillId="64" borderId="28" applyNumberFormat="0" applyAlignment="0" applyProtection="0"/>
    <xf numFmtId="0" fontId="156" fillId="64" borderId="42" applyNumberFormat="0" applyAlignment="0" applyProtection="0"/>
    <xf numFmtId="189" fontId="21" fillId="40" borderId="0" applyNumberFormat="0" applyBorder="0" applyAlignment="0" applyProtection="0"/>
    <xf numFmtId="189" fontId="21" fillId="40" borderId="0" applyNumberFormat="0" applyBorder="0" applyAlignment="0" applyProtection="0"/>
    <xf numFmtId="207" fontId="136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13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136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136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128" fillId="63" borderId="0" applyNumberFormat="0" applyBorder="0" applyAlignment="0" applyProtection="0"/>
    <xf numFmtId="0" fontId="157" fillId="0" borderId="0">
      <alignment horizontal="right"/>
    </xf>
    <xf numFmtId="0" fontId="158" fillId="0" borderId="0">
      <alignment horizontal="right"/>
    </xf>
    <xf numFmtId="0" fontId="143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64" fillId="0" borderId="0" applyNumberFormat="0" applyBorder="0" applyAlignment="0"/>
    <xf numFmtId="189" fontId="64" fillId="0" borderId="0" applyNumberFormat="0" applyBorder="0" applyAlignment="0"/>
    <xf numFmtId="0" fontId="143" fillId="0" borderId="0"/>
    <xf numFmtId="189" fontId="64" fillId="0" borderId="0" applyNumberFormat="0" applyBorder="0" applyAlignment="0"/>
    <xf numFmtId="0" fontId="160" fillId="0" borderId="0"/>
    <xf numFmtId="0" fontId="161" fillId="0" borderId="0" applyNumberFormat="0" applyBorder="0" applyAlignment="0"/>
    <xf numFmtId="0" fontId="161" fillId="0" borderId="0" applyNumberFormat="0" applyBorder="0" applyAlignment="0"/>
    <xf numFmtId="0" fontId="160" fillId="0" borderId="0"/>
    <xf numFmtId="0" fontId="162" fillId="0" borderId="0"/>
    <xf numFmtId="189" fontId="163" fillId="0" borderId="0"/>
    <xf numFmtId="0" fontId="164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164" fillId="0" borderId="0"/>
    <xf numFmtId="0" fontId="166" fillId="0" borderId="0" applyNumberFormat="0" applyBorder="0" applyAlignment="0"/>
    <xf numFmtId="0" fontId="167" fillId="0" borderId="0"/>
    <xf numFmtId="189" fontId="168" fillId="0" borderId="0"/>
    <xf numFmtId="0" fontId="169" fillId="0" borderId="0"/>
    <xf numFmtId="0" fontId="165" fillId="68" borderId="0" applyNumberFormat="0" applyBorder="0" applyAlignment="0"/>
    <xf numFmtId="0" fontId="170" fillId="0" borderId="0"/>
    <xf numFmtId="0" fontId="171" fillId="0" borderId="0"/>
    <xf numFmtId="0" fontId="172" fillId="0" borderId="0"/>
    <xf numFmtId="0" fontId="171" fillId="69" borderId="0"/>
    <xf numFmtId="0" fontId="92" fillId="0" borderId="0" applyNumberFormat="0" applyFill="0" applyBorder="0" applyAlignment="0" applyProtection="0"/>
    <xf numFmtId="0" fontId="173" fillId="70" borderId="43" applyNumberFormat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3" fillId="70" borderId="44">
      <alignment horizontal="left"/>
    </xf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45" applyNumberFormat="0" applyFill="0" applyAlignment="0" applyProtection="0"/>
    <xf numFmtId="0" fontId="176" fillId="0" borderId="45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89" fontId="28" fillId="71" borderId="0" applyNumberFormat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3" fontId="22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40" fillId="0" borderId="0" applyFont="0" applyFill="0" applyBorder="0" applyAlignment="0" applyProtection="0">
      <alignment horizontal="right"/>
    </xf>
    <xf numFmtId="3" fontId="74" fillId="0" borderId="0"/>
    <xf numFmtId="0" fontId="115" fillId="0" borderId="26" applyNumberFormat="0" applyFill="0" applyAlignment="0" applyProtection="0"/>
    <xf numFmtId="3" fontId="74" fillId="0" borderId="0"/>
    <xf numFmtId="3" fontId="74" fillId="0" borderId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5" fillId="0" borderId="26" applyNumberFormat="0" applyFill="0" applyAlignment="0" applyProtection="0"/>
    <xf numFmtId="0" fontId="7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56" fillId="64" borderId="42" applyNumberFormat="0" applyAlignment="0" applyProtection="0"/>
    <xf numFmtId="0" fontId="131" fillId="64" borderId="35" applyNumberFormat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31" fillId="64" borderId="35" applyNumberFormat="0" applyAlignment="0" applyProtection="0"/>
    <xf numFmtId="43" fontId="74" fillId="0" borderId="0" applyFont="0" applyFill="0" applyBorder="0" applyAlignment="0" applyProtection="0"/>
    <xf numFmtId="0" fontId="21" fillId="67" borderId="41" applyNumberFormat="0" applyFont="0" applyAlignment="0" applyProtection="0"/>
    <xf numFmtId="9" fontId="74" fillId="0" borderId="0" applyFont="0" applyFill="0" applyBorder="0" applyAlignment="0" applyProtection="0"/>
    <xf numFmtId="0" fontId="176" fillId="0" borderId="45" applyNumberFormat="0" applyFill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76" fillId="0" borderId="45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31" fillId="64" borderId="35" applyNumberFormat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2" fillId="50" borderId="35" applyNumberFormat="0" applyAlignment="0" applyProtection="0"/>
    <xf numFmtId="0" fontId="152" fillId="50" borderId="35" applyNumberFormat="0" applyAlignment="0" applyProtection="0"/>
    <xf numFmtId="0" fontId="152" fillId="50" borderId="35" applyNumberFormat="0" applyAlignment="0" applyProtection="0"/>
    <xf numFmtId="0" fontId="21" fillId="67" borderId="41" applyNumberFormat="0" applyFont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7" borderId="41" applyNumberFormat="0" applyFont="0" applyAlignment="0" applyProtection="0"/>
    <xf numFmtId="0" fontId="156" fillId="64" borderId="42" applyNumberFormat="0" applyAlignment="0" applyProtection="0"/>
    <xf numFmtId="44" fontId="74" fillId="0" borderId="0" applyFont="0" applyFill="0" applyBorder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76" fillId="0" borderId="45" applyNumberFormat="0" applyFill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7" borderId="41" applyNumberFormat="0" applyFont="0" applyAlignment="0" applyProtection="0"/>
    <xf numFmtId="0" fontId="156" fillId="64" borderId="42" applyNumberFormat="0" applyAlignment="0" applyProtection="0"/>
    <xf numFmtId="0" fontId="131" fillId="64" borderId="35" applyNumberFormat="0" applyAlignment="0" applyProtection="0"/>
    <xf numFmtId="9" fontId="74" fillId="0" borderId="0" applyFont="0" applyFill="0" applyBorder="0" applyAlignment="0" applyProtection="0"/>
    <xf numFmtId="0" fontId="156" fillId="64" borderId="42" applyNumberFormat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06" fillId="0" borderId="45" applyNumberFormat="0" applyFill="0" applyAlignment="0" applyProtection="0"/>
    <xf numFmtId="0" fontId="17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2" fillId="50" borderId="35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6" fillId="0" borderId="45" applyNumberFormat="0" applyFill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67" borderId="41" applyNumberFormat="0" applyFont="0" applyAlignment="0" applyProtection="0"/>
    <xf numFmtId="0" fontId="156" fillId="64" borderId="42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6" fillId="0" borderId="4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1" fillId="64" borderId="35" applyNumberFormat="0" applyAlignment="0" applyProtection="0"/>
    <xf numFmtId="0" fontId="176" fillId="0" borderId="45" applyNumberFormat="0" applyFill="0" applyAlignment="0" applyProtection="0"/>
    <xf numFmtId="0" fontId="176" fillId="0" borderId="45" applyNumberFormat="0" applyFill="0" applyAlignment="0" applyProtection="0"/>
    <xf numFmtId="0" fontId="131" fillId="64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2" fillId="50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7" borderId="4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7" borderId="4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7" borderId="41" applyNumberFormat="0" applyFont="0" applyAlignment="0" applyProtection="0"/>
    <xf numFmtId="0" fontId="131" fillId="64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2" fillId="50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67" borderId="4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6" fillId="0" borderId="45" applyNumberFormat="0" applyFill="0" applyAlignment="0" applyProtection="0"/>
    <xf numFmtId="0" fontId="156" fillId="64" borderId="42" applyNumberFormat="0" applyAlignment="0" applyProtection="0"/>
    <xf numFmtId="0" fontId="156" fillId="64" borderId="42" applyNumberFormat="0" applyAlignment="0" applyProtection="0"/>
    <xf numFmtId="0" fontId="176" fillId="0" borderId="45" applyNumberFormat="0" applyFill="0" applyAlignment="0" applyProtection="0"/>
    <xf numFmtId="0" fontId="106" fillId="0" borderId="45" applyNumberFormat="0" applyFill="0" applyAlignment="0" applyProtection="0"/>
    <xf numFmtId="0" fontId="156" fillId="64" borderId="42" applyNumberFormat="0" applyAlignment="0" applyProtection="0"/>
    <xf numFmtId="0" fontId="152" fillId="50" borderId="35" applyNumberFormat="0" applyAlignment="0" applyProtection="0"/>
    <xf numFmtId="0" fontId="152" fillId="50" borderId="35" applyNumberFormat="0" applyAlignment="0" applyProtection="0"/>
    <xf numFmtId="0" fontId="131" fillId="64" borderId="35" applyNumberFormat="0" applyAlignment="0" applyProtection="0"/>
    <xf numFmtId="0" fontId="156" fillId="64" borderId="42" applyNumberFormat="0" applyAlignment="0" applyProtection="0"/>
    <xf numFmtId="0" fontId="152" fillId="50" borderId="35" applyNumberFormat="0" applyAlignment="0" applyProtection="0"/>
    <xf numFmtId="0" fontId="131" fillId="64" borderId="35" applyNumberFormat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39" fontId="178" fillId="0" borderId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79" fillId="0" borderId="0"/>
    <xf numFmtId="44" fontId="179" fillId="0" borderId="0" applyFont="0" applyFill="0" applyBorder="0" applyAlignment="0" applyProtection="0"/>
    <xf numFmtId="43" fontId="179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2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5" fillId="0" borderId="0"/>
    <xf numFmtId="0" fontId="74" fillId="0" borderId="0"/>
    <xf numFmtId="0" fontId="5" fillId="0" borderId="0"/>
    <xf numFmtId="10" fontId="5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0" fontId="3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0" fontId="5" fillId="15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31" applyNumberFormat="0" applyFont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31" applyNumberFormat="0" applyFont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0" fontId="5" fillId="15" borderId="31" applyNumberFormat="0" applyFont="0" applyAlignment="0" applyProtection="0"/>
    <xf numFmtId="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7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0" fontId="5" fillId="33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9" fontId="5" fillId="0" borderId="0" applyFont="0" applyFill="0" applyBorder="0" applyAlignment="0" applyProtection="0"/>
    <xf numFmtId="0" fontId="5" fillId="15" borderId="31" applyNumberFormat="0" applyFont="0" applyAlignment="0" applyProtection="0"/>
    <xf numFmtId="0" fontId="5" fillId="26" borderId="0" applyNumberFormat="0" applyBorder="0" applyAlignment="0" applyProtection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15" borderId="31" applyNumberFormat="0" applyFont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15" borderId="31" applyNumberFormat="0" applyFont="0" applyAlignment="0" applyProtection="0"/>
    <xf numFmtId="0" fontId="5" fillId="33" borderId="0" applyNumberFormat="0" applyBorder="0" applyAlignment="0" applyProtection="0"/>
    <xf numFmtId="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9" borderId="0" applyNumberFormat="0" applyBorder="0" applyAlignment="0" applyProtection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5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21" fillId="0" borderId="0"/>
    <xf numFmtId="0" fontId="21" fillId="0" borderId="0"/>
    <xf numFmtId="43" fontId="1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21" fillId="0" borderId="0"/>
    <xf numFmtId="0" fontId="4" fillId="0" borderId="0"/>
    <xf numFmtId="0" fontId="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9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43" fontId="90" fillId="0" borderId="0" applyFont="0" applyFill="0" applyBorder="0" applyAlignment="0" applyProtection="0"/>
    <xf numFmtId="0" fontId="21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109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27" fontId="66" fillId="43" borderId="0" applyBorder="0">
      <alignment horizontal="right"/>
    </xf>
    <xf numFmtId="0" fontId="183" fillId="72" borderId="0" applyBorder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0" fontId="3" fillId="15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9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31" applyNumberFormat="0" applyFont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31" applyNumberFormat="0" applyFont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0" fontId="3" fillId="15" borderId="31" applyNumberFormat="0" applyFont="0" applyAlignment="0" applyProtection="0"/>
    <xf numFmtId="0" fontId="3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7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9" fontId="3" fillId="0" borderId="0" applyFont="0" applyFill="0" applyBorder="0" applyAlignment="0" applyProtection="0"/>
    <xf numFmtId="0" fontId="3" fillId="15" borderId="31" applyNumberFormat="0" applyFont="0" applyAlignment="0" applyProtection="0"/>
    <xf numFmtId="0" fontId="3" fillId="26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0" fontId="3" fillId="15" borderId="31" applyNumberFormat="0" applyFont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43" fontId="3" fillId="0" borderId="0" applyFont="0" applyFill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9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15" borderId="31" applyNumberFormat="0" applyFont="0" applyAlignment="0" applyProtection="0"/>
    <xf numFmtId="0" fontId="3" fillId="33" borderId="0" applyNumberFormat="0" applyBorder="0" applyAlignment="0" applyProtection="0"/>
    <xf numFmtId="0" fontId="3" fillId="2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971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6" fillId="0" borderId="0" xfId="21" applyFont="1">
      <alignment readingOrder="1"/>
    </xf>
    <xf numFmtId="0" fontId="21" fillId="0" borderId="0" xfId="21">
      <alignment readingOrder="1"/>
    </xf>
    <xf numFmtId="0" fontId="21" fillId="0" borderId="0" xfId="21" applyFont="1">
      <alignment readingOrder="1"/>
    </xf>
    <xf numFmtId="0" fontId="28" fillId="0" borderId="0" xfId="21" applyFont="1">
      <alignment readingOrder="1"/>
    </xf>
    <xf numFmtId="0" fontId="27" fillId="0" borderId="0" xfId="21" applyFont="1">
      <alignment readingOrder="1"/>
    </xf>
    <xf numFmtId="0" fontId="21" fillId="0" borderId="0" xfId="21" applyBorder="1">
      <alignment readingOrder="1"/>
    </xf>
    <xf numFmtId="0" fontId="27" fillId="0" borderId="0" xfId="21" applyFont="1" applyBorder="1">
      <alignment readingOrder="1"/>
    </xf>
    <xf numFmtId="0" fontId="21" fillId="0" borderId="0" xfId="0" applyFont="1"/>
    <xf numFmtId="0" fontId="22" fillId="0" borderId="0" xfId="40" applyFont="1"/>
    <xf numFmtId="3" fontId="22" fillId="0" borderId="0" xfId="40" applyNumberFormat="1" applyFont="1" applyFill="1" applyBorder="1"/>
    <xf numFmtId="0" fontId="21" fillId="0" borderId="0" xfId="23"/>
    <xf numFmtId="0" fontId="22" fillId="0" borderId="0" xfId="40" applyFont="1" applyBorder="1"/>
    <xf numFmtId="0" fontId="22" fillId="0" borderId="0" xfId="40" applyNumberFormat="1" applyFont="1" applyAlignment="1">
      <alignment horizontal="center"/>
    </xf>
    <xf numFmtId="0" fontId="21" fillId="0" borderId="0" xfId="23" applyFill="1"/>
    <xf numFmtId="37" fontId="22" fillId="0" borderId="0" xfId="40" applyNumberFormat="1" applyFont="1" applyAlignment="1">
      <alignment horizontal="center"/>
    </xf>
    <xf numFmtId="5" fontId="22" fillId="0" borderId="0" xfId="40" applyNumberFormat="1" applyFont="1"/>
    <xf numFmtId="1" fontId="22" fillId="0" borderId="0" xfId="38" applyNumberFormat="1" applyFont="1" applyAlignment="1">
      <alignment horizontal="center"/>
    </xf>
    <xf numFmtId="37" fontId="22" fillId="0" borderId="0" xfId="40" applyNumberFormat="1" applyFont="1"/>
    <xf numFmtId="37" fontId="22" fillId="0" borderId="0" xfId="40" applyNumberFormat="1" applyFont="1" applyFill="1"/>
    <xf numFmtId="3" fontId="22" fillId="0" borderId="0" xfId="38" applyNumberFormat="1" applyFont="1" applyAlignment="1">
      <alignment horizontal="center"/>
    </xf>
    <xf numFmtId="0" fontId="23" fillId="0" borderId="0" xfId="40" applyFont="1" applyAlignment="1">
      <alignment horizontal="center"/>
    </xf>
    <xf numFmtId="3" fontId="23" fillId="0" borderId="0" xfId="40" applyNumberFormat="1" applyFont="1" applyFill="1" applyBorder="1" applyAlignment="1">
      <alignment horizontal="center"/>
    </xf>
    <xf numFmtId="0" fontId="23" fillId="0" borderId="0" xfId="40" applyFont="1" applyBorder="1" applyAlignment="1">
      <alignment horizontal="center"/>
    </xf>
    <xf numFmtId="0" fontId="23" fillId="0" borderId="0" xfId="40" applyNumberFormat="1" applyFont="1" applyAlignment="1">
      <alignment horizontal="center"/>
    </xf>
    <xf numFmtId="0" fontId="23" fillId="0" borderId="1" xfId="40" applyFont="1" applyBorder="1" applyAlignment="1">
      <alignment horizontal="center"/>
    </xf>
    <xf numFmtId="0" fontId="23" fillId="0" borderId="5" xfId="40" applyFont="1" applyBorder="1" applyAlignment="1">
      <alignment horizontal="center"/>
    </xf>
    <xf numFmtId="0" fontId="23" fillId="0" borderId="4" xfId="40" applyNumberFormat="1" applyFont="1" applyBorder="1" applyAlignment="1">
      <alignment horizontal="center"/>
    </xf>
    <xf numFmtId="0" fontId="23" fillId="0" borderId="7" xfId="40" applyFont="1" applyBorder="1" applyAlignment="1">
      <alignment horizontal="center"/>
    </xf>
    <xf numFmtId="0" fontId="23" fillId="0" borderId="6" xfId="40" applyNumberFormat="1" applyFont="1" applyBorder="1" applyAlignment="1">
      <alignment horizontal="center"/>
    </xf>
    <xf numFmtId="170" fontId="23" fillId="0" borderId="0" xfId="39" applyNumberFormat="1" applyFont="1" applyFill="1" applyBorder="1" applyAlignment="1">
      <alignment horizontal="center"/>
    </xf>
    <xf numFmtId="0" fontId="23" fillId="0" borderId="9" xfId="40" applyFont="1" applyBorder="1" applyAlignment="1">
      <alignment horizontal="center"/>
    </xf>
    <xf numFmtId="0" fontId="23" fillId="0" borderId="10" xfId="40" applyFont="1" applyBorder="1" applyAlignment="1">
      <alignment horizontal="center"/>
    </xf>
    <xf numFmtId="0" fontId="23" fillId="0" borderId="8" xfId="40" applyNumberFormat="1" applyFont="1" applyBorder="1" applyAlignment="1">
      <alignment horizontal="center"/>
    </xf>
    <xf numFmtId="0" fontId="21" fillId="0" borderId="0" xfId="23" applyFont="1" applyFill="1"/>
    <xf numFmtId="0" fontId="22" fillId="0" borderId="0" xfId="40" applyNumberFormat="1" applyFont="1" applyAlignment="1">
      <alignment horizontal="left"/>
    </xf>
    <xf numFmtId="3" fontId="22" fillId="0" borderId="0" xfId="0" applyNumberFormat="1" applyFont="1" applyFill="1"/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10" fontId="22" fillId="0" borderId="0" xfId="42" applyNumberFormat="1" applyFont="1" applyFill="1" applyBorder="1"/>
    <xf numFmtId="37" fontId="22" fillId="0" borderId="0" xfId="0" applyNumberFormat="1" applyFont="1" applyFill="1" applyBorder="1"/>
    <xf numFmtId="10" fontId="22" fillId="0" borderId="0" xfId="42" applyNumberFormat="1" applyFont="1" applyFill="1"/>
    <xf numFmtId="0" fontId="28" fillId="0" borderId="0" xfId="0" applyFont="1"/>
    <xf numFmtId="0" fontId="40" fillId="0" borderId="0" xfId="23" applyFont="1" applyFill="1"/>
    <xf numFmtId="0" fontId="22" fillId="0" borderId="0" xfId="23" applyFont="1" applyFill="1" applyBorder="1"/>
    <xf numFmtId="172" fontId="22" fillId="0" borderId="0" xfId="23" applyNumberFormat="1" applyFont="1" applyFill="1" applyAlignment="1">
      <alignment horizontal="center"/>
    </xf>
    <xf numFmtId="3" fontId="22" fillId="0" borderId="0" xfId="23" applyNumberFormat="1" applyFont="1" applyFill="1"/>
    <xf numFmtId="0" fontId="22" fillId="0" borderId="0" xfId="23" applyFont="1" applyFill="1"/>
    <xf numFmtId="3" fontId="40" fillId="0" borderId="0" xfId="23" applyNumberFormat="1" applyFont="1" applyFill="1"/>
    <xf numFmtId="168" fontId="22" fillId="0" borderId="0" xfId="23" applyNumberFormat="1" applyFont="1" applyFill="1"/>
    <xf numFmtId="3" fontId="22" fillId="0" borderId="0" xfId="0" applyNumberFormat="1" applyFont="1" applyFill="1" applyAlignment="1">
      <alignment horizontal="center"/>
    </xf>
    <xf numFmtId="0" fontId="21" fillId="0" borderId="0" xfId="23" applyAlignment="1">
      <alignment horizontal="centerContinuous"/>
    </xf>
    <xf numFmtId="0" fontId="24" fillId="0" borderId="0" xfId="23" applyFont="1" applyAlignment="1">
      <alignment horizontal="centerContinuous"/>
    </xf>
    <xf numFmtId="0" fontId="21" fillId="0" borderId="0" xfId="23" applyAlignment="1">
      <alignment horizontal="center"/>
    </xf>
    <xf numFmtId="0" fontId="24" fillId="0" borderId="0" xfId="23" applyFont="1" applyAlignment="1">
      <alignment horizontal="center"/>
    </xf>
    <xf numFmtId="164" fontId="21" fillId="0" borderId="0" xfId="23" applyNumberFormat="1"/>
    <xf numFmtId="3" fontId="21" fillId="0" borderId="0" xfId="23" applyNumberFormat="1"/>
    <xf numFmtId="3" fontId="21" fillId="0" borderId="1" xfId="23" applyNumberFormat="1" applyBorder="1"/>
    <xf numFmtId="3" fontId="21" fillId="0" borderId="0" xfId="23" applyNumberFormat="1" applyBorder="1"/>
    <xf numFmtId="3" fontId="21" fillId="0" borderId="2" xfId="23" applyNumberFormat="1" applyBorder="1"/>
    <xf numFmtId="9" fontId="21" fillId="0" borderId="0" xfId="23" applyNumberFormat="1"/>
    <xf numFmtId="164" fontId="21" fillId="0" borderId="0" xfId="23" applyNumberFormat="1" applyBorder="1"/>
    <xf numFmtId="0" fontId="71" fillId="0" borderId="0" xfId="34"/>
    <xf numFmtId="0" fontId="45" fillId="0" borderId="0" xfId="34" applyFont="1"/>
    <xf numFmtId="0" fontId="45" fillId="0" borderId="0" xfId="34" applyFont="1" applyFill="1"/>
    <xf numFmtId="0" fontId="71" fillId="0" borderId="0" xfId="34" applyFill="1"/>
    <xf numFmtId="9" fontId="22" fillId="0" borderId="0" xfId="42" applyFont="1"/>
    <xf numFmtId="10" fontId="22" fillId="0" borderId="0" xfId="42" applyNumberFormat="1" applyFont="1" applyFill="1" applyBorder="1" applyAlignment="1">
      <alignment horizontal="center"/>
    </xf>
    <xf numFmtId="0" fontId="21" fillId="0" borderId="0" xfId="23" applyBorder="1"/>
    <xf numFmtId="0" fontId="24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1" fillId="0" borderId="0" xfId="23" applyFont="1"/>
    <xf numFmtId="2" fontId="23" fillId="0" borderId="0" xfId="40" applyNumberFormat="1" applyFont="1" applyAlignment="1">
      <alignment horizontal="center"/>
    </xf>
    <xf numFmtId="2" fontId="22" fillId="0" borderId="0" xfId="40" applyNumberFormat="1" applyFont="1" applyAlignment="1">
      <alignment horizontal="left"/>
    </xf>
    <xf numFmtId="2" fontId="23" fillId="0" borderId="0" xfId="40" applyNumberFormat="1" applyFont="1" applyFill="1" applyBorder="1" applyAlignment="1">
      <alignment horizontal="center"/>
    </xf>
    <xf numFmtId="2" fontId="23" fillId="0" borderId="0" xfId="14" applyNumberFormat="1" applyFont="1" applyFill="1" applyBorder="1" applyAlignment="1" applyProtection="1">
      <alignment horizontal="center"/>
    </xf>
    <xf numFmtId="2" fontId="23" fillId="0" borderId="0" xfId="40" applyNumberFormat="1" applyFont="1" applyBorder="1" applyAlignment="1">
      <alignment horizontal="center"/>
    </xf>
    <xf numFmtId="37" fontId="22" fillId="0" borderId="0" xfId="40" applyNumberFormat="1" applyFont="1" applyFill="1" applyAlignment="1">
      <alignment horizontal="center"/>
    </xf>
    <xf numFmtId="3" fontId="22" fillId="0" borderId="0" xfId="38" applyNumberFormat="1" applyFont="1" applyFill="1" applyAlignment="1">
      <alignment horizontal="center"/>
    </xf>
    <xf numFmtId="0" fontId="22" fillId="0" borderId="0" xfId="40" applyNumberFormat="1" applyFont="1" applyBorder="1" applyAlignment="1">
      <alignment horizontal="center"/>
    </xf>
    <xf numFmtId="3" fontId="22" fillId="0" borderId="0" xfId="0" applyNumberFormat="1" applyFont="1" applyFill="1" applyAlignment="1">
      <alignment horizontal="left"/>
    </xf>
    <xf numFmtId="0" fontId="40" fillId="0" borderId="0" xfId="23" applyFont="1" applyFill="1" applyBorder="1"/>
    <xf numFmtId="172" fontId="22" fillId="0" borderId="0" xfId="23" applyNumberFormat="1" applyFont="1" applyFill="1"/>
    <xf numFmtId="172" fontId="22" fillId="0" borderId="0" xfId="23" applyNumberFormat="1" applyFont="1" applyFill="1" applyBorder="1"/>
    <xf numFmtId="0" fontId="39" fillId="0" borderId="0" xfId="23" applyFont="1" applyAlignment="1">
      <alignment horizontal="left"/>
    </xf>
    <xf numFmtId="0" fontId="39" fillId="0" borderId="0" xfId="23" applyFont="1"/>
    <xf numFmtId="0" fontId="39" fillId="0" borderId="0" xfId="23" applyFont="1" applyAlignment="1">
      <alignment horizontal="center"/>
    </xf>
    <xf numFmtId="0" fontId="48" fillId="0" borderId="0" xfId="23" applyFont="1" applyAlignment="1"/>
    <xf numFmtId="0" fontId="39" fillId="0" borderId="0" xfId="23" applyFont="1" applyAlignment="1"/>
    <xf numFmtId="0" fontId="39" fillId="0" borderId="0" xfId="23" applyFont="1" applyAlignment="1">
      <alignment horizontal="right"/>
    </xf>
    <xf numFmtId="37" fontId="39" fillId="0" borderId="0" xfId="23" applyNumberFormat="1" applyFont="1"/>
    <xf numFmtId="0" fontId="50" fillId="0" borderId="0" xfId="23" applyFont="1" applyAlignment="1">
      <alignment horizontal="left" indent="1"/>
    </xf>
    <xf numFmtId="5" fontId="39" fillId="0" borderId="0" xfId="23" applyNumberFormat="1" applyFont="1"/>
    <xf numFmtId="0" fontId="39" fillId="0" borderId="0" xfId="1" applyNumberFormat="1" applyFont="1"/>
    <xf numFmtId="166" fontId="39" fillId="0" borderId="0" xfId="1" applyNumberFormat="1" applyFont="1"/>
    <xf numFmtId="37" fontId="39" fillId="0" borderId="0" xfId="1" applyNumberFormat="1" applyFont="1"/>
    <xf numFmtId="3" fontId="39" fillId="0" borderId="0" xfId="23" applyNumberFormat="1" applyFont="1"/>
    <xf numFmtId="0" fontId="53" fillId="0" borderId="0" xfId="23" applyFont="1"/>
    <xf numFmtId="166" fontId="39" fillId="0" borderId="0" xfId="1" applyNumberFormat="1" applyFont="1" applyAlignment="1">
      <alignment horizontal="left"/>
    </xf>
    <xf numFmtId="0" fontId="39" fillId="0" borderId="0" xfId="1" applyNumberFormat="1" applyFont="1" applyFill="1"/>
    <xf numFmtId="177" fontId="39" fillId="0" borderId="0" xfId="23" applyNumberFormat="1" applyFont="1" applyAlignment="1">
      <alignment horizontal="center"/>
    </xf>
    <xf numFmtId="0" fontId="39" fillId="0" borderId="0" xfId="23" quotePrefix="1" applyFont="1"/>
    <xf numFmtId="0" fontId="52" fillId="0" borderId="0" xfId="23" applyFont="1"/>
    <xf numFmtId="7" fontId="39" fillId="0" borderId="0" xfId="23" applyNumberFormat="1" applyFont="1"/>
    <xf numFmtId="180" fontId="39" fillId="0" borderId="0" xfId="23" applyNumberFormat="1" applyFont="1"/>
    <xf numFmtId="10" fontId="52" fillId="0" borderId="0" xfId="23" applyNumberFormat="1" applyFont="1"/>
    <xf numFmtId="37" fontId="52" fillId="0" borderId="0" xfId="1" applyNumberFormat="1" applyFont="1"/>
    <xf numFmtId="5" fontId="53" fillId="0" borderId="0" xfId="23" applyNumberFormat="1" applyFont="1"/>
    <xf numFmtId="10" fontId="53" fillId="0" borderId="0" xfId="23" applyNumberFormat="1" applyFont="1"/>
    <xf numFmtId="166" fontId="22" fillId="0" borderId="0" xfId="1" applyNumberFormat="1" applyFont="1" applyFill="1" applyBorder="1" applyAlignment="1">
      <alignment horizontal="center"/>
    </xf>
    <xf numFmtId="0" fontId="74" fillId="0" borderId="0" xfId="36"/>
    <xf numFmtId="0" fontId="74" fillId="0" borderId="1" xfId="36" applyBorder="1" applyAlignment="1">
      <alignment horizontal="centerContinuous"/>
    </xf>
    <xf numFmtId="0" fontId="74" fillId="0" borderId="0" xfId="36" applyAlignment="1">
      <alignment horizontal="center"/>
    </xf>
    <xf numFmtId="0" fontId="56" fillId="0" borderId="0" xfId="36" applyFont="1" applyAlignment="1">
      <alignment horizontal="center"/>
    </xf>
    <xf numFmtId="0" fontId="56" fillId="0" borderId="0" xfId="36" applyFont="1"/>
    <xf numFmtId="171" fontId="74" fillId="0" borderId="0" xfId="36" applyNumberFormat="1"/>
    <xf numFmtId="3" fontId="74" fillId="0" borderId="0" xfId="36" applyNumberFormat="1"/>
    <xf numFmtId="3" fontId="74" fillId="0" borderId="1" xfId="36" applyNumberFormat="1" applyBorder="1"/>
    <xf numFmtId="3" fontId="74" fillId="0" borderId="2" xfId="36" applyNumberFormat="1" applyBorder="1"/>
    <xf numFmtId="0" fontId="74" fillId="0" borderId="1" xfId="36" applyBorder="1" applyAlignment="1">
      <alignment horizontal="center"/>
    </xf>
    <xf numFmtId="3" fontId="22" fillId="0" borderId="0" xfId="23" applyNumberFormat="1" applyFont="1" applyFill="1" applyBorder="1"/>
    <xf numFmtId="0" fontId="74" fillId="0" borderId="0" xfId="36" applyBorder="1" applyAlignment="1">
      <alignment horizontal="center"/>
    </xf>
    <xf numFmtId="166" fontId="23" fillId="0" borderId="0" xfId="1" applyNumberFormat="1" applyFont="1" applyFill="1" applyBorder="1" applyAlignment="1">
      <alignment horizontal="center"/>
    </xf>
    <xf numFmtId="37" fontId="39" fillId="0" borderId="0" xfId="1" applyNumberFormat="1" applyFont="1" applyAlignment="1"/>
    <xf numFmtId="0" fontId="58" fillId="4" borderId="0" xfId="34" applyFont="1" applyFill="1"/>
    <xf numFmtId="0" fontId="71" fillId="4" borderId="0" xfId="34" applyFill="1"/>
    <xf numFmtId="10" fontId="71" fillId="4" borderId="0" xfId="34" applyNumberFormat="1" applyFill="1"/>
    <xf numFmtId="165" fontId="59" fillId="4" borderId="0" xfId="42" applyNumberFormat="1" applyFont="1" applyFill="1" applyAlignment="1">
      <alignment horizontal="center"/>
    </xf>
    <xf numFmtId="10" fontId="71" fillId="4" borderId="0" xfId="34" applyNumberFormat="1" applyFill="1" applyAlignment="1">
      <alignment horizontal="center"/>
    </xf>
    <xf numFmtId="10" fontId="59" fillId="4" borderId="0" xfId="42" applyNumberFormat="1" applyFont="1" applyFill="1"/>
    <xf numFmtId="0" fontId="71" fillId="4" borderId="0" xfId="34" applyFill="1" applyAlignment="1">
      <alignment horizontal="center"/>
    </xf>
    <xf numFmtId="10" fontId="59" fillId="4" borderId="0" xfId="42" applyNumberFormat="1" applyFont="1" applyFill="1" applyAlignment="1">
      <alignment horizontal="center"/>
    </xf>
    <xf numFmtId="0" fontId="18" fillId="4" borderId="1" xfId="34" applyFont="1" applyFill="1" applyBorder="1"/>
    <xf numFmtId="0" fontId="18" fillId="4" borderId="1" xfId="34" applyFont="1" applyFill="1" applyBorder="1" applyAlignment="1">
      <alignment horizontal="center"/>
    </xf>
    <xf numFmtId="165" fontId="71" fillId="0" borderId="0" xfId="34" applyNumberFormat="1"/>
    <xf numFmtId="10" fontId="58" fillId="4" borderId="0" xfId="42" applyNumberFormat="1" applyFont="1" applyFill="1"/>
    <xf numFmtId="166" fontId="22" fillId="0" borderId="0" xfId="1" applyNumberFormat="1" applyFont="1" applyFill="1"/>
    <xf numFmtId="0" fontId="71" fillId="0" borderId="0" xfId="19"/>
    <xf numFmtId="0" fontId="17" fillId="0" borderId="0" xfId="34" applyFont="1"/>
    <xf numFmtId="166" fontId="60" fillId="0" borderId="0" xfId="1" applyNumberFormat="1" applyFont="1"/>
    <xf numFmtId="0" fontId="71" fillId="0" borderId="0" xfId="34" applyAlignment="1">
      <alignment horizontal="center"/>
    </xf>
    <xf numFmtId="10" fontId="60" fillId="0" borderId="0" xfId="42" applyNumberFormat="1" applyFont="1"/>
    <xf numFmtId="10" fontId="71" fillId="0" borderId="0" xfId="34" applyNumberFormat="1"/>
    <xf numFmtId="0" fontId="23" fillId="0" borderId="0" xfId="1" applyNumberFormat="1" applyFont="1" applyFill="1" applyBorder="1" applyAlignment="1">
      <alignment horizontal="center"/>
    </xf>
    <xf numFmtId="164" fontId="22" fillId="0" borderId="0" xfId="0" applyNumberFormat="1" applyFont="1" applyFill="1"/>
    <xf numFmtId="37" fontId="22" fillId="0" borderId="0" xfId="0" applyNumberFormat="1" applyFont="1" applyFill="1" applyBorder="1" applyProtection="1">
      <protection locked="0"/>
    </xf>
    <xf numFmtId="5" fontId="22" fillId="0" borderId="0" xfId="0" applyNumberFormat="1" applyFont="1" applyFill="1" applyBorder="1" applyProtection="1">
      <protection locked="0"/>
    </xf>
    <xf numFmtId="37" fontId="22" fillId="0" borderId="0" xfId="0" applyNumberFormat="1" applyFont="1" applyFill="1" applyBorder="1" applyAlignment="1" applyProtection="1">
      <alignment horizontal="center"/>
      <protection locked="0"/>
    </xf>
    <xf numFmtId="172" fontId="40" fillId="0" borderId="0" xfId="23" applyNumberFormat="1" applyFont="1" applyFill="1" applyAlignment="1">
      <alignment horizontal="center"/>
    </xf>
    <xf numFmtId="172" fontId="36" fillId="0" borderId="0" xfId="23" applyNumberFormat="1" applyFont="1" applyFill="1" applyAlignment="1">
      <alignment horizontal="center"/>
    </xf>
    <xf numFmtId="0" fontId="36" fillId="0" borderId="0" xfId="23" applyFont="1" applyFill="1"/>
    <xf numFmtId="3" fontId="36" fillId="0" borderId="0" xfId="23" applyNumberFormat="1" applyFont="1" applyFill="1"/>
    <xf numFmtId="0" fontId="74" fillId="0" borderId="0" xfId="36" applyFill="1"/>
    <xf numFmtId="166" fontId="64" fillId="0" borderId="0" xfId="1" applyNumberFormat="1" applyFont="1" applyFill="1"/>
    <xf numFmtId="0" fontId="41" fillId="0" borderId="15" xfId="19" applyFont="1" applyFill="1" applyBorder="1" applyAlignment="1">
      <alignment horizontal="left"/>
    </xf>
    <xf numFmtId="0" fontId="41" fillId="0" borderId="16" xfId="19" applyFont="1" applyFill="1" applyBorder="1" applyAlignment="1">
      <alignment horizontal="center"/>
    </xf>
    <xf numFmtId="0" fontId="41" fillId="0" borderId="17" xfId="19" applyFont="1" applyFill="1" applyBorder="1" applyAlignment="1">
      <alignment horizontal="center"/>
    </xf>
    <xf numFmtId="37" fontId="40" fillId="0" borderId="14" xfId="40" applyNumberFormat="1" applyFont="1" applyFill="1" applyBorder="1"/>
    <xf numFmtId="37" fontId="40" fillId="0" borderId="0" xfId="40" applyNumberFormat="1" applyFont="1" applyFill="1" applyBorder="1"/>
    <xf numFmtId="0" fontId="41" fillId="0" borderId="0" xfId="19" applyFont="1" applyFill="1" applyBorder="1" applyAlignment="1">
      <alignment horizontal="center"/>
    </xf>
    <xf numFmtId="37" fontId="44" fillId="0" borderId="0" xfId="40" applyNumberFormat="1" applyFont="1" applyFill="1" applyBorder="1"/>
    <xf numFmtId="37" fontId="40" fillId="0" borderId="18" xfId="40" applyNumberFormat="1" applyFont="1" applyFill="1" applyBorder="1"/>
    <xf numFmtId="0" fontId="40" fillId="0" borderId="0" xfId="19" applyFont="1" applyFill="1" applyBorder="1"/>
    <xf numFmtId="0" fontId="41" fillId="0" borderId="1" xfId="19" applyFont="1" applyFill="1" applyBorder="1" applyAlignment="1">
      <alignment horizontal="center"/>
    </xf>
    <xf numFmtId="0" fontId="40" fillId="0" borderId="18" xfId="19" applyFont="1" applyFill="1" applyBorder="1"/>
    <xf numFmtId="5" fontId="40" fillId="0" borderId="0" xfId="19" applyNumberFormat="1" applyFont="1" applyFill="1" applyBorder="1"/>
    <xf numFmtId="10" fontId="40" fillId="0" borderId="0" xfId="49" applyNumberFormat="1" applyFont="1" applyFill="1" applyBorder="1"/>
    <xf numFmtId="10" fontId="44" fillId="0" borderId="0" xfId="49" applyNumberFormat="1" applyFont="1" applyFill="1" applyBorder="1"/>
    <xf numFmtId="166" fontId="40" fillId="0" borderId="0" xfId="9" applyNumberFormat="1" applyFont="1" applyFill="1" applyBorder="1"/>
    <xf numFmtId="10" fontId="41" fillId="0" borderId="18" xfId="49" applyNumberFormat="1" applyFont="1" applyFill="1" applyBorder="1" applyAlignment="1">
      <alignment horizontal="center"/>
    </xf>
    <xf numFmtId="169" fontId="40" fillId="0" borderId="0" xfId="49" applyNumberFormat="1" applyFont="1" applyFill="1" applyBorder="1"/>
    <xf numFmtId="169" fontId="44" fillId="0" borderId="0" xfId="49" applyNumberFormat="1" applyFont="1" applyFill="1" applyBorder="1"/>
    <xf numFmtId="10" fontId="40" fillId="0" borderId="11" xfId="49" applyNumberFormat="1" applyFont="1" applyFill="1" applyBorder="1"/>
    <xf numFmtId="37" fontId="40" fillId="0" borderId="19" xfId="40" applyNumberFormat="1" applyFont="1" applyFill="1" applyBorder="1"/>
    <xf numFmtId="0" fontId="40" fillId="0" borderId="13" xfId="19" applyFont="1" applyFill="1" applyBorder="1"/>
    <xf numFmtId="166" fontId="40" fillId="0" borderId="13" xfId="9" applyNumberFormat="1" applyFont="1" applyFill="1" applyBorder="1"/>
    <xf numFmtId="10" fontId="40" fillId="0" borderId="13" xfId="49" applyNumberFormat="1" applyFont="1" applyFill="1" applyBorder="1"/>
    <xf numFmtId="10" fontId="44" fillId="0" borderId="13" xfId="49" applyNumberFormat="1" applyFont="1" applyFill="1" applyBorder="1"/>
    <xf numFmtId="37" fontId="40" fillId="0" borderId="20" xfId="40" applyNumberFormat="1" applyFont="1" applyFill="1" applyBorder="1"/>
    <xf numFmtId="37" fontId="41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2" fillId="5" borderId="0" xfId="23" applyFont="1" applyFill="1" applyBorder="1"/>
    <xf numFmtId="3" fontId="22" fillId="5" borderId="0" xfId="0" applyNumberFormat="1" applyFont="1" applyFill="1" applyBorder="1"/>
    <xf numFmtId="0" fontId="22" fillId="5" borderId="0" xfId="23" applyFont="1" applyFill="1"/>
    <xf numFmtId="3" fontId="22" fillId="5" borderId="0" xfId="23" applyNumberFormat="1" applyFont="1" applyFill="1"/>
    <xf numFmtId="166" fontId="22" fillId="5" borderId="0" xfId="1" applyNumberFormat="1" applyFont="1" applyFill="1"/>
    <xf numFmtId="172" fontId="22" fillId="5" borderId="0" xfId="23" applyNumberFormat="1" applyFont="1" applyFill="1" applyAlignment="1">
      <alignment horizontal="center"/>
    </xf>
    <xf numFmtId="168" fontId="36" fillId="0" borderId="0" xfId="10" applyNumberFormat="1" applyFont="1" applyFill="1" applyBorder="1"/>
    <xf numFmtId="168" fontId="36" fillId="0" borderId="0" xfId="10" applyNumberFormat="1" applyFont="1" applyFill="1" applyAlignment="1">
      <alignment horizontal="center"/>
    </xf>
    <xf numFmtId="175" fontId="36" fillId="0" borderId="0" xfId="1" applyNumberFormat="1" applyFont="1" applyFill="1" applyAlignment="1">
      <alignment horizontal="center"/>
    </xf>
    <xf numFmtId="10" fontId="36" fillId="0" borderId="0" xfId="42" applyNumberFormat="1" applyFont="1" applyFill="1" applyAlignment="1">
      <alignment horizontal="center"/>
    </xf>
    <xf numFmtId="168" fontId="36" fillId="0" borderId="0" xfId="10" applyNumberFormat="1" applyFont="1" applyFill="1"/>
    <xf numFmtId="10" fontId="36" fillId="0" borderId="0" xfId="42" applyNumberFormat="1" applyFont="1" applyFill="1" applyBorder="1" applyAlignment="1">
      <alignment horizontal="center"/>
    </xf>
    <xf numFmtId="166" fontId="36" fillId="0" borderId="0" xfId="1" applyNumberFormat="1" applyFont="1" applyFill="1"/>
    <xf numFmtId="9" fontId="36" fillId="0" borderId="0" xfId="42" applyFont="1" applyFill="1"/>
    <xf numFmtId="10" fontId="36" fillId="0" borderId="0" xfId="42" applyNumberFormat="1" applyFont="1" applyFill="1" applyBorder="1"/>
    <xf numFmtId="10" fontId="36" fillId="0" borderId="0" xfId="42" applyNumberFormat="1" applyFont="1" applyFill="1"/>
    <xf numFmtId="168" fontId="36" fillId="0" borderId="0" xfId="23" applyNumberFormat="1" applyFont="1" applyFill="1"/>
    <xf numFmtId="3" fontId="36" fillId="0" borderId="0" xfId="42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2" fillId="0" borderId="0" xfId="23" applyFont="1" applyFill="1" applyAlignment="1">
      <alignment horizontal="center" wrapText="1"/>
    </xf>
    <xf numFmtId="0" fontId="66" fillId="0" borderId="0" xfId="34" applyFont="1"/>
    <xf numFmtId="0" fontId="66" fillId="0" borderId="0" xfId="34" applyFont="1" applyFill="1" applyBorder="1" applyAlignment="1">
      <alignment horizontal="center"/>
    </xf>
    <xf numFmtId="0" fontId="66" fillId="0" borderId="0" xfId="34" applyFont="1" applyFill="1" applyAlignment="1">
      <alignment horizontal="center"/>
    </xf>
    <xf numFmtId="0" fontId="66" fillId="0" borderId="0" xfId="34" applyFont="1" applyFill="1"/>
    <xf numFmtId="0" fontId="66" fillId="0" borderId="0" xfId="34" applyFont="1" applyBorder="1"/>
    <xf numFmtId="0" fontId="66" fillId="0" borderId="0" xfId="34" applyFont="1" applyFill="1" applyBorder="1"/>
    <xf numFmtId="0" fontId="67" fillId="0" borderId="0" xfId="34" applyFont="1" applyFill="1"/>
    <xf numFmtId="0" fontId="66" fillId="0" borderId="1" xfId="34" applyFont="1" applyBorder="1"/>
    <xf numFmtId="0" fontId="66" fillId="0" borderId="1" xfId="34" applyFont="1" applyFill="1" applyBorder="1" applyAlignment="1">
      <alignment horizontal="center"/>
    </xf>
    <xf numFmtId="0" fontId="66" fillId="0" borderId="1" xfId="34" applyFont="1" applyFill="1" applyBorder="1"/>
    <xf numFmtId="0" fontId="40" fillId="0" borderId="0" xfId="31" applyFont="1" applyAlignment="1">
      <alignment horizontal="left"/>
    </xf>
    <xf numFmtId="0" fontId="40" fillId="0" borderId="0" xfId="31" applyFont="1" applyBorder="1" applyAlignment="1">
      <alignment horizontal="left"/>
    </xf>
    <xf numFmtId="10" fontId="68" fillId="0" borderId="0" xfId="42" applyNumberFormat="1" applyFont="1" applyFill="1" applyAlignment="1">
      <alignment horizontal="center"/>
    </xf>
    <xf numFmtId="10" fontId="66" fillId="0" borderId="0" xfId="42" applyNumberFormat="1" applyFont="1" applyFill="1" applyAlignment="1">
      <alignment horizontal="center"/>
    </xf>
    <xf numFmtId="10" fontId="66" fillId="0" borderId="0" xfId="42" applyNumberFormat="1" applyFont="1" applyFill="1" applyBorder="1" applyAlignment="1">
      <alignment horizontal="center"/>
    </xf>
    <xf numFmtId="0" fontId="40" fillId="0" borderId="1" xfId="31" applyFont="1" applyBorder="1" applyAlignment="1">
      <alignment horizontal="left"/>
    </xf>
    <xf numFmtId="10" fontId="66" fillId="0" borderId="1" xfId="42" applyNumberFormat="1" applyFont="1" applyFill="1" applyBorder="1" applyAlignment="1">
      <alignment horizontal="center"/>
    </xf>
    <xf numFmtId="43" fontId="66" fillId="0" borderId="0" xfId="1" applyFont="1" applyFill="1"/>
    <xf numFmtId="43" fontId="69" fillId="0" borderId="0" xfId="1" applyFont="1" applyFill="1"/>
    <xf numFmtId="10" fontId="66" fillId="0" borderId="0" xfId="42" applyNumberFormat="1" applyFont="1" applyFill="1"/>
    <xf numFmtId="0" fontId="40" fillId="0" borderId="3" xfId="31" applyFont="1" applyBorder="1" applyAlignment="1">
      <alignment horizontal="left"/>
    </xf>
    <xf numFmtId="43" fontId="69" fillId="0" borderId="3" xfId="1" applyFont="1" applyFill="1" applyBorder="1"/>
    <xf numFmtId="10" fontId="66" fillId="0" borderId="3" xfId="42" applyNumberFormat="1" applyFont="1" applyFill="1" applyBorder="1"/>
    <xf numFmtId="10" fontId="66" fillId="0" borderId="3" xfId="42" applyNumberFormat="1" applyFont="1" applyFill="1" applyBorder="1" applyAlignment="1">
      <alignment horizontal="center"/>
    </xf>
    <xf numFmtId="10" fontId="66" fillId="0" borderId="0" xfId="34" applyNumberFormat="1" applyFont="1" applyFill="1" applyAlignment="1">
      <alignment horizontal="center"/>
    </xf>
    <xf numFmtId="166" fontId="66" fillId="0" borderId="0" xfId="1" applyNumberFormat="1" applyFont="1" applyFill="1"/>
    <xf numFmtId="0" fontId="67" fillId="0" borderId="0" xfId="34" applyFont="1"/>
    <xf numFmtId="0" fontId="21" fillId="0" borderId="0" xfId="21" applyFill="1">
      <alignment readingOrder="1"/>
    </xf>
    <xf numFmtId="0" fontId="28" fillId="0" borderId="0" xfId="21" applyFont="1" applyFill="1">
      <alignment readingOrder="1"/>
    </xf>
    <xf numFmtId="167" fontId="21" fillId="0" borderId="0" xfId="21" applyNumberFormat="1" applyFill="1">
      <alignment readingOrder="1"/>
    </xf>
    <xf numFmtId="167" fontId="27" fillId="0" borderId="0" xfId="21" applyNumberFormat="1" applyFont="1" applyFill="1">
      <alignment readingOrder="1"/>
    </xf>
    <xf numFmtId="3" fontId="36" fillId="0" borderId="0" xfId="23" applyNumberFormat="1" applyFont="1" applyFill="1" applyBorder="1" applyAlignment="1">
      <alignment horizontal="center"/>
    </xf>
    <xf numFmtId="3" fontId="36" fillId="0" borderId="0" xfId="23" applyNumberFormat="1" applyFont="1" applyFill="1" applyBorder="1" applyAlignment="1">
      <alignment horizontal="center" wrapText="1"/>
    </xf>
    <xf numFmtId="0" fontId="36" fillId="0" borderId="0" xfId="23" applyFont="1" applyFill="1" applyBorder="1" applyAlignment="1">
      <alignment horizontal="center"/>
    </xf>
    <xf numFmtId="0" fontId="75" fillId="0" borderId="0" xfId="34" applyFont="1" applyAlignment="1">
      <alignment horizontal="center"/>
    </xf>
    <xf numFmtId="3" fontId="23" fillId="0" borderId="0" xfId="23" applyNumberFormat="1" applyFont="1" applyFill="1"/>
    <xf numFmtId="0" fontId="74" fillId="0" borderId="0" xfId="36" applyAlignment="1">
      <alignment horizontal="center"/>
    </xf>
    <xf numFmtId="0" fontId="21" fillId="0" borderId="0" xfId="23" applyFill="1" applyAlignment="1">
      <alignment horizontal="center"/>
    </xf>
    <xf numFmtId="164" fontId="21" fillId="0" borderId="0" xfId="23" applyNumberFormat="1" applyFill="1"/>
    <xf numFmtId="3" fontId="21" fillId="0" borderId="0" xfId="23" applyNumberFormat="1" applyFill="1"/>
    <xf numFmtId="3" fontId="21" fillId="0" borderId="1" xfId="23" applyNumberFormat="1" applyFill="1" applyBorder="1"/>
    <xf numFmtId="3" fontId="21" fillId="0" borderId="2" xfId="23" applyNumberFormat="1" applyFill="1" applyBorder="1"/>
    <xf numFmtId="3" fontId="22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1" fillId="0" borderId="0" xfId="1" applyNumberFormat="1" applyFont="1"/>
    <xf numFmtId="166" fontId="21" fillId="0" borderId="9" xfId="1" applyNumberFormat="1" applyFont="1" applyBorder="1"/>
    <xf numFmtId="0" fontId="21" fillId="0" borderId="0" xfId="0" applyFont="1" applyAlignment="1">
      <alignment horizontal="left"/>
    </xf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3" fontId="23" fillId="0" borderId="0" xfId="0" applyNumberFormat="1" applyFont="1" applyFill="1"/>
    <xf numFmtId="0" fontId="15" fillId="0" borderId="0" xfId="51"/>
    <xf numFmtId="0" fontId="15" fillId="0" borderId="0" xfId="51" applyBorder="1"/>
    <xf numFmtId="0" fontId="24" fillId="0" borderId="0" xfId="51" applyFont="1" applyAlignment="1">
      <alignment horizontal="center"/>
    </xf>
    <xf numFmtId="0" fontId="21" fillId="0" borderId="1" xfId="51" applyFont="1" applyFill="1" applyBorder="1" applyAlignment="1">
      <alignment horizontal="center"/>
    </xf>
    <xf numFmtId="0" fontId="15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5" fillId="0" borderId="0" xfId="51" applyNumberFormat="1" applyFill="1"/>
    <xf numFmtId="164" fontId="15" fillId="0" borderId="0" xfId="51" applyNumberFormat="1"/>
    <xf numFmtId="164" fontId="15" fillId="0" borderId="0" xfId="51" applyNumberFormat="1" applyFill="1"/>
    <xf numFmtId="3" fontId="15" fillId="0" borderId="0" xfId="51" applyNumberFormat="1"/>
    <xf numFmtId="3" fontId="15" fillId="0" borderId="0" xfId="51" applyNumberFormat="1" applyFill="1"/>
    <xf numFmtId="3" fontId="15" fillId="0" borderId="0" xfId="51" applyNumberFormat="1" applyBorder="1"/>
    <xf numFmtId="3" fontId="15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5" fillId="0" borderId="0" xfId="51" applyNumberFormat="1"/>
    <xf numFmtId="0" fontId="15" fillId="0" borderId="0" xfId="51" applyAlignment="1">
      <alignment horizontal="center"/>
    </xf>
    <xf numFmtId="0" fontId="21" fillId="0" borderId="0" xfId="21" applyFont="1" applyFill="1" applyAlignment="1">
      <alignment horizontal="center" readingOrder="1"/>
    </xf>
    <xf numFmtId="0" fontId="27" fillId="0" borderId="0" xfId="21" applyFont="1" applyFill="1">
      <alignment readingOrder="1"/>
    </xf>
    <xf numFmtId="10" fontId="71" fillId="0" borderId="0" xfId="42" applyNumberFormat="1" applyFont="1"/>
    <xf numFmtId="37" fontId="78" fillId="0" borderId="0" xfId="1" applyNumberFormat="1" applyFont="1" applyFill="1"/>
    <xf numFmtId="0" fontId="21" fillId="0" borderId="0" xfId="23"/>
    <xf numFmtId="3" fontId="23" fillId="0" borderId="0" xfId="40" quotePrefix="1" applyNumberFormat="1" applyFont="1" applyFill="1" applyBorder="1" applyAlignment="1">
      <alignment horizontal="center"/>
    </xf>
    <xf numFmtId="5" fontId="22" fillId="0" borderId="0" xfId="23" applyNumberFormat="1" applyFont="1" applyBorder="1" applyProtection="1">
      <protection locked="0"/>
    </xf>
    <xf numFmtId="37" fontId="22" fillId="0" borderId="0" xfId="23" applyNumberFormat="1" applyFont="1" applyBorder="1" applyProtection="1">
      <protection locked="0"/>
    </xf>
    <xf numFmtId="37" fontId="22" fillId="0" borderId="1" xfId="23" applyNumberFormat="1" applyFont="1" applyBorder="1" applyProtection="1">
      <protection locked="0"/>
    </xf>
    <xf numFmtId="37" fontId="22" fillId="0" borderId="0" xfId="23" applyNumberFormat="1" applyFont="1" applyBorder="1"/>
    <xf numFmtId="37" fontId="22" fillId="0" borderId="0" xfId="23" applyNumberFormat="1" applyFont="1" applyFill="1" applyBorder="1"/>
    <xf numFmtId="37" fontId="22" fillId="0" borderId="1" xfId="23" applyNumberFormat="1" applyFont="1" applyBorder="1"/>
    <xf numFmtId="37" fontId="22" fillId="0" borderId="0" xfId="23" applyNumberFormat="1" applyFont="1" applyFill="1" applyBorder="1" applyProtection="1">
      <protection locked="0"/>
    </xf>
    <xf numFmtId="164" fontId="22" fillId="0" borderId="0" xfId="23" applyNumberFormat="1" applyFont="1" applyFill="1"/>
    <xf numFmtId="5" fontId="22" fillId="0" borderId="11" xfId="23" applyNumberFormat="1" applyFont="1" applyBorder="1" applyProtection="1">
      <protection locked="0"/>
    </xf>
    <xf numFmtId="37" fontId="22" fillId="0" borderId="9" xfId="23" applyNumberFormat="1" applyFont="1" applyFill="1" applyBorder="1" applyProtection="1">
      <protection locked="0"/>
    </xf>
    <xf numFmtId="37" fontId="22" fillId="0" borderId="0" xfId="23" applyNumberFormat="1" applyFont="1" applyFill="1" applyBorder="1" applyAlignment="1" applyProtection="1">
      <alignment horizontal="center"/>
      <protection locked="0"/>
    </xf>
    <xf numFmtId="37" fontId="22" fillId="0" borderId="0" xfId="23" applyNumberFormat="1" applyFont="1" applyFill="1" applyBorder="1" applyAlignment="1" applyProtection="1">
      <alignment horizontal="right"/>
      <protection locked="0"/>
    </xf>
    <xf numFmtId="5" fontId="22" fillId="0" borderId="11" xfId="23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2" fillId="0" borderId="9" xfId="0" applyNumberFormat="1" applyFont="1" applyFill="1" applyBorder="1"/>
    <xf numFmtId="5" fontId="22" fillId="0" borderId="11" xfId="0" applyNumberFormat="1" applyFont="1" applyFill="1" applyBorder="1"/>
    <xf numFmtId="37" fontId="23" fillId="0" borderId="9" xfId="0" applyNumberFormat="1" applyFont="1" applyFill="1" applyBorder="1" applyProtection="1">
      <protection locked="0"/>
    </xf>
    <xf numFmtId="37" fontId="22" fillId="0" borderId="2" xfId="0" applyNumberFormat="1" applyFont="1" applyFill="1" applyBorder="1" applyProtection="1">
      <protection locked="0"/>
    </xf>
    <xf numFmtId="0" fontId="21" fillId="0" borderId="0" xfId="23" applyFont="1" applyFill="1" applyAlignment="1">
      <alignment horizontal="center"/>
    </xf>
    <xf numFmtId="0" fontId="21" fillId="0" borderId="9" xfId="23" applyFill="1" applyBorder="1" applyAlignment="1">
      <alignment horizontal="center"/>
    </xf>
    <xf numFmtId="10" fontId="21" fillId="0" borderId="0" xfId="23" applyNumberFormat="1" applyFill="1"/>
    <xf numFmtId="168" fontId="0" fillId="0" borderId="0" xfId="11" applyNumberFormat="1" applyFont="1" applyFill="1"/>
    <xf numFmtId="166" fontId="21" fillId="0" borderId="0" xfId="23" applyNumberFormat="1" applyFill="1"/>
    <xf numFmtId="0" fontId="66" fillId="0" borderId="22" xfId="34" applyFont="1" applyFill="1" applyBorder="1"/>
    <xf numFmtId="0" fontId="66" fillId="0" borderId="12" xfId="34" applyFont="1" applyFill="1" applyBorder="1"/>
    <xf numFmtId="10" fontId="66" fillId="0" borderId="12" xfId="42" applyNumberFormat="1" applyFont="1" applyFill="1" applyBorder="1" applyAlignment="1">
      <alignment horizontal="center"/>
    </xf>
    <xf numFmtId="10" fontId="66" fillId="0" borderId="21" xfId="34" applyNumberFormat="1" applyFont="1" applyFill="1" applyBorder="1" applyAlignment="1">
      <alignment horizontal="center"/>
    </xf>
    <xf numFmtId="0" fontId="66" fillId="0" borderId="14" xfId="34" applyFont="1" applyFill="1" applyBorder="1"/>
    <xf numFmtId="10" fontId="66" fillId="0" borderId="18" xfId="34" applyNumberFormat="1" applyFont="1" applyFill="1" applyBorder="1" applyAlignment="1">
      <alignment horizontal="center"/>
    </xf>
    <xf numFmtId="0" fontId="66" fillId="0" borderId="19" xfId="34" applyFont="1" applyFill="1" applyBorder="1"/>
    <xf numFmtId="0" fontId="66" fillId="0" borderId="13" xfId="34" applyFont="1" applyFill="1" applyBorder="1"/>
    <xf numFmtId="10" fontId="66" fillId="0" borderId="13" xfId="42" applyNumberFormat="1" applyFont="1" applyFill="1" applyBorder="1" applyAlignment="1">
      <alignment horizontal="center"/>
    </xf>
    <xf numFmtId="10" fontId="66" fillId="0" borderId="20" xfId="34" applyNumberFormat="1" applyFont="1" applyFill="1" applyBorder="1" applyAlignment="1">
      <alignment horizontal="center"/>
    </xf>
    <xf numFmtId="10" fontId="67" fillId="0" borderId="0" xfId="42" applyNumberFormat="1" applyFont="1" applyFill="1" applyBorder="1"/>
    <xf numFmtId="0" fontId="67" fillId="0" borderId="0" xfId="34" applyFont="1" applyBorder="1"/>
    <xf numFmtId="0" fontId="21" fillId="0" borderId="0" xfId="23"/>
    <xf numFmtId="0" fontId="21" fillId="0" borderId="0" xfId="23" applyAlignment="1">
      <alignment horizontal="center"/>
    </xf>
    <xf numFmtId="171" fontId="74" fillId="0" borderId="0" xfId="36" applyNumberFormat="1" applyFill="1"/>
    <xf numFmtId="3" fontId="21" fillId="0" borderId="0" xfId="23" applyNumberFormat="1" applyFill="1" applyBorder="1"/>
    <xf numFmtId="3" fontId="21" fillId="0" borderId="9" xfId="23" applyNumberFormat="1" applyFill="1" applyBorder="1"/>
    <xf numFmtId="0" fontId="13" fillId="0" borderId="0" xfId="51" applyFont="1"/>
    <xf numFmtId="0" fontId="12" fillId="0" borderId="0" xfId="51" applyFont="1"/>
    <xf numFmtId="3" fontId="21" fillId="0" borderId="9" xfId="23" applyNumberFormat="1" applyBorder="1"/>
    <xf numFmtId="0" fontId="41" fillId="0" borderId="0" xfId="0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40" fillId="0" borderId="0" xfId="0" applyFont="1"/>
    <xf numFmtId="0" fontId="85" fillId="0" borderId="0" xfId="0" applyFont="1"/>
    <xf numFmtId="0" fontId="41" fillId="0" borderId="0" xfId="0" applyFont="1" applyAlignment="1">
      <alignment horizontal="center"/>
    </xf>
    <xf numFmtId="0" fontId="84" fillId="0" borderId="0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183" fontId="85" fillId="0" borderId="0" xfId="0" applyNumberFormat="1" applyFont="1"/>
    <xf numFmtId="183" fontId="41" fillId="0" borderId="0" xfId="0" applyNumberFormat="1" applyFont="1"/>
    <xf numFmtId="183" fontId="40" fillId="0" borderId="0" xfId="0" applyNumberFormat="1" applyFont="1"/>
    <xf numFmtId="183" fontId="85" fillId="0" borderId="2" xfId="0" applyNumberFormat="1" applyFont="1" applyBorder="1"/>
    <xf numFmtId="183" fontId="85" fillId="0" borderId="0" xfId="0" applyNumberFormat="1" applyFont="1" applyBorder="1"/>
    <xf numFmtId="10" fontId="86" fillId="0" borderId="0" xfId="0" applyNumberFormat="1" applyFont="1"/>
    <xf numFmtId="183" fontId="85" fillId="0" borderId="1" xfId="0" applyNumberFormat="1" applyFont="1" applyBorder="1"/>
    <xf numFmtId="10" fontId="16" fillId="0" borderId="0" xfId="42" applyNumberFormat="1" applyFont="1"/>
    <xf numFmtId="0" fontId="11" fillId="0" borderId="0" xfId="34" applyFont="1" applyAlignment="1">
      <alignment horizontal="center"/>
    </xf>
    <xf numFmtId="0" fontId="16" fillId="0" borderId="0" xfId="34" applyFont="1"/>
    <xf numFmtId="0" fontId="16" fillId="0" borderId="0" xfId="34" applyFont="1" applyAlignment="1">
      <alignment horizontal="center"/>
    </xf>
    <xf numFmtId="0" fontId="28" fillId="0" borderId="0" xfId="21" applyFont="1" applyFill="1" applyAlignment="1">
      <alignment horizontal="center" readingOrder="1"/>
    </xf>
    <xf numFmtId="3" fontId="35" fillId="0" borderId="0" xfId="0" applyNumberFormat="1" applyFont="1" applyFill="1" applyBorder="1" applyAlignment="1">
      <alignment horizontal="center"/>
    </xf>
    <xf numFmtId="10" fontId="62" fillId="0" borderId="0" xfId="42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37" fontId="23" fillId="0" borderId="11" xfId="0" applyNumberFormat="1" applyFont="1" applyFill="1" applyBorder="1" applyProtection="1">
      <protection locked="0"/>
    </xf>
    <xf numFmtId="10" fontId="22" fillId="0" borderId="0" xfId="42" applyNumberFormat="1" applyFont="1" applyFill="1" applyBorder="1" applyProtection="1">
      <protection locked="0"/>
    </xf>
    <xf numFmtId="3" fontId="23" fillId="0" borderId="0" xfId="0" applyNumberFormat="1" applyFont="1" applyFill="1" applyAlignment="1">
      <alignment horizontal="left"/>
    </xf>
    <xf numFmtId="0" fontId="10" fillId="0" borderId="0" xfId="51" applyFont="1"/>
    <xf numFmtId="5" fontId="22" fillId="0" borderId="0" xfId="0" applyNumberFormat="1" applyFont="1" applyFill="1" applyBorder="1"/>
    <xf numFmtId="164" fontId="36" fillId="0" borderId="0" xfId="10" applyNumberFormat="1" applyFont="1" applyFill="1" applyBorder="1" applyAlignment="1">
      <alignment horizontal="center"/>
    </xf>
    <xf numFmtId="3" fontId="22" fillId="0" borderId="0" xfId="0" applyNumberFormat="1" applyFont="1" applyFill="1" applyAlignment="1">
      <alignment vertical="top"/>
    </xf>
    <xf numFmtId="3" fontId="21" fillId="0" borderId="0" xfId="21" applyNumberFormat="1" applyFill="1" applyBorder="1">
      <alignment readingOrder="1"/>
    </xf>
    <xf numFmtId="3" fontId="21" fillId="0" borderId="0" xfId="21" applyNumberFormat="1" applyFill="1">
      <alignment readingOrder="1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Fill="1" applyAlignment="1"/>
    <xf numFmtId="0" fontId="41" fillId="0" borderId="0" xfId="0" applyFont="1" applyAlignment="1">
      <alignment horizontal="center"/>
    </xf>
    <xf numFmtId="5" fontId="40" fillId="0" borderId="0" xfId="0" applyNumberFormat="1" applyFont="1"/>
    <xf numFmtId="169" fontId="40" fillId="0" borderId="0" xfId="42" applyNumberFormat="1" applyFont="1" applyBorder="1"/>
    <xf numFmtId="5" fontId="40" fillId="0" borderId="0" xfId="0" applyNumberFormat="1" applyFont="1" applyFill="1"/>
    <xf numFmtId="5" fontId="40" fillId="0" borderId="1" xfId="0" applyNumberFormat="1" applyFont="1" applyBorder="1"/>
    <xf numFmtId="5" fontId="40" fillId="0" borderId="0" xfId="0" applyNumberFormat="1" applyFont="1" applyBorder="1"/>
    <xf numFmtId="184" fontId="40" fillId="0" borderId="0" xfId="0" applyNumberFormat="1" applyFont="1"/>
    <xf numFmtId="37" fontId="40" fillId="0" borderId="0" xfId="40" applyNumberFormat="1" applyFont="1"/>
    <xf numFmtId="10" fontId="40" fillId="0" borderId="0" xfId="42" applyNumberFormat="1" applyFont="1" applyBorder="1"/>
    <xf numFmtId="0" fontId="40" fillId="0" borderId="0" xfId="40" applyFont="1"/>
    <xf numFmtId="0" fontId="40" fillId="0" borderId="0" xfId="40" applyFont="1" applyBorder="1"/>
    <xf numFmtId="185" fontId="40" fillId="0" borderId="0" xfId="1" applyNumberFormat="1" applyFont="1"/>
    <xf numFmtId="185" fontId="40" fillId="0" borderId="0" xfId="0" applyNumberFormat="1" applyFont="1" applyBorder="1"/>
    <xf numFmtId="0" fontId="40" fillId="0" borderId="0" xfId="0" applyFont="1" applyBorder="1"/>
    <xf numFmtId="5" fontId="41" fillId="0" borderId="0" xfId="0" applyNumberFormat="1" applyFont="1" applyBorder="1"/>
    <xf numFmtId="10" fontId="41" fillId="0" borderId="0" xfId="42" applyNumberFormat="1" applyFont="1" applyBorder="1"/>
    <xf numFmtId="0" fontId="0" fillId="0" borderId="0" xfId="0" applyBorder="1"/>
    <xf numFmtId="0" fontId="41" fillId="0" borderId="0" xfId="0" applyFont="1" applyAlignment="1">
      <alignment horizontal="center"/>
    </xf>
    <xf numFmtId="0" fontId="89" fillId="0" borderId="0" xfId="0" applyFont="1"/>
    <xf numFmtId="3" fontId="22" fillId="0" borderId="0" xfId="0" applyNumberFormat="1" applyFont="1" applyFill="1" applyAlignment="1">
      <alignment horizontal="center" wrapText="1"/>
    </xf>
    <xf numFmtId="3" fontId="35" fillId="0" borderId="0" xfId="23" applyNumberFormat="1" applyFont="1" applyFill="1" applyBorder="1" applyAlignment="1"/>
    <xf numFmtId="0" fontId="71" fillId="8" borderId="0" xfId="34" applyFill="1"/>
    <xf numFmtId="10" fontId="62" fillId="0" borderId="0" xfId="42" applyNumberFormat="1" applyFont="1" applyFill="1" applyBorder="1" applyAlignment="1">
      <alignment horizontal="center"/>
    </xf>
    <xf numFmtId="37" fontId="22" fillId="0" borderId="1" xfId="23" applyNumberFormat="1" applyFont="1" applyFill="1" applyBorder="1" applyAlignment="1" applyProtection="1">
      <alignment horizontal="right"/>
      <protection locked="0"/>
    </xf>
    <xf numFmtId="166" fontId="21" fillId="0" borderId="0" xfId="1" applyNumberFormat="1" applyFont="1" applyFill="1" applyBorder="1"/>
    <xf numFmtId="0" fontId="24" fillId="0" borderId="0" xfId="23" applyFont="1" applyFill="1" applyBorder="1" applyAlignment="1">
      <alignment horizontal="center"/>
    </xf>
    <xf numFmtId="0" fontId="21" fillId="8" borderId="0" xfId="36" applyFont="1" applyFill="1"/>
    <xf numFmtId="0" fontId="74" fillId="8" borderId="0" xfId="36" applyFill="1"/>
    <xf numFmtId="0" fontId="74" fillId="8" borderId="1" xfId="36" applyFill="1" applyBorder="1" applyAlignment="1">
      <alignment horizontal="centerContinuous"/>
    </xf>
    <xf numFmtId="0" fontId="74" fillId="8" borderId="0" xfId="36" applyFill="1" applyAlignment="1">
      <alignment horizontal="center"/>
    </xf>
    <xf numFmtId="0" fontId="56" fillId="8" borderId="0" xfId="36" applyFont="1" applyFill="1" applyAlignment="1">
      <alignment horizontal="center"/>
    </xf>
    <xf numFmtId="3" fontId="74" fillId="8" borderId="0" xfId="36" applyNumberFormat="1" applyFill="1"/>
    <xf numFmtId="3" fontId="74" fillId="8" borderId="1" xfId="36" applyNumberFormat="1" applyFill="1" applyBorder="1"/>
    <xf numFmtId="3" fontId="74" fillId="8" borderId="2" xfId="36" applyNumberFormat="1" applyFill="1" applyBorder="1"/>
    <xf numFmtId="0" fontId="74" fillId="0" borderId="0" xfId="36" applyAlignment="1">
      <alignment horizontal="center"/>
    </xf>
    <xf numFmtId="0" fontId="71" fillId="0" borderId="0" xfId="19" applyFill="1"/>
    <xf numFmtId="0" fontId="6" fillId="0" borderId="0" xfId="51" applyFont="1" applyAlignment="1">
      <alignment horizontal="center"/>
    </xf>
    <xf numFmtId="0" fontId="74" fillId="0" borderId="1" xfId="36" applyFill="1" applyBorder="1" applyAlignment="1">
      <alignment horizontal="centerContinuous"/>
    </xf>
    <xf numFmtId="0" fontId="74" fillId="0" borderId="0" xfId="36" applyFill="1" applyAlignment="1">
      <alignment horizontal="center"/>
    </xf>
    <xf numFmtId="0" fontId="56" fillId="0" borderId="0" xfId="36" applyFont="1" applyFill="1" applyAlignment="1">
      <alignment horizontal="center"/>
    </xf>
    <xf numFmtId="3" fontId="74" fillId="0" borderId="0" xfId="36" applyNumberFormat="1" applyFill="1"/>
    <xf numFmtId="3" fontId="74" fillId="0" borderId="1" xfId="36" applyNumberFormat="1" applyFill="1" applyBorder="1"/>
    <xf numFmtId="3" fontId="74" fillId="0" borderId="2" xfId="36" applyNumberFormat="1" applyFill="1" applyBorder="1"/>
    <xf numFmtId="0" fontId="21" fillId="0" borderId="0" xfId="23"/>
    <xf numFmtId="0" fontId="15" fillId="0" borderId="0" xfId="51" applyFill="1"/>
    <xf numFmtId="166" fontId="15" fillId="0" borderId="0" xfId="51" applyNumberFormat="1" applyFill="1"/>
    <xf numFmtId="37" fontId="23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1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4" fillId="0" borderId="1" xfId="36" applyFill="1" applyBorder="1" applyAlignment="1">
      <alignment horizontal="center"/>
    </xf>
    <xf numFmtId="5" fontId="22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1" fillId="0" borderId="0" xfId="0" applyFont="1" applyFill="1" applyAlignment="1">
      <alignment horizontal="right"/>
    </xf>
    <xf numFmtId="0" fontId="21" fillId="0" borderId="0" xfId="23"/>
    <xf numFmtId="0" fontId="21" fillId="0" borderId="0" xfId="23"/>
    <xf numFmtId="0" fontId="74" fillId="0" borderId="0" xfId="36" applyAlignment="1">
      <alignment horizontal="center"/>
    </xf>
    <xf numFmtId="0" fontId="21" fillId="0" borderId="0" xfId="23" applyAlignment="1">
      <alignment horizontal="center"/>
    </xf>
    <xf numFmtId="0" fontId="27" fillId="0" borderId="0" xfId="1166" applyFont="1" applyBorder="1" applyAlignment="1">
      <alignment horizontal="left" indent="1" readingOrder="1"/>
    </xf>
    <xf numFmtId="0" fontId="27" fillId="0" borderId="0" xfId="1166" applyFont="1" applyAlignment="1">
      <alignment horizontal="left" indent="1" readingOrder="1"/>
    </xf>
    <xf numFmtId="0" fontId="21" fillId="0" borderId="0" xfId="1166" applyBorder="1">
      <alignment readingOrder="1"/>
    </xf>
    <xf numFmtId="3" fontId="74" fillId="0" borderId="9" xfId="36" applyNumberFormat="1" applyBorder="1"/>
    <xf numFmtId="0" fontId="27" fillId="0" borderId="0" xfId="1166" applyFont="1" applyFill="1" applyBorder="1" applyAlignment="1">
      <alignment horizontal="left" indent="1" readingOrder="1"/>
    </xf>
    <xf numFmtId="0" fontId="76" fillId="0" borderId="0" xfId="1166" applyFont="1" applyAlignment="1">
      <alignment horizontal="left" indent="1" readingOrder="1"/>
    </xf>
    <xf numFmtId="0" fontId="76" fillId="0" borderId="0" xfId="1166" applyFont="1" applyFill="1" applyAlignment="1">
      <alignment horizontal="left" indent="1" readingOrder="1"/>
    </xf>
    <xf numFmtId="0" fontId="21" fillId="0" borderId="0" xfId="1166" applyFill="1" applyBorder="1">
      <alignment readingOrder="1"/>
    </xf>
    <xf numFmtId="0" fontId="28" fillId="0" borderId="0" xfId="1166" applyFont="1">
      <alignment readingOrder="1"/>
    </xf>
    <xf numFmtId="0" fontId="21" fillId="0" borderId="0" xfId="1166" applyFill="1">
      <alignment readingOrder="1"/>
    </xf>
    <xf numFmtId="0" fontId="180" fillId="0" borderId="0" xfId="36" applyFont="1" applyAlignment="1">
      <alignment horizontal="center"/>
    </xf>
    <xf numFmtId="0" fontId="24" fillId="0" borderId="0" xfId="1166" applyFont="1">
      <alignment readingOrder="1"/>
    </xf>
    <xf numFmtId="0" fontId="29" fillId="0" borderId="0" xfId="1166" applyFont="1" applyFill="1">
      <alignment readingOrder="1"/>
    </xf>
    <xf numFmtId="0" fontId="27" fillId="0" borderId="0" xfId="1166" applyFont="1" applyFill="1" applyAlignment="1">
      <alignment horizontal="left" indent="1" readingOrder="1"/>
    </xf>
    <xf numFmtId="0" fontId="21" fillId="0" borderId="0" xfId="1166">
      <alignment readingOrder="1"/>
    </xf>
    <xf numFmtId="0" fontId="28" fillId="0" borderId="0" xfId="1166" applyFont="1" applyFill="1">
      <alignment readingOrder="1"/>
    </xf>
    <xf numFmtId="0" fontId="76" fillId="0" borderId="0" xfId="1166" applyFont="1" applyBorder="1" applyAlignment="1">
      <alignment horizontal="left" indent="1" readingOrder="1"/>
    </xf>
    <xf numFmtId="3" fontId="21" fillId="0" borderId="0" xfId="1166" applyNumberFormat="1" applyFill="1">
      <alignment readingOrder="1"/>
    </xf>
    <xf numFmtId="0" fontId="0" fillId="0" borderId="0" xfId="0"/>
    <xf numFmtId="0" fontId="21" fillId="0" borderId="0" xfId="0" applyFont="1"/>
    <xf numFmtId="37" fontId="112" fillId="0" borderId="0" xfId="1227" applyNumberFormat="1" applyFont="1" applyFill="1"/>
    <xf numFmtId="166" fontId="52" fillId="0" borderId="0" xfId="1" applyNumberFormat="1" applyFont="1"/>
    <xf numFmtId="166" fontId="52" fillId="0" borderId="0" xfId="1" applyNumberFormat="1" applyFont="1" applyFill="1"/>
    <xf numFmtId="166" fontId="51" fillId="0" borderId="0" xfId="1" applyNumberFormat="1" applyFont="1" applyFill="1"/>
    <xf numFmtId="37" fontId="39" fillId="0" borderId="1" xfId="1227" applyNumberFormat="1" applyFont="1" applyFill="1" applyBorder="1"/>
    <xf numFmtId="37" fontId="39" fillId="0" borderId="0" xfId="1227" applyNumberFormat="1" applyFont="1" applyFill="1"/>
    <xf numFmtId="0" fontId="21" fillId="0" borderId="0" xfId="23"/>
    <xf numFmtId="0" fontId="0" fillId="0" borderId="0" xfId="0" applyBorder="1" applyAlignment="1">
      <alignment horizontal="center"/>
    </xf>
    <xf numFmtId="5" fontId="0" fillId="0" borderId="0" xfId="0" applyNumberFormat="1" applyBorder="1"/>
    <xf numFmtId="3" fontId="36" fillId="0" borderId="46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left"/>
    </xf>
    <xf numFmtId="3" fontId="62" fillId="0" borderId="47" xfId="23" applyNumberFormat="1" applyFont="1" applyFill="1" applyBorder="1" applyAlignment="1">
      <alignment horizontal="center"/>
    </xf>
    <xf numFmtId="3" fontId="62" fillId="0" borderId="48" xfId="23" applyNumberFormat="1" applyFont="1" applyFill="1" applyBorder="1" applyAlignment="1">
      <alignment horizontal="center"/>
    </xf>
    <xf numFmtId="0" fontId="22" fillId="0" borderId="0" xfId="23" applyFont="1" applyFill="1" applyAlignment="1">
      <alignment horizontal="center"/>
    </xf>
    <xf numFmtId="3" fontId="40" fillId="0" borderId="46" xfId="23" applyNumberFormat="1" applyFont="1" applyFill="1" applyBorder="1" applyAlignment="1">
      <alignment horizontal="center"/>
    </xf>
    <xf numFmtId="3" fontId="35" fillId="0" borderId="48" xfId="23" applyNumberFormat="1" applyFont="1" applyFill="1" applyBorder="1" applyAlignment="1">
      <alignment horizontal="center"/>
    </xf>
    <xf numFmtId="3" fontId="184" fillId="0" borderId="0" xfId="41" applyNumberFormat="1" applyFont="1"/>
    <xf numFmtId="0" fontId="21" fillId="0" borderId="0" xfId="1227"/>
    <xf numFmtId="10" fontId="62" fillId="0" borderId="0" xfId="42" applyNumberFormat="1" applyFont="1" applyFill="1" applyBorder="1" applyAlignment="1">
      <alignment horizontal="center"/>
    </xf>
    <xf numFmtId="166" fontId="36" fillId="0" borderId="0" xfId="1" applyNumberFormat="1" applyFont="1" applyFill="1" applyBorder="1" applyAlignment="1">
      <alignment horizontal="center" wrapText="1"/>
    </xf>
    <xf numFmtId="3" fontId="21" fillId="8" borderId="0" xfId="23" applyNumberFormat="1" applyFill="1"/>
    <xf numFmtId="0" fontId="21" fillId="0" borderId="0" xfId="23"/>
    <xf numFmtId="0" fontId="66" fillId="0" borderId="50" xfId="0" applyFont="1" applyFill="1" applyBorder="1" applyAlignment="1">
      <alignment horizontal="left" vertical="top"/>
    </xf>
    <xf numFmtId="0" fontId="66" fillId="0" borderId="50" xfId="0" applyFont="1" applyFill="1" applyBorder="1" applyAlignment="1">
      <alignment horizontal="left" vertical="top" wrapText="1"/>
    </xf>
    <xf numFmtId="0" fontId="186" fillId="0" borderId="51" xfId="0" applyFont="1" applyFill="1" applyBorder="1" applyAlignment="1">
      <alignment horizontal="right" vertical="top"/>
    </xf>
    <xf numFmtId="0" fontId="186" fillId="0" borderId="58" xfId="0" applyFont="1" applyFill="1" applyBorder="1" applyAlignment="1">
      <alignment horizontal="right" vertical="top"/>
    </xf>
    <xf numFmtId="0" fontId="186" fillId="0" borderId="52" xfId="0" applyFont="1" applyFill="1" applyBorder="1" applyAlignment="1">
      <alignment horizontal="right" vertical="top"/>
    </xf>
    <xf numFmtId="0" fontId="66" fillId="0" borderId="50" xfId="0" applyFont="1" applyFill="1" applyBorder="1" applyAlignment="1">
      <alignment horizontal="left" vertical="center"/>
    </xf>
    <xf numFmtId="0" fontId="66" fillId="0" borderId="53" xfId="0" applyFont="1" applyFill="1" applyBorder="1" applyAlignment="1">
      <alignment horizontal="left" vertical="center"/>
    </xf>
    <xf numFmtId="0" fontId="66" fillId="0" borderId="54" xfId="0" applyFont="1" applyFill="1" applyBorder="1" applyAlignment="1">
      <alignment horizontal="left" vertical="center"/>
    </xf>
    <xf numFmtId="0" fontId="66" fillId="0" borderId="55" xfId="0" applyFont="1" applyFill="1" applyBorder="1" applyAlignment="1">
      <alignment horizontal="left" vertical="center"/>
    </xf>
    <xf numFmtId="0" fontId="186" fillId="0" borderId="56" xfId="0" applyFont="1" applyFill="1" applyBorder="1" applyAlignment="1">
      <alignment horizontal="right" vertical="top"/>
    </xf>
    <xf numFmtId="0" fontId="186" fillId="0" borderId="59" xfId="0" applyFont="1" applyFill="1" applyBorder="1" applyAlignment="1">
      <alignment horizontal="right" vertical="top"/>
    </xf>
    <xf numFmtId="0" fontId="186" fillId="0" borderId="57" xfId="0" applyFont="1" applyFill="1" applyBorder="1" applyAlignment="1">
      <alignment horizontal="right" vertical="top"/>
    </xf>
    <xf numFmtId="0" fontId="185" fillId="0" borderId="50" xfId="0" applyFont="1" applyFill="1" applyBorder="1" applyAlignment="1">
      <alignment horizontal="left" vertical="top"/>
    </xf>
    <xf numFmtId="0" fontId="66" fillId="0" borderId="50" xfId="0" applyFont="1" applyFill="1" applyBorder="1" applyAlignment="1">
      <alignment horizontal="center" vertical="top"/>
    </xf>
    <xf numFmtId="0" fontId="186" fillId="0" borderId="50" xfId="0" applyFont="1" applyFill="1" applyBorder="1" applyAlignment="1">
      <alignment horizontal="right" vertical="top"/>
    </xf>
    <xf numFmtId="0" fontId="185" fillId="0" borderId="60" xfId="0" applyFont="1" applyFill="1" applyBorder="1" applyAlignment="1">
      <alignment horizontal="left" vertical="top"/>
    </xf>
    <xf numFmtId="228" fontId="66" fillId="0" borderId="50" xfId="0" applyNumberFormat="1" applyFont="1" applyFill="1" applyBorder="1" applyAlignment="1">
      <alignment horizontal="right" vertical="top"/>
    </xf>
    <xf numFmtId="0" fontId="185" fillId="0" borderId="61" xfId="0" applyFont="1" applyFill="1" applyBorder="1" applyAlignment="1">
      <alignment horizontal="left" vertical="top"/>
    </xf>
    <xf numFmtId="0" fontId="185" fillId="0" borderId="62" xfId="0" applyFont="1" applyFill="1" applyBorder="1" applyAlignment="1">
      <alignment horizontal="left" vertical="top"/>
    </xf>
    <xf numFmtId="0" fontId="66" fillId="0" borderId="53" xfId="0" applyFont="1" applyFill="1" applyBorder="1" applyAlignment="1">
      <alignment horizontal="center" vertical="top"/>
    </xf>
    <xf numFmtId="0" fontId="66" fillId="0" borderId="54" xfId="0" applyFont="1" applyFill="1" applyBorder="1" applyAlignment="1">
      <alignment horizontal="center" vertical="top"/>
    </xf>
    <xf numFmtId="0" fontId="66" fillId="0" borderId="55" xfId="0" applyFont="1" applyFill="1" applyBorder="1" applyAlignment="1">
      <alignment horizontal="center" vertical="top"/>
    </xf>
    <xf numFmtId="0" fontId="21" fillId="0" borderId="0" xfId="1227" applyAlignment="1">
      <alignment horizontal="center"/>
    </xf>
    <xf numFmtId="228" fontId="21" fillId="0" borderId="0" xfId="1227" applyNumberFormat="1"/>
    <xf numFmtId="0" fontId="21" fillId="0" borderId="0" xfId="36" applyFont="1" applyFill="1"/>
    <xf numFmtId="164" fontId="21" fillId="0" borderId="0" xfId="23" applyNumberFormat="1" applyFont="1" applyFill="1" applyAlignment="1">
      <alignment horizontal="center"/>
    </xf>
    <xf numFmtId="0" fontId="21" fillId="0" borderId="0" xfId="36" applyFont="1" applyFill="1" applyAlignment="1">
      <alignment horizontal="center"/>
    </xf>
    <xf numFmtId="0" fontId="24" fillId="0" borderId="0" xfId="23" applyFont="1" applyFill="1" applyAlignment="1">
      <alignment horizontal="center"/>
    </xf>
    <xf numFmtId="37" fontId="0" fillId="0" borderId="0" xfId="0" applyNumberFormat="1" applyFill="1"/>
    <xf numFmtId="166" fontId="21" fillId="0" borderId="9" xfId="1" applyNumberFormat="1" applyFont="1" applyFill="1" applyBorder="1"/>
    <xf numFmtId="0" fontId="21" fillId="0" borderId="0" xfId="23"/>
    <xf numFmtId="3" fontId="21" fillId="73" borderId="0" xfId="23" applyNumberFormat="1" applyFill="1"/>
    <xf numFmtId="3" fontId="21" fillId="0" borderId="0" xfId="23" applyNumberFormat="1" applyFont="1" applyFill="1"/>
    <xf numFmtId="0" fontId="21" fillId="0" borderId="0" xfId="1227" applyFill="1" applyAlignment="1">
      <alignment horizontal="center"/>
    </xf>
    <xf numFmtId="0" fontId="21" fillId="0" borderId="0" xfId="23" applyFont="1" applyFill="1" applyBorder="1" applyAlignment="1">
      <alignment horizontal="center"/>
    </xf>
    <xf numFmtId="0" fontId="21" fillId="0" borderId="0" xfId="23"/>
    <xf numFmtId="0" fontId="21" fillId="0" borderId="0" xfId="23" applyFont="1" applyAlignment="1">
      <alignment horizontal="centerContinuous"/>
    </xf>
    <xf numFmtId="0" fontId="21" fillId="0" borderId="0" xfId="23" applyFont="1" applyFill="1" applyBorder="1"/>
    <xf numFmtId="10" fontId="21" fillId="0" borderId="0" xfId="42" applyNumberFormat="1" applyFont="1" applyFill="1" applyBorder="1" applyAlignment="1">
      <alignment horizontal="center"/>
    </xf>
    <xf numFmtId="164" fontId="21" fillId="0" borderId="0" xfId="23" applyNumberFormat="1" applyFont="1"/>
    <xf numFmtId="164" fontId="21" fillId="0" borderId="0" xfId="23" applyNumberFormat="1" applyFont="1" applyFill="1" applyBorder="1"/>
    <xf numFmtId="3" fontId="21" fillId="0" borderId="0" xfId="23" applyNumberFormat="1" applyFont="1" applyFill="1" applyBorder="1"/>
    <xf numFmtId="0" fontId="28" fillId="0" borderId="0" xfId="23" applyFont="1" applyFill="1"/>
    <xf numFmtId="3" fontId="28" fillId="0" borderId="0" xfId="23" applyNumberFormat="1" applyFont="1" applyFill="1" applyBorder="1"/>
    <xf numFmtId="164" fontId="21" fillId="0" borderId="0" xfId="23" applyNumberFormat="1" applyFont="1" applyFill="1"/>
    <xf numFmtId="164" fontId="21" fillId="0" borderId="0" xfId="23" applyNumberFormat="1" applyFont="1" applyAlignment="1">
      <alignment wrapText="1"/>
    </xf>
    <xf numFmtId="164" fontId="21" fillId="0" borderId="0" xfId="23" applyNumberFormat="1" applyFont="1" applyFill="1" applyAlignment="1">
      <alignment wrapText="1"/>
    </xf>
    <xf numFmtId="0" fontId="187" fillId="0" borderId="0" xfId="23" applyFont="1" applyFill="1"/>
    <xf numFmtId="0" fontId="21" fillId="0" borderId="0" xfId="1227" applyFont="1"/>
    <xf numFmtId="0" fontId="21" fillId="0" borderId="0" xfId="1227" applyFont="1" applyAlignment="1">
      <alignment horizontal="right"/>
    </xf>
    <xf numFmtId="0" fontId="21" fillId="0" borderId="0" xfId="1227" applyAlignment="1">
      <alignment horizontal="left"/>
    </xf>
    <xf numFmtId="3" fontId="21" fillId="0" borderId="0" xfId="23" applyNumberFormat="1" applyAlignment="1">
      <alignment horizontal="right"/>
    </xf>
    <xf numFmtId="0" fontId="188" fillId="0" borderId="0" xfId="1227" applyFont="1" applyAlignment="1">
      <alignment horizontal="center"/>
    </xf>
    <xf numFmtId="10" fontId="21" fillId="0" borderId="1" xfId="1227" applyNumberFormat="1" applyBorder="1"/>
    <xf numFmtId="166" fontId="0" fillId="0" borderId="1" xfId="1" applyNumberFormat="1" applyFont="1" applyBorder="1"/>
    <xf numFmtId="3" fontId="21" fillId="0" borderId="1" xfId="1227" applyNumberFormat="1" applyBorder="1"/>
    <xf numFmtId="3" fontId="21" fillId="74" borderId="0" xfId="23" applyNumberFormat="1" applyFill="1"/>
    <xf numFmtId="228" fontId="21" fillId="74" borderId="0" xfId="1227" applyNumberFormat="1" applyFill="1"/>
    <xf numFmtId="164" fontId="21" fillId="74" borderId="0" xfId="23" applyNumberFormat="1" applyFill="1"/>
    <xf numFmtId="0" fontId="190" fillId="0" borderId="0" xfId="1227" applyFont="1"/>
    <xf numFmtId="0" fontId="21" fillId="74" borderId="22" xfId="23" applyFill="1" applyBorder="1"/>
    <xf numFmtId="0" fontId="21" fillId="74" borderId="12" xfId="23" applyFill="1" applyBorder="1"/>
    <xf numFmtId="3" fontId="21" fillId="74" borderId="12" xfId="23" applyNumberFormat="1" applyFill="1" applyBorder="1"/>
    <xf numFmtId="164" fontId="187" fillId="74" borderId="21" xfId="23" applyNumberFormat="1" applyFont="1" applyFill="1" applyBorder="1"/>
    <xf numFmtId="0" fontId="21" fillId="74" borderId="0" xfId="1227" applyFill="1"/>
    <xf numFmtId="0" fontId="21" fillId="74" borderId="19" xfId="23" applyFill="1" applyBorder="1"/>
    <xf numFmtId="0" fontId="21" fillId="74" borderId="13" xfId="23" applyFill="1" applyBorder="1"/>
    <xf numFmtId="3" fontId="21" fillId="74" borderId="13" xfId="23" applyNumberFormat="1" applyFill="1" applyBorder="1"/>
    <xf numFmtId="164" fontId="187" fillId="74" borderId="20" xfId="23" applyNumberFormat="1" applyFont="1" applyFill="1" applyBorder="1"/>
    <xf numFmtId="0" fontId="188" fillId="74" borderId="0" xfId="1227" applyFont="1" applyFill="1" applyAlignment="1">
      <alignment horizontal="left"/>
    </xf>
    <xf numFmtId="0" fontId="28" fillId="74" borderId="0" xfId="1227" applyFont="1" applyFill="1"/>
    <xf numFmtId="166" fontId="28" fillId="74" borderId="1" xfId="1227" applyNumberFormat="1" applyFont="1" applyFill="1" applyBorder="1" applyAlignment="1">
      <alignment horizontal="left"/>
    </xf>
    <xf numFmtId="9" fontId="28" fillId="74" borderId="0" xfId="42" applyFont="1" applyFill="1"/>
    <xf numFmtId="37" fontId="22" fillId="74" borderId="0" xfId="23" applyNumberFormat="1" applyFont="1" applyFill="1" applyBorder="1" applyProtection="1">
      <protection locked="0"/>
    </xf>
    <xf numFmtId="0" fontId="22" fillId="74" borderId="0" xfId="23" applyFont="1" applyFill="1"/>
    <xf numFmtId="0" fontId="71" fillId="74" borderId="0" xfId="19" applyFill="1"/>
    <xf numFmtId="0" fontId="0" fillId="74" borderId="0" xfId="0" applyFill="1"/>
    <xf numFmtId="10" fontId="16" fillId="0" borderId="0" xfId="42" applyNumberFormat="1" applyFont="1" applyFill="1"/>
    <xf numFmtId="0" fontId="28" fillId="0" borderId="1" xfId="0" applyFont="1" applyBorder="1"/>
    <xf numFmtId="0" fontId="0" fillId="0" borderId="1" xfId="0" applyBorder="1"/>
    <xf numFmtId="10" fontId="0" fillId="0" borderId="0" xfId="0" applyNumberFormat="1"/>
    <xf numFmtId="0" fontId="40" fillId="0" borderId="1" xfId="0" applyFont="1" applyBorder="1"/>
    <xf numFmtId="10" fontId="0" fillId="0" borderId="0" xfId="42" applyNumberFormat="1" applyFont="1" applyFill="1"/>
    <xf numFmtId="37" fontId="21" fillId="0" borderId="0" xfId="0" applyNumberFormat="1" applyFont="1" applyFill="1"/>
    <xf numFmtId="0" fontId="28" fillId="0" borderId="1" xfId="0" applyFont="1" applyBorder="1" applyAlignment="1">
      <alignment horizontal="center"/>
    </xf>
    <xf numFmtId="0" fontId="0" fillId="0" borderId="0" xfId="0" applyFill="1" applyBorder="1"/>
    <xf numFmtId="0" fontId="40" fillId="0" borderId="0" xfId="0" applyFont="1" applyFill="1" applyBorder="1"/>
    <xf numFmtId="5" fontId="40" fillId="0" borderId="0" xfId="0" applyNumberFormat="1" applyFont="1" applyFill="1" applyBorder="1"/>
    <xf numFmtId="0" fontId="40" fillId="0" borderId="0" xfId="0" applyFont="1" applyFill="1" applyBorder="1" applyAlignment="1">
      <alignment horizontal="center"/>
    </xf>
    <xf numFmtId="0" fontId="191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0" fillId="0" borderId="0" xfId="0" quotePrefix="1" applyFill="1" applyBorder="1" applyAlignment="1">
      <alignment vertical="top"/>
    </xf>
    <xf numFmtId="3" fontId="21" fillId="0" borderId="0" xfId="1227" applyNumberFormat="1"/>
    <xf numFmtId="0" fontId="88" fillId="0" borderId="0" xfId="0" applyFont="1" applyBorder="1" applyAlignment="1"/>
    <xf numFmtId="0" fontId="88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91" fillId="0" borderId="0" xfId="0" applyFont="1" applyFill="1" applyBorder="1"/>
    <xf numFmtId="0" fontId="191" fillId="0" borderId="0" xfId="0" applyFont="1" applyBorder="1" applyAlignment="1">
      <alignment horizontal="center"/>
    </xf>
    <xf numFmtId="0" fontId="192" fillId="0" borderId="0" xfId="0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center"/>
    </xf>
    <xf numFmtId="0" fontId="89" fillId="0" borderId="0" xfId="0" applyFont="1" applyBorder="1"/>
    <xf numFmtId="5" fontId="191" fillId="0" borderId="0" xfId="0" applyNumberFormat="1" applyFont="1" applyFill="1" applyBorder="1" applyAlignment="1">
      <alignment horizontal="center"/>
    </xf>
    <xf numFmtId="10" fontId="40" fillId="0" borderId="0" xfId="0" applyNumberFormat="1" applyFont="1" applyBorder="1"/>
    <xf numFmtId="166" fontId="189" fillId="0" borderId="1" xfId="1" applyNumberFormat="1" applyFont="1" applyFill="1" applyBorder="1" applyAlignment="1">
      <alignment horizontal="center" vertical="center" wrapText="1"/>
    </xf>
    <xf numFmtId="10" fontId="28" fillId="74" borderId="49" xfId="0" applyNumberFormat="1" applyFont="1" applyFill="1" applyBorder="1"/>
    <xf numFmtId="0" fontId="21" fillId="0" borderId="0" xfId="23"/>
    <xf numFmtId="37" fontId="22" fillId="0" borderId="1" xfId="23" applyNumberFormat="1" applyFont="1" applyFill="1" applyBorder="1" applyProtection="1">
      <protection locked="0"/>
    </xf>
    <xf numFmtId="0" fontId="106" fillId="0" borderId="0" xfId="19" applyFont="1" applyFill="1" applyAlignment="1">
      <alignment horizontal="left"/>
    </xf>
    <xf numFmtId="0" fontId="41" fillId="74" borderId="15" xfId="19" applyFont="1" applyFill="1" applyBorder="1" applyAlignment="1">
      <alignment horizontal="left"/>
    </xf>
    <xf numFmtId="0" fontId="41" fillId="74" borderId="16" xfId="19" applyFont="1" applyFill="1" applyBorder="1" applyAlignment="1">
      <alignment horizontal="center"/>
    </xf>
    <xf numFmtId="0" fontId="41" fillId="74" borderId="17" xfId="19" applyFont="1" applyFill="1" applyBorder="1" applyAlignment="1">
      <alignment horizontal="center"/>
    </xf>
    <xf numFmtId="37" fontId="40" fillId="74" borderId="14" xfId="40" applyNumberFormat="1" applyFont="1" applyFill="1" applyBorder="1"/>
    <xf numFmtId="37" fontId="40" fillId="74" borderId="0" xfId="40" applyNumberFormat="1" applyFont="1" applyFill="1" applyBorder="1"/>
    <xf numFmtId="0" fontId="41" fillId="74" borderId="0" xfId="19" applyFont="1" applyFill="1" applyBorder="1" applyAlignment="1">
      <alignment horizontal="center"/>
    </xf>
    <xf numFmtId="37" fontId="44" fillId="74" borderId="0" xfId="40" applyNumberFormat="1" applyFont="1" applyFill="1" applyBorder="1"/>
    <xf numFmtId="37" fontId="40" fillId="74" borderId="18" xfId="40" applyNumberFormat="1" applyFont="1" applyFill="1" applyBorder="1"/>
    <xf numFmtId="0" fontId="40" fillId="74" borderId="0" xfId="19" applyFont="1" applyFill="1" applyBorder="1"/>
    <xf numFmtId="0" fontId="41" fillId="74" borderId="1" xfId="19" applyFont="1" applyFill="1" applyBorder="1" applyAlignment="1">
      <alignment horizontal="center"/>
    </xf>
    <xf numFmtId="0" fontId="40" fillId="74" borderId="18" xfId="19" applyFont="1" applyFill="1" applyBorder="1"/>
    <xf numFmtId="5" fontId="40" fillId="74" borderId="0" xfId="19" applyNumberFormat="1" applyFont="1" applyFill="1" applyBorder="1"/>
    <xf numFmtId="10" fontId="40" fillId="74" borderId="0" xfId="49" applyNumberFormat="1" applyFont="1" applyFill="1" applyBorder="1"/>
    <xf numFmtId="10" fontId="44" fillId="74" borderId="0" xfId="49" applyNumberFormat="1" applyFont="1" applyFill="1" applyBorder="1"/>
    <xf numFmtId="169" fontId="40" fillId="74" borderId="0" xfId="49" applyNumberFormat="1" applyFont="1" applyFill="1" applyBorder="1"/>
    <xf numFmtId="37" fontId="41" fillId="74" borderId="18" xfId="40" applyNumberFormat="1" applyFont="1" applyFill="1" applyBorder="1" applyAlignment="1">
      <alignment horizontal="center"/>
    </xf>
    <xf numFmtId="166" fontId="40" fillId="74" borderId="0" xfId="9" applyNumberFormat="1" applyFont="1" applyFill="1" applyBorder="1"/>
    <xf numFmtId="10" fontId="41" fillId="74" borderId="18" xfId="49" applyNumberFormat="1" applyFont="1" applyFill="1" applyBorder="1" applyAlignment="1">
      <alignment horizontal="center"/>
    </xf>
    <xf numFmtId="10" fontId="91" fillId="74" borderId="0" xfId="49" applyNumberFormat="1" applyFont="1" applyFill="1" applyBorder="1"/>
    <xf numFmtId="169" fontId="44" fillId="74" borderId="0" xfId="49" applyNumberFormat="1" applyFont="1" applyFill="1" applyBorder="1"/>
    <xf numFmtId="10" fontId="40" fillId="74" borderId="11" xfId="49" applyNumberFormat="1" applyFont="1" applyFill="1" applyBorder="1"/>
    <xf numFmtId="37" fontId="40" fillId="74" borderId="19" xfId="40" applyNumberFormat="1" applyFont="1" applyFill="1" applyBorder="1"/>
    <xf numFmtId="0" fontId="40" fillId="74" borderId="13" xfId="19" applyFont="1" applyFill="1" applyBorder="1"/>
    <xf numFmtId="166" fontId="40" fillId="74" borderId="13" xfId="9" applyNumberFormat="1" applyFont="1" applyFill="1" applyBorder="1"/>
    <xf numFmtId="10" fontId="40" fillId="74" borderId="13" xfId="49" applyNumberFormat="1" applyFont="1" applyFill="1" applyBorder="1"/>
    <xf numFmtId="10" fontId="44" fillId="74" borderId="13" xfId="49" applyNumberFormat="1" applyFont="1" applyFill="1" applyBorder="1"/>
    <xf numFmtId="37" fontId="40" fillId="74" borderId="20" xfId="40" applyNumberFormat="1" applyFont="1" applyFill="1" applyBorder="1"/>
    <xf numFmtId="0" fontId="193" fillId="0" borderId="0" xfId="40" applyFont="1" applyFill="1" applyAlignment="1">
      <alignment horizontal="center"/>
    </xf>
    <xf numFmtId="5" fontId="22" fillId="0" borderId="0" xfId="40" applyNumberFormat="1" applyFont="1" applyFill="1"/>
    <xf numFmtId="164" fontId="187" fillId="0" borderId="0" xfId="23" applyNumberFormat="1" applyFont="1" applyFill="1"/>
    <xf numFmtId="0" fontId="28" fillId="74" borderId="0" xfId="23" applyFont="1" applyFill="1"/>
    <xf numFmtId="0" fontId="28" fillId="74" borderId="0" xfId="23" applyFont="1" applyFill="1" applyAlignment="1">
      <alignment horizontal="center"/>
    </xf>
    <xf numFmtId="0" fontId="21" fillId="0" borderId="9" xfId="23" applyFont="1" applyFill="1" applyBorder="1" applyAlignment="1">
      <alignment horizontal="center"/>
    </xf>
    <xf numFmtId="10" fontId="21" fillId="0" borderId="0" xfId="23" applyNumberFormat="1" applyFont="1" applyFill="1"/>
    <xf numFmtId="3" fontId="21" fillId="0" borderId="9" xfId="23" applyNumberFormat="1" applyFont="1" applyFill="1" applyBorder="1"/>
    <xf numFmtId="3" fontId="21" fillId="0" borderId="2" xfId="23" applyNumberFormat="1" applyFont="1" applyFill="1" applyBorder="1"/>
    <xf numFmtId="3" fontId="21" fillId="0" borderId="1" xfId="23" applyNumberFormat="1" applyFont="1" applyFill="1" applyBorder="1"/>
    <xf numFmtId="168" fontId="21" fillId="0" borderId="0" xfId="11" applyNumberFormat="1" applyFont="1" applyFill="1"/>
    <xf numFmtId="3" fontId="193" fillId="0" borderId="0" xfId="0" applyNumberFormat="1" applyFont="1" applyFill="1" applyBorder="1"/>
    <xf numFmtId="37" fontId="22" fillId="0" borderId="1" xfId="0" applyNumberFormat="1" applyFont="1" applyFill="1" applyBorder="1" applyAlignment="1" applyProtection="1">
      <alignment horizontal="center"/>
      <protection locked="0"/>
    </xf>
    <xf numFmtId="37" fontId="22" fillId="0" borderId="1" xfId="0" applyNumberFormat="1" applyFont="1" applyFill="1" applyBorder="1" applyProtection="1">
      <protection locked="0"/>
    </xf>
    <xf numFmtId="10" fontId="62" fillId="0" borderId="0" xfId="42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1" fillId="0" borderId="0" xfId="1227"/>
    <xf numFmtId="0" fontId="21" fillId="0" borderId="0" xfId="23"/>
    <xf numFmtId="166" fontId="40" fillId="0" borderId="0" xfId="86" applyNumberFormat="1" applyFont="1" applyFill="1"/>
    <xf numFmtId="166" fontId="40" fillId="0" borderId="1" xfId="86" applyNumberFormat="1" applyFont="1" applyFill="1" applyBorder="1"/>
    <xf numFmtId="166" fontId="40" fillId="0" borderId="9" xfId="86" applyNumberFormat="1" applyFont="1" applyFill="1" applyBorder="1"/>
    <xf numFmtId="166" fontId="40" fillId="0" borderId="3" xfId="86" applyNumberFormat="1" applyFont="1" applyFill="1" applyBorder="1"/>
    <xf numFmtId="166" fontId="69" fillId="0" borderId="0" xfId="86" applyNumberFormat="1" applyFont="1" applyFill="1"/>
    <xf numFmtId="166" fontId="66" fillId="0" borderId="0" xfId="86" applyNumberFormat="1" applyFont="1" applyFill="1"/>
    <xf numFmtId="166" fontId="41" fillId="0" borderId="12" xfId="86" applyNumberFormat="1" applyFont="1" applyFill="1" applyBorder="1"/>
    <xf numFmtId="166" fontId="40" fillId="0" borderId="12" xfId="86" applyNumberFormat="1" applyFont="1" applyFill="1" applyBorder="1"/>
    <xf numFmtId="166" fontId="41" fillId="0" borderId="0" xfId="86" applyNumberFormat="1" applyFont="1" applyFill="1" applyBorder="1"/>
    <xf numFmtId="166" fontId="40" fillId="0" borderId="0" xfId="86" applyNumberFormat="1" applyFont="1" applyFill="1" applyBorder="1"/>
    <xf numFmtId="166" fontId="41" fillId="0" borderId="13" xfId="86" applyNumberFormat="1" applyFont="1" applyFill="1" applyBorder="1"/>
    <xf numFmtId="0" fontId="39" fillId="0" borderId="0" xfId="1227" applyFont="1" applyAlignment="1">
      <alignment horizontal="left"/>
    </xf>
    <xf numFmtId="0" fontId="39" fillId="0" borderId="0" xfId="1227" applyFont="1"/>
    <xf numFmtId="0" fontId="47" fillId="0" borderId="0" xfId="1227" applyFont="1"/>
    <xf numFmtId="0" fontId="39" fillId="0" borderId="0" xfId="1227" applyFont="1" applyAlignment="1">
      <alignment horizontal="center"/>
    </xf>
    <xf numFmtId="0" fontId="39" fillId="0" borderId="1" xfId="1227" applyFont="1" applyBorder="1" applyAlignment="1">
      <alignment horizontal="center"/>
    </xf>
    <xf numFmtId="0" fontId="49" fillId="0" borderId="1" xfId="1227" applyFont="1" applyBorder="1"/>
    <xf numFmtId="0" fontId="39" fillId="0" borderId="1" xfId="1227" applyFont="1" applyBorder="1"/>
    <xf numFmtId="37" fontId="39" fillId="0" borderId="0" xfId="1227" applyNumberFormat="1" applyFont="1"/>
    <xf numFmtId="37" fontId="39" fillId="0" borderId="1" xfId="1227" applyNumberFormat="1" applyFont="1" applyBorder="1"/>
    <xf numFmtId="37" fontId="51" fillId="0" borderId="0" xfId="1227" applyNumberFormat="1" applyFont="1"/>
    <xf numFmtId="37" fontId="39" fillId="0" borderId="9" xfId="1227" applyNumberFormat="1" applyFont="1" applyBorder="1"/>
    <xf numFmtId="37" fontId="52" fillId="0" borderId="0" xfId="1227" applyNumberFormat="1" applyFont="1"/>
    <xf numFmtId="3" fontId="39" fillId="0" borderId="0" xfId="1227" applyNumberFormat="1" applyFont="1"/>
    <xf numFmtId="0" fontId="53" fillId="0" borderId="0" xfId="1227" applyFont="1" applyAlignment="1">
      <alignment horizontal="left"/>
    </xf>
    <xf numFmtId="0" fontId="53" fillId="0" borderId="0" xfId="1227" applyFont="1"/>
    <xf numFmtId="37" fontId="39" fillId="0" borderId="0" xfId="1227" applyNumberFormat="1" applyFont="1" applyBorder="1"/>
    <xf numFmtId="174" fontId="39" fillId="0" borderId="0" xfId="1227" applyNumberFormat="1" applyFont="1"/>
    <xf numFmtId="178" fontId="39" fillId="0" borderId="0" xfId="1227" applyNumberFormat="1" applyFont="1"/>
    <xf numFmtId="7" fontId="39" fillId="0" borderId="0" xfId="1227" applyNumberFormat="1" applyFont="1"/>
    <xf numFmtId="179" fontId="39" fillId="0" borderId="0" xfId="1227" applyNumberFormat="1" applyFont="1"/>
    <xf numFmtId="180" fontId="39" fillId="0" borderId="0" xfId="1227" applyNumberFormat="1" applyFont="1"/>
    <xf numFmtId="173" fontId="39" fillId="0" borderId="0" xfId="1227" applyNumberFormat="1" applyFont="1"/>
    <xf numFmtId="5" fontId="39" fillId="0" borderId="0" xfId="1227" applyNumberFormat="1" applyFont="1"/>
    <xf numFmtId="0" fontId="39" fillId="0" borderId="0" xfId="1227" applyFont="1" applyAlignment="1">
      <alignment horizontal="left" indent="1"/>
    </xf>
    <xf numFmtId="0" fontId="39" fillId="0" borderId="0" xfId="1228" applyFont="1" applyAlignment="1">
      <alignment horizontal="left"/>
    </xf>
    <xf numFmtId="37" fontId="52" fillId="0" borderId="0" xfId="1227" applyNumberFormat="1" applyFont="1" applyFill="1"/>
    <xf numFmtId="0" fontId="21" fillId="0" borderId="0" xfId="1228"/>
    <xf numFmtId="37" fontId="48" fillId="0" borderId="1" xfId="1227" applyNumberFormat="1" applyFont="1" applyBorder="1"/>
    <xf numFmtId="37" fontId="48" fillId="0" borderId="1" xfId="1227" applyNumberFormat="1" applyFont="1" applyFill="1" applyBorder="1"/>
    <xf numFmtId="0" fontId="39" fillId="0" borderId="2" xfId="1227" applyFont="1" applyBorder="1"/>
    <xf numFmtId="9" fontId="39" fillId="0" borderId="0" xfId="42" applyFont="1"/>
    <xf numFmtId="168" fontId="39" fillId="0" borderId="0" xfId="3034" applyNumberFormat="1" applyFont="1"/>
    <xf numFmtId="0" fontId="39" fillId="0" borderId="0" xfId="1228" applyFont="1" applyFill="1" applyAlignment="1">
      <alignment horizontal="left"/>
    </xf>
    <xf numFmtId="37" fontId="39" fillId="0" borderId="0" xfId="1227" applyNumberFormat="1" applyFont="1" applyAlignment="1">
      <alignment horizontal="left" indent="1"/>
    </xf>
    <xf numFmtId="37" fontId="78" fillId="0" borderId="0" xfId="1227" applyNumberFormat="1" applyFont="1" applyFill="1"/>
    <xf numFmtId="180" fontId="39" fillId="0" borderId="0" xfId="1227" applyNumberFormat="1" applyFont="1" applyAlignment="1">
      <alignment horizontal="left" indent="1"/>
    </xf>
    <xf numFmtId="180" fontId="39" fillId="0" borderId="0" xfId="1227" applyNumberFormat="1" applyFont="1" applyFill="1"/>
    <xf numFmtId="9" fontId="39" fillId="0" borderId="1" xfId="42" applyFont="1" applyBorder="1"/>
    <xf numFmtId="166" fontId="39" fillId="0" borderId="1" xfId="1" applyNumberFormat="1" applyFont="1" applyBorder="1"/>
    <xf numFmtId="168" fontId="39" fillId="0" borderId="1" xfId="3034" applyNumberFormat="1" applyFont="1" applyBorder="1"/>
    <xf numFmtId="5" fontId="39" fillId="0" borderId="0" xfId="1227" applyNumberFormat="1" applyFont="1" applyAlignment="1">
      <alignment horizontal="left" indent="1"/>
    </xf>
    <xf numFmtId="5" fontId="39" fillId="0" borderId="9" xfId="1227" applyNumberFormat="1" applyFont="1" applyBorder="1"/>
    <xf numFmtId="5" fontId="39" fillId="0" borderId="9" xfId="1227" applyNumberFormat="1" applyFont="1" applyFill="1" applyBorder="1"/>
    <xf numFmtId="5" fontId="39" fillId="0" borderId="0" xfId="1227" applyNumberFormat="1" applyFont="1" applyFill="1"/>
    <xf numFmtId="3" fontId="39" fillId="0" borderId="0" xfId="1227" applyNumberFormat="1" applyFont="1" applyAlignment="1">
      <alignment horizontal="left" indent="1"/>
    </xf>
    <xf numFmtId="5" fontId="51" fillId="0" borderId="0" xfId="1227" applyNumberFormat="1" applyFont="1"/>
    <xf numFmtId="181" fontId="39" fillId="0" borderId="0" xfId="1227" applyNumberFormat="1" applyFont="1"/>
    <xf numFmtId="5" fontId="39" fillId="0" borderId="0" xfId="1227" applyNumberFormat="1" applyFont="1" applyBorder="1"/>
    <xf numFmtId="5" fontId="48" fillId="0" borderId="9" xfId="1227" applyNumberFormat="1" applyFont="1" applyBorder="1"/>
    <xf numFmtId="5" fontId="53" fillId="0" borderId="0" xfId="1227" applyNumberFormat="1" applyFont="1"/>
    <xf numFmtId="10" fontId="53" fillId="0" borderId="0" xfId="1227" applyNumberFormat="1" applyFont="1"/>
    <xf numFmtId="0" fontId="54" fillId="0" borderId="0" xfId="1227" applyFont="1" applyAlignment="1"/>
    <xf numFmtId="10" fontId="39" fillId="0" borderId="0" xfId="1227" applyNumberFormat="1" applyFont="1"/>
    <xf numFmtId="7" fontId="21" fillId="0" borderId="0" xfId="1227" applyNumberFormat="1"/>
    <xf numFmtId="0" fontId="48" fillId="0" borderId="0" xfId="1227" applyFont="1"/>
    <xf numFmtId="166" fontId="39" fillId="0" borderId="0" xfId="1227" applyNumberFormat="1" applyFont="1"/>
    <xf numFmtId="0" fontId="39" fillId="0" borderId="9" xfId="1227" applyFont="1" applyBorder="1"/>
    <xf numFmtId="0" fontId="39" fillId="0" borderId="0" xfId="1227" applyFont="1" applyFill="1"/>
    <xf numFmtId="186" fontId="28" fillId="0" borderId="0" xfId="21" applyNumberFormat="1" applyFont="1">
      <alignment readingOrder="1"/>
    </xf>
    <xf numFmtId="3" fontId="76" fillId="0" borderId="0" xfId="43039" applyNumberFormat="1" applyFont="1" applyFill="1" applyAlignment="1">
      <alignment horizontal="left" indent="1"/>
    </xf>
    <xf numFmtId="166" fontId="21" fillId="0" borderId="0" xfId="1" applyNumberFormat="1">
      <alignment readingOrder="1"/>
    </xf>
    <xf numFmtId="3" fontId="77" fillId="0" borderId="0" xfId="43039" applyNumberFormat="1" applyFont="1" applyFill="1"/>
    <xf numFmtId="0" fontId="21" fillId="0" borderId="0" xfId="1227" applyFont="1" applyAlignment="1">
      <alignment horizontal="center"/>
    </xf>
    <xf numFmtId="0" fontId="28" fillId="0" borderId="0" xfId="1227" applyFont="1" applyFill="1">
      <alignment readingOrder="1"/>
    </xf>
    <xf numFmtId="0" fontId="27" fillId="0" borderId="0" xfId="1227" applyFont="1" applyFill="1" applyAlignment="1">
      <alignment horizontal="left" indent="1" readingOrder="1"/>
    </xf>
    <xf numFmtId="0" fontId="27" fillId="0" borderId="0" xfId="1227" applyFont="1" applyFill="1" applyBorder="1" applyAlignment="1">
      <alignment horizontal="left" indent="1" readingOrder="1"/>
    </xf>
    <xf numFmtId="0" fontId="21" fillId="0" borderId="0" xfId="1227" applyFill="1">
      <alignment readingOrder="1"/>
    </xf>
    <xf numFmtId="3" fontId="77" fillId="0" borderId="0" xfId="43040" applyNumberFormat="1" applyFont="1" applyFill="1"/>
    <xf numFmtId="3" fontId="77" fillId="0" borderId="0" xfId="43039" applyNumberFormat="1" applyFont="1"/>
    <xf numFmtId="0" fontId="2" fillId="0" borderId="0" xfId="21" applyFont="1">
      <alignment readingOrder="1"/>
    </xf>
    <xf numFmtId="10" fontId="66" fillId="0" borderId="9" xfId="42" applyNumberFormat="1" applyFont="1" applyFill="1" applyBorder="1" applyAlignment="1">
      <alignment horizontal="center"/>
    </xf>
    <xf numFmtId="166" fontId="191" fillId="0" borderId="0" xfId="1" applyNumberFormat="1" applyFont="1" applyFill="1" applyBorder="1" applyAlignment="1">
      <alignment horizontal="right"/>
    </xf>
    <xf numFmtId="10" fontId="66" fillId="74" borderId="23" xfId="34" applyNumberFormat="1" applyFont="1" applyFill="1" applyBorder="1" applyAlignment="1">
      <alignment horizontal="center"/>
    </xf>
    <xf numFmtId="5" fontId="40" fillId="0" borderId="0" xfId="0" quotePrefix="1" applyNumberFormat="1" applyFont="1" applyFill="1" applyBorder="1" applyAlignment="1">
      <alignment horizontal="center"/>
    </xf>
    <xf numFmtId="5" fontId="40" fillId="0" borderId="63" xfId="0" applyNumberFormat="1" applyFont="1" applyFill="1" applyBorder="1"/>
    <xf numFmtId="3" fontId="36" fillId="0" borderId="47" xfId="23" applyNumberFormat="1" applyFont="1" applyFill="1" applyBorder="1" applyAlignment="1">
      <alignment horizontal="center"/>
    </xf>
    <xf numFmtId="3" fontId="22" fillId="0" borderId="0" xfId="23" applyNumberFormat="1" applyFont="1" applyFill="1" applyAlignment="1">
      <alignment horizontal="center"/>
    </xf>
    <xf numFmtId="0" fontId="194" fillId="0" borderId="0" xfId="0" applyFont="1"/>
    <xf numFmtId="3" fontId="189" fillId="0" borderId="0" xfId="23" applyNumberFormat="1" applyFont="1" applyFill="1"/>
    <xf numFmtId="0" fontId="189" fillId="0" borderId="0" xfId="23" applyFont="1" applyFill="1"/>
    <xf numFmtId="0" fontId="189" fillId="0" borderId="0" xfId="23" applyFont="1" applyFill="1" applyBorder="1"/>
    <xf numFmtId="0" fontId="89" fillId="0" borderId="0" xfId="0" applyFont="1" applyFill="1"/>
    <xf numFmtId="0" fontId="89" fillId="0" borderId="0" xfId="0" applyFont="1" applyFill="1" applyBorder="1"/>
    <xf numFmtId="168" fontId="189" fillId="0" borderId="0" xfId="10" applyNumberFormat="1" applyFont="1" applyFill="1" applyBorder="1"/>
    <xf numFmtId="168" fontId="189" fillId="0" borderId="0" xfId="10" applyNumberFormat="1" applyFont="1" applyFill="1" applyAlignment="1">
      <alignment horizontal="center"/>
    </xf>
    <xf numFmtId="10" fontId="189" fillId="0" borderId="0" xfId="42" applyNumberFormat="1" applyFont="1" applyFill="1" applyAlignment="1">
      <alignment horizontal="center"/>
    </xf>
    <xf numFmtId="168" fontId="189" fillId="0" borderId="0" xfId="10" applyNumberFormat="1" applyFont="1" applyFill="1"/>
    <xf numFmtId="168" fontId="189" fillId="0" borderId="1" xfId="10" applyNumberFormat="1" applyFont="1" applyFill="1" applyBorder="1"/>
    <xf numFmtId="168" fontId="189" fillId="0" borderId="1" xfId="10" applyNumberFormat="1" applyFont="1" applyFill="1" applyBorder="1" applyAlignment="1">
      <alignment horizontal="center"/>
    </xf>
    <xf numFmtId="10" fontId="189" fillId="0" borderId="1" xfId="42" applyNumberFormat="1" applyFont="1" applyFill="1" applyBorder="1" applyAlignment="1">
      <alignment horizontal="center"/>
    </xf>
    <xf numFmtId="175" fontId="189" fillId="0" borderId="1" xfId="1" applyNumberFormat="1" applyFont="1" applyFill="1" applyBorder="1" applyAlignment="1">
      <alignment horizontal="center"/>
    </xf>
    <xf numFmtId="168" fontId="189" fillId="0" borderId="9" xfId="10" applyNumberFormat="1" applyFont="1" applyFill="1" applyBorder="1"/>
    <xf numFmtId="168" fontId="189" fillId="0" borderId="9" xfId="10" applyNumberFormat="1" applyFont="1" applyFill="1" applyBorder="1" applyAlignment="1">
      <alignment horizontal="center"/>
    </xf>
    <xf numFmtId="0" fontId="88" fillId="0" borderId="0" xfId="23" applyFont="1" applyFill="1" applyBorder="1"/>
    <xf numFmtId="166" fontId="189" fillId="0" borderId="0" xfId="1" applyNumberFormat="1" applyFont="1" applyFill="1" applyAlignment="1">
      <alignment horizontal="center"/>
    </xf>
    <xf numFmtId="175" fontId="189" fillId="0" borderId="0" xfId="1" applyNumberFormat="1" applyFont="1" applyFill="1" applyAlignment="1">
      <alignment horizontal="center"/>
    </xf>
    <xf numFmtId="165" fontId="189" fillId="0" borderId="0" xfId="42" applyNumberFormat="1" applyFont="1" applyFill="1" applyAlignment="1">
      <alignment horizontal="center"/>
    </xf>
    <xf numFmtId="10" fontId="189" fillId="0" borderId="0" xfId="42" applyNumberFormat="1" applyFont="1" applyFill="1" applyBorder="1" applyAlignment="1">
      <alignment horizontal="center"/>
    </xf>
    <xf numFmtId="3" fontId="189" fillId="0" borderId="0" xfId="23" applyNumberFormat="1" applyFont="1" applyFill="1" applyBorder="1"/>
    <xf numFmtId="3" fontId="189" fillId="0" borderId="0" xfId="23" applyNumberFormat="1" applyFont="1" applyFill="1" applyBorder="1" applyAlignment="1">
      <alignment wrapText="1"/>
    </xf>
    <xf numFmtId="166" fontId="189" fillId="0" borderId="0" xfId="1" applyNumberFormat="1" applyFont="1" applyFill="1" applyBorder="1"/>
    <xf numFmtId="44" fontId="189" fillId="0" borderId="1" xfId="10" applyNumberFormat="1" applyFont="1" applyFill="1" applyBorder="1"/>
    <xf numFmtId="168" fontId="189" fillId="0" borderId="2" xfId="10" applyNumberFormat="1" applyFont="1" applyFill="1" applyBorder="1" applyAlignment="1">
      <alignment horizontal="center"/>
    </xf>
    <xf numFmtId="10" fontId="189" fillId="0" borderId="9" xfId="42" applyNumberFormat="1" applyFont="1" applyFill="1" applyBorder="1" applyAlignment="1">
      <alignment horizontal="center"/>
    </xf>
    <xf numFmtId="3" fontId="195" fillId="0" borderId="0" xfId="23" applyNumberFormat="1" applyFont="1" applyFill="1" applyBorder="1" applyAlignment="1">
      <alignment horizontal="center" wrapText="1"/>
    </xf>
    <xf numFmtId="3" fontId="189" fillId="0" borderId="1" xfId="23" applyNumberFormat="1" applyFont="1" applyFill="1" applyBorder="1" applyAlignment="1">
      <alignment horizontal="center" vertical="center" wrapText="1"/>
    </xf>
    <xf numFmtId="172" fontId="189" fillId="0" borderId="1" xfId="1" applyNumberFormat="1" applyFont="1" applyFill="1" applyBorder="1" applyAlignment="1">
      <alignment horizontal="center" vertical="center" wrapText="1"/>
    </xf>
    <xf numFmtId="3" fontId="189" fillId="0" borderId="1" xfId="1" applyNumberFormat="1" applyFont="1" applyFill="1" applyBorder="1" applyAlignment="1">
      <alignment horizontal="center" vertical="center" wrapText="1"/>
    </xf>
    <xf numFmtId="3" fontId="189" fillId="0" borderId="16" xfId="1" applyNumberFormat="1" applyFont="1" applyFill="1" applyBorder="1" applyAlignment="1">
      <alignment horizontal="center" vertical="center" wrapText="1"/>
    </xf>
    <xf numFmtId="3" fontId="189" fillId="0" borderId="47" xfId="23" applyNumberFormat="1" applyFont="1" applyFill="1" applyBorder="1" applyAlignment="1">
      <alignment horizontal="left"/>
    </xf>
    <xf numFmtId="3" fontId="88" fillId="0" borderId="48" xfId="23" applyNumberFormat="1" applyFont="1" applyFill="1" applyBorder="1" applyAlignment="1">
      <alignment horizontal="center"/>
    </xf>
    <xf numFmtId="3" fontId="189" fillId="0" borderId="46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 applyAlignment="1">
      <alignment horizontal="center"/>
    </xf>
    <xf numFmtId="3" fontId="88" fillId="0" borderId="47" xfId="23" applyNumberFormat="1" applyFont="1" applyFill="1" applyBorder="1" applyAlignment="1">
      <alignment horizontal="center"/>
    </xf>
    <xf numFmtId="3" fontId="189" fillId="0" borderId="0" xfId="23" applyNumberFormat="1" applyFont="1" applyFill="1" applyBorder="1" applyAlignment="1">
      <alignment horizontal="center"/>
    </xf>
    <xf numFmtId="3" fontId="189" fillId="0" borderId="16" xfId="23" applyNumberFormat="1" applyFont="1" applyFill="1" applyBorder="1" applyAlignment="1">
      <alignment horizontal="center" vertical="center" wrapText="1"/>
    </xf>
    <xf numFmtId="3" fontId="189" fillId="0" borderId="0" xfId="23" applyNumberFormat="1" applyFont="1" applyFill="1" applyBorder="1" applyAlignment="1">
      <alignment horizontal="center" wrapText="1"/>
    </xf>
    <xf numFmtId="168" fontId="189" fillId="0" borderId="0" xfId="42" applyNumberFormat="1" applyFont="1" applyFill="1"/>
    <xf numFmtId="166" fontId="189" fillId="0" borderId="0" xfId="1" applyNumberFormat="1" applyFont="1" applyFill="1"/>
    <xf numFmtId="168" fontId="189" fillId="0" borderId="0" xfId="11" applyNumberFormat="1" applyFont="1" applyFill="1" applyAlignment="1">
      <alignment horizontal="center"/>
    </xf>
    <xf numFmtId="168" fontId="189" fillId="0" borderId="0" xfId="11" applyNumberFormat="1" applyFont="1" applyFill="1"/>
    <xf numFmtId="168" fontId="189" fillId="0" borderId="0" xfId="11" applyNumberFormat="1" applyFont="1" applyFill="1" applyBorder="1"/>
    <xf numFmtId="168" fontId="189" fillId="0" borderId="11" xfId="10" applyNumberFormat="1" applyFont="1" applyFill="1" applyBorder="1"/>
    <xf numFmtId="168" fontId="189" fillId="0" borderId="0" xfId="10" applyNumberFormat="1" applyFont="1" applyFill="1" applyBorder="1" applyAlignment="1">
      <alignment horizontal="center"/>
    </xf>
    <xf numFmtId="168" fontId="189" fillId="0" borderId="1" xfId="11" applyNumberFormat="1" applyFont="1" applyFill="1" applyBorder="1"/>
    <xf numFmtId="3" fontId="189" fillId="0" borderId="0" xfId="23" applyNumberFormat="1" applyFont="1" applyFill="1" applyAlignment="1">
      <alignment wrapText="1"/>
    </xf>
    <xf numFmtId="165" fontId="189" fillId="0" borderId="0" xfId="23" applyNumberFormat="1" applyFont="1" applyFill="1" applyBorder="1"/>
    <xf numFmtId="168" fontId="197" fillId="0" borderId="0" xfId="10" applyNumberFormat="1" applyFont="1" applyFill="1" applyBorder="1"/>
    <xf numFmtId="168" fontId="189" fillId="0" borderId="11" xfId="10" applyNumberFormat="1" applyFont="1" applyFill="1" applyBorder="1" applyAlignment="1">
      <alignment horizontal="center"/>
    </xf>
    <xf numFmtId="10" fontId="189" fillId="0" borderId="11" xfId="42" applyNumberFormat="1" applyFont="1" applyFill="1" applyBorder="1" applyAlignment="1">
      <alignment horizontal="center"/>
    </xf>
    <xf numFmtId="168" fontId="189" fillId="0" borderId="0" xfId="42" applyNumberFormat="1" applyFont="1" applyFill="1" applyBorder="1" applyAlignment="1">
      <alignment horizontal="center"/>
    </xf>
    <xf numFmtId="168" fontId="189" fillId="0" borderId="0" xfId="42" applyNumberFormat="1" applyFont="1" applyFill="1" applyAlignment="1">
      <alignment horizontal="center"/>
    </xf>
    <xf numFmtId="166" fontId="189" fillId="0" borderId="0" xfId="1" applyNumberFormat="1" applyFont="1" applyFill="1" applyBorder="1" applyAlignment="1">
      <alignment horizontal="center"/>
    </xf>
    <xf numFmtId="10" fontId="88" fillId="0" borderId="0" xfId="42" applyNumberFormat="1" applyFont="1" applyFill="1" applyBorder="1" applyAlignment="1">
      <alignment horizontal="center"/>
    </xf>
    <xf numFmtId="3" fontId="189" fillId="0" borderId="22" xfId="23" applyNumberFormat="1" applyFont="1" applyFill="1" applyBorder="1"/>
    <xf numFmtId="0" fontId="189" fillId="0" borderId="12" xfId="23" applyFont="1" applyFill="1" applyBorder="1"/>
    <xf numFmtId="168" fontId="189" fillId="0" borderId="12" xfId="23" applyNumberFormat="1" applyFont="1" applyFill="1" applyBorder="1"/>
    <xf numFmtId="166" fontId="189" fillId="0" borderId="12" xfId="1" applyNumberFormat="1" applyFont="1" applyFill="1" applyBorder="1"/>
    <xf numFmtId="172" fontId="189" fillId="0" borderId="12" xfId="23" applyNumberFormat="1" applyFont="1" applyFill="1" applyBorder="1" applyAlignment="1">
      <alignment horizontal="center"/>
    </xf>
    <xf numFmtId="3" fontId="189" fillId="0" borderId="12" xfId="23" applyNumberFormat="1" applyFont="1" applyFill="1" applyBorder="1"/>
    <xf numFmtId="168" fontId="189" fillId="0" borderId="12" xfId="10" applyNumberFormat="1" applyFont="1" applyFill="1" applyBorder="1"/>
    <xf numFmtId="3" fontId="189" fillId="0" borderId="14" xfId="0" applyNumberFormat="1" applyFont="1" applyFill="1" applyBorder="1"/>
    <xf numFmtId="3" fontId="189" fillId="0" borderId="0" xfId="0" applyNumberFormat="1" applyFont="1" applyFill="1" applyBorder="1"/>
    <xf numFmtId="0" fontId="189" fillId="0" borderId="0" xfId="0" applyFont="1" applyFill="1" applyBorder="1" applyAlignment="1"/>
    <xf numFmtId="172" fontId="189" fillId="0" borderId="0" xfId="23" applyNumberFormat="1" applyFont="1" applyFill="1" applyBorder="1" applyAlignment="1">
      <alignment vertical="top"/>
    </xf>
    <xf numFmtId="3" fontId="189" fillId="0" borderId="0" xfId="0" applyNumberFormat="1" applyFont="1" applyFill="1" applyBorder="1" applyAlignment="1">
      <alignment wrapText="1"/>
    </xf>
    <xf numFmtId="184" fontId="189" fillId="0" borderId="0" xfId="0" applyNumberFormat="1" applyFont="1" applyFill="1" applyBorder="1" applyAlignment="1">
      <alignment horizontal="center"/>
    </xf>
    <xf numFmtId="176" fontId="189" fillId="0" borderId="0" xfId="42" applyNumberFormat="1" applyFont="1" applyFill="1" applyBorder="1" applyAlignment="1">
      <alignment horizontal="center"/>
    </xf>
    <xf numFmtId="3" fontId="189" fillId="0" borderId="19" xfId="0" applyNumberFormat="1" applyFont="1" applyFill="1" applyBorder="1"/>
    <xf numFmtId="3" fontId="189" fillId="0" borderId="13" xfId="0" applyNumberFormat="1" applyFont="1" applyFill="1" applyBorder="1"/>
    <xf numFmtId="3" fontId="88" fillId="0" borderId="13" xfId="0" applyNumberFormat="1" applyFont="1" applyFill="1" applyBorder="1"/>
    <xf numFmtId="3" fontId="189" fillId="0" borderId="13" xfId="42" applyNumberFormat="1" applyFont="1" applyFill="1" applyBorder="1" applyAlignment="1">
      <alignment horizontal="center"/>
    </xf>
    <xf numFmtId="172" fontId="189" fillId="0" borderId="13" xfId="23" applyNumberFormat="1" applyFont="1" applyFill="1" applyBorder="1" applyAlignment="1">
      <alignment vertical="top"/>
    </xf>
    <xf numFmtId="172" fontId="189" fillId="0" borderId="0" xfId="23" applyNumberFormat="1" applyFont="1" applyFill="1" applyBorder="1"/>
    <xf numFmtId="182" fontId="189" fillId="0" borderId="0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/>
    <xf numFmtId="168" fontId="189" fillId="74" borderId="47" xfId="10" applyNumberFormat="1" applyFont="1" applyFill="1" applyBorder="1" applyAlignment="1">
      <alignment horizontal="center"/>
    </xf>
    <xf numFmtId="10" fontId="189" fillId="0" borderId="49" xfId="42" applyNumberFormat="1" applyFont="1" applyFill="1" applyBorder="1" applyAlignment="1">
      <alignment horizontal="center"/>
    </xf>
    <xf numFmtId="0" fontId="28" fillId="0" borderId="0" xfId="23" applyFont="1" applyFill="1" applyAlignment="1">
      <alignment horizontal="center"/>
    </xf>
    <xf numFmtId="172" fontId="189" fillId="0" borderId="0" xfId="23" applyNumberFormat="1" applyFont="1" applyFill="1" applyAlignment="1">
      <alignment horizontal="center"/>
    </xf>
    <xf numFmtId="43" fontId="0" fillId="0" borderId="0" xfId="0" applyNumberFormat="1"/>
    <xf numFmtId="0" fontId="28" fillId="0" borderId="0" xfId="0" applyFont="1" applyAlignment="1">
      <alignment horizontal="center"/>
    </xf>
    <xf numFmtId="37" fontId="22" fillId="0" borderId="0" xfId="40" applyNumberFormat="1" applyFont="1" applyFill="1" applyBorder="1"/>
    <xf numFmtId="0" fontId="28" fillId="0" borderId="0" xfId="23" applyFont="1" applyAlignment="1">
      <alignment horizontal="center"/>
    </xf>
    <xf numFmtId="229" fontId="0" fillId="0" borderId="0" xfId="0" applyNumberFormat="1"/>
    <xf numFmtId="5" fontId="198" fillId="0" borderId="0" xfId="10" quotePrefix="1" applyNumberFormat="1" applyFont="1" applyFill="1" applyBorder="1" applyAlignment="1">
      <alignment horizontal="center" vertical="top"/>
    </xf>
    <xf numFmtId="0" fontId="21" fillId="0" borderId="0" xfId="23" applyAlignment="1">
      <alignment horizontal="center"/>
    </xf>
    <xf numFmtId="0" fontId="88" fillId="0" borderId="0" xfId="0" applyFont="1" applyFill="1" applyBorder="1" applyAlignment="1">
      <alignment horizontal="center" wrapText="1"/>
    </xf>
    <xf numFmtId="0" fontId="88" fillId="0" borderId="1" xfId="0" applyFont="1" applyFill="1" applyBorder="1" applyAlignment="1">
      <alignment horizontal="center" wrapText="1"/>
    </xf>
    <xf numFmtId="0" fontId="0" fillId="0" borderId="0" xfId="0" quotePrefix="1" applyBorder="1" applyAlignment="1">
      <alignment horizontal="right"/>
    </xf>
    <xf numFmtId="0" fontId="1" fillId="0" borderId="0" xfId="34" applyFont="1"/>
    <xf numFmtId="0" fontId="1" fillId="0" borderId="0" xfId="34" applyFont="1" applyAlignment="1">
      <alignment horizontal="center"/>
    </xf>
    <xf numFmtId="165" fontId="0" fillId="0" borderId="0" xfId="42" applyNumberFormat="1" applyFont="1" applyBorder="1"/>
    <xf numFmtId="10" fontId="28" fillId="75" borderId="49" xfId="0" applyNumberFormat="1" applyFont="1" applyFill="1" applyBorder="1"/>
    <xf numFmtId="166" fontId="22" fillId="75" borderId="0" xfId="1" applyNumberFormat="1" applyFont="1" applyFill="1" applyBorder="1" applyAlignment="1">
      <alignment horizontal="center"/>
    </xf>
    <xf numFmtId="0" fontId="89" fillId="75" borderId="0" xfId="0" applyFont="1" applyFill="1" applyBorder="1" applyAlignment="1">
      <alignment horizontal="center"/>
    </xf>
    <xf numFmtId="3" fontId="22" fillId="0" borderId="1" xfId="23" applyNumberFormat="1" applyFont="1" applyFill="1" applyBorder="1" applyAlignment="1">
      <alignment horizontal="center"/>
    </xf>
    <xf numFmtId="3" fontId="189" fillId="0" borderId="1" xfId="23" applyNumberFormat="1" applyFont="1" applyFill="1" applyBorder="1"/>
    <xf numFmtId="0" fontId="189" fillId="0" borderId="1" xfId="23" applyFont="1" applyFill="1" applyBorder="1"/>
    <xf numFmtId="10" fontId="41" fillId="0" borderId="49" xfId="42" applyNumberFormat="1" applyFont="1" applyFill="1" applyBorder="1"/>
    <xf numFmtId="0" fontId="21" fillId="0" borderId="0" xfId="0" quotePrefix="1" applyFont="1" applyBorder="1"/>
    <xf numFmtId="10" fontId="0" fillId="0" borderId="0" xfId="42" quotePrefix="1" applyNumberFormat="1" applyFont="1" applyFill="1" applyAlignment="1">
      <alignment horizontal="right"/>
    </xf>
    <xf numFmtId="168" fontId="189" fillId="0" borderId="0" xfId="3034" applyNumberFormat="1" applyFont="1" applyFill="1" applyBorder="1"/>
    <xf numFmtId="168" fontId="189" fillId="0" borderId="1" xfId="3034" applyNumberFormat="1" applyFont="1" applyFill="1" applyBorder="1"/>
    <xf numFmtId="3" fontId="192" fillId="0" borderId="0" xfId="23" applyNumberFormat="1" applyFont="1" applyFill="1" applyBorder="1" applyAlignment="1">
      <alignment horizontal="center"/>
    </xf>
    <xf numFmtId="3" fontId="192" fillId="0" borderId="0" xfId="1" applyNumberFormat="1" applyFont="1" applyFill="1" applyBorder="1" applyAlignment="1">
      <alignment horizontal="center" vertical="center" wrapText="1"/>
    </xf>
    <xf numFmtId="0" fontId="192" fillId="0" borderId="0" xfId="23" applyFont="1" applyFill="1" applyBorder="1" applyAlignment="1">
      <alignment horizontal="center"/>
    </xf>
    <xf numFmtId="0" fontId="192" fillId="0" borderId="0" xfId="23" applyFont="1" applyFill="1" applyBorder="1"/>
    <xf numFmtId="168" fontId="192" fillId="0" borderId="0" xfId="10" applyNumberFormat="1" applyFont="1" applyFill="1" applyBorder="1"/>
    <xf numFmtId="168" fontId="192" fillId="0" borderId="0" xfId="10" applyNumberFormat="1" applyFont="1" applyFill="1" applyBorder="1" applyAlignment="1">
      <alignment horizontal="center"/>
    </xf>
    <xf numFmtId="3" fontId="192" fillId="0" borderId="0" xfId="23" applyNumberFormat="1" applyFont="1" applyFill="1" applyBorder="1"/>
    <xf numFmtId="3" fontId="192" fillId="0" borderId="0" xfId="23" applyNumberFormat="1" applyFont="1" applyFill="1" applyBorder="1" applyAlignment="1">
      <alignment horizontal="center" wrapText="1"/>
    </xf>
    <xf numFmtId="166" fontId="192" fillId="0" borderId="0" xfId="1" applyNumberFormat="1" applyFont="1" applyFill="1" applyBorder="1"/>
    <xf numFmtId="168" fontId="192" fillId="0" borderId="0" xfId="11" applyNumberFormat="1" applyFont="1" applyFill="1" applyBorder="1"/>
    <xf numFmtId="9" fontId="192" fillId="0" borderId="0" xfId="42" applyFont="1" applyFill="1" applyBorder="1"/>
    <xf numFmtId="168" fontId="192" fillId="0" borderId="0" xfId="42" applyNumberFormat="1" applyFont="1" applyFill="1" applyBorder="1" applyAlignment="1">
      <alignment horizontal="center"/>
    </xf>
    <xf numFmtId="166" fontId="192" fillId="0" borderId="0" xfId="23" applyNumberFormat="1" applyFont="1" applyFill="1" applyAlignment="1">
      <alignment horizontal="center"/>
    </xf>
    <xf numFmtId="184" fontId="192" fillId="0" borderId="0" xfId="0" applyNumberFormat="1" applyFont="1" applyFill="1" applyBorder="1" applyAlignment="1">
      <alignment horizontal="center"/>
    </xf>
    <xf numFmtId="182" fontId="192" fillId="0" borderId="0" xfId="23" applyNumberFormat="1" applyFont="1" applyFill="1" applyBorder="1" applyAlignment="1">
      <alignment horizontal="center"/>
    </xf>
    <xf numFmtId="3" fontId="192" fillId="0" borderId="0" xfId="42" applyNumberFormat="1" applyFont="1" applyFill="1" applyBorder="1" applyAlignment="1">
      <alignment horizontal="center"/>
    </xf>
    <xf numFmtId="168" fontId="192" fillId="0" borderId="0" xfId="23" applyNumberFormat="1" applyFont="1" applyFill="1" applyBorder="1"/>
    <xf numFmtId="0" fontId="192" fillId="74" borderId="0" xfId="23" applyFont="1" applyFill="1" applyBorder="1"/>
    <xf numFmtId="0" fontId="192" fillId="5" borderId="0" xfId="23" applyFont="1" applyFill="1" applyBorder="1"/>
    <xf numFmtId="10" fontId="40" fillId="74" borderId="1" xfId="42" applyNumberFormat="1" applyFont="1" applyFill="1" applyBorder="1"/>
    <xf numFmtId="5" fontId="41" fillId="74" borderId="49" xfId="0" applyNumberFormat="1" applyFont="1" applyFill="1" applyBorder="1"/>
    <xf numFmtId="0" fontId="55" fillId="0" borderId="0" xfId="0" applyFont="1" applyFill="1" applyBorder="1" applyAlignment="1">
      <alignment horizontal="center"/>
    </xf>
    <xf numFmtId="0" fontId="75" fillId="74" borderId="0" xfId="19" applyFont="1" applyFill="1"/>
    <xf numFmtId="183" fontId="85" fillId="0" borderId="3" xfId="0" applyNumberFormat="1" applyFont="1" applyFill="1" applyBorder="1"/>
    <xf numFmtId="166" fontId="189" fillId="74" borderId="1" xfId="1" applyNumberFormat="1" applyFont="1" applyFill="1" applyBorder="1" applyAlignment="1">
      <alignment horizontal="center" vertical="center" wrapText="1"/>
    </xf>
    <xf numFmtId="3" fontId="189" fillId="74" borderId="1" xfId="23" applyNumberFormat="1" applyFont="1" applyFill="1" applyBorder="1" applyAlignment="1">
      <alignment horizontal="center" vertical="center" wrapText="1"/>
    </xf>
    <xf numFmtId="3" fontId="189" fillId="74" borderId="1" xfId="1" applyNumberFormat="1" applyFont="1" applyFill="1" applyBorder="1" applyAlignment="1">
      <alignment horizontal="center" vertical="center" wrapText="1"/>
    </xf>
    <xf numFmtId="3" fontId="189" fillId="76" borderId="0" xfId="23" applyNumberFormat="1" applyFont="1" applyFill="1" applyAlignment="1">
      <alignment vertical="top"/>
    </xf>
    <xf numFmtId="3" fontId="189" fillId="76" borderId="0" xfId="23" applyNumberFormat="1" applyFont="1" applyFill="1"/>
    <xf numFmtId="0" fontId="40" fillId="0" borderId="0" xfId="23" applyFont="1" applyFill="1" applyBorder="1" applyAlignment="1">
      <alignment vertical="top"/>
    </xf>
    <xf numFmtId="168" fontId="36" fillId="0" borderId="0" xfId="10" applyNumberFormat="1" applyFont="1" applyFill="1" applyBorder="1" applyAlignment="1">
      <alignment vertical="top"/>
    </xf>
    <xf numFmtId="43" fontId="198" fillId="0" borderId="0" xfId="1" quotePrefix="1" applyFont="1" applyFill="1" applyBorder="1" applyAlignment="1">
      <alignment horizontal="right" vertical="top" wrapText="1"/>
    </xf>
    <xf numFmtId="44" fontId="189" fillId="0" borderId="9" xfId="3034" quotePrefix="1" applyNumberFormat="1" applyFont="1" applyFill="1" applyBorder="1" applyAlignment="1">
      <alignment vertical="top"/>
    </xf>
    <xf numFmtId="44" fontId="189" fillId="0" borderId="0" xfId="3034" quotePrefix="1" applyNumberFormat="1" applyFont="1" applyFill="1" applyBorder="1" applyAlignment="1">
      <alignment vertical="top"/>
    </xf>
    <xf numFmtId="168" fontId="189" fillId="0" borderId="0" xfId="3034" quotePrefix="1" applyNumberFormat="1" applyFont="1" applyFill="1" applyBorder="1" applyAlignment="1">
      <alignment horizontal="center"/>
    </xf>
    <xf numFmtId="166" fontId="192" fillId="0" borderId="0" xfId="1" applyNumberFormat="1" applyFont="1" applyFill="1"/>
    <xf numFmtId="168" fontId="88" fillId="74" borderId="47" xfId="10" applyNumberFormat="1" applyFont="1" applyFill="1" applyBorder="1"/>
    <xf numFmtId="3" fontId="22" fillId="74" borderId="0" xfId="0" applyNumberFormat="1" applyFont="1" applyFill="1"/>
    <xf numFmtId="37" fontId="22" fillId="74" borderId="0" xfId="0" applyNumberFormat="1" applyFont="1" applyFill="1" applyBorder="1" applyProtection="1">
      <protection locked="0"/>
    </xf>
    <xf numFmtId="3" fontId="22" fillId="74" borderId="0" xfId="0" applyNumberFormat="1" applyFont="1" applyFill="1" applyAlignment="1">
      <alignment horizontal="left"/>
    </xf>
    <xf numFmtId="3" fontId="22" fillId="74" borderId="0" xfId="0" applyNumberFormat="1" applyFont="1" applyFill="1" applyAlignment="1">
      <alignment horizontal="center"/>
    </xf>
    <xf numFmtId="37" fontId="23" fillId="74" borderId="11" xfId="0" applyNumberFormat="1" applyFont="1" applyFill="1" applyBorder="1" applyProtection="1">
      <protection locked="0"/>
    </xf>
    <xf numFmtId="166" fontId="0" fillId="74" borderId="0" xfId="1" applyNumberFormat="1" applyFont="1" applyFill="1"/>
    <xf numFmtId="229" fontId="0" fillId="0" borderId="0" xfId="0" applyNumberFormat="1" applyFill="1"/>
    <xf numFmtId="10" fontId="0" fillId="0" borderId="0" xfId="0" applyNumberFormat="1" applyFill="1"/>
    <xf numFmtId="0" fontId="21" fillId="74" borderId="0" xfId="23" applyFill="1" applyAlignment="1">
      <alignment horizontal="centerContinuous"/>
    </xf>
    <xf numFmtId="10" fontId="0" fillId="74" borderId="0" xfId="42" applyNumberFormat="1" applyFont="1" applyFill="1" applyAlignment="1">
      <alignment horizontal="center"/>
    </xf>
    <xf numFmtId="166" fontId="22" fillId="74" borderId="0" xfId="1" applyNumberFormat="1" applyFont="1" applyFill="1" applyBorder="1" applyAlignment="1">
      <alignment horizontal="center"/>
    </xf>
    <xf numFmtId="0" fontId="74" fillId="74" borderId="1" xfId="36" applyFill="1" applyBorder="1" applyAlignment="1">
      <alignment horizontal="center"/>
    </xf>
    <xf numFmtId="0" fontId="21" fillId="74" borderId="0" xfId="36" applyFont="1" applyFill="1"/>
    <xf numFmtId="0" fontId="74" fillId="74" borderId="0" xfId="36" applyFill="1"/>
    <xf numFmtId="37" fontId="22" fillId="74" borderId="1" xfId="23" applyNumberFormat="1" applyFont="1" applyFill="1" applyBorder="1" applyProtection="1">
      <protection locked="0"/>
    </xf>
    <xf numFmtId="14" fontId="23" fillId="74" borderId="0" xfId="40" applyNumberFormat="1" applyFont="1" applyFill="1" applyAlignment="1">
      <alignment horizontal="center"/>
    </xf>
    <xf numFmtId="0" fontId="28" fillId="74" borderId="0" xfId="0" applyFont="1" applyFill="1"/>
    <xf numFmtId="0" fontId="21" fillId="0" borderId="0" xfId="23" applyAlignment="1">
      <alignment horizontal="center"/>
    </xf>
    <xf numFmtId="0" fontId="21" fillId="74" borderId="0" xfId="23" applyFill="1" applyAlignment="1">
      <alignment horizontal="center"/>
    </xf>
    <xf numFmtId="0" fontId="24" fillId="74" borderId="0" xfId="23" applyFont="1" applyFill="1" applyAlignment="1">
      <alignment horizontal="center"/>
    </xf>
    <xf numFmtId="0" fontId="28" fillId="0" borderId="0" xfId="23" applyFont="1"/>
    <xf numFmtId="0" fontId="21" fillId="0" borderId="0" xfId="23" applyAlignment="1">
      <alignment horizontal="right"/>
    </xf>
    <xf numFmtId="168" fontId="88" fillId="74" borderId="0" xfId="3034" applyNumberFormat="1" applyFont="1" applyFill="1" applyBorder="1"/>
    <xf numFmtId="168" fontId="189" fillId="74" borderId="0" xfId="10" applyNumberFormat="1" applyFont="1" applyFill="1" applyBorder="1"/>
    <xf numFmtId="164" fontId="28" fillId="0" borderId="9" xfId="23" applyNumberFormat="1" applyFont="1" applyFill="1" applyBorder="1"/>
    <xf numFmtId="3" fontId="28" fillId="74" borderId="46" xfId="23" applyNumberFormat="1" applyFont="1" applyFill="1" applyBorder="1"/>
    <xf numFmtId="3" fontId="28" fillId="74" borderId="47" xfId="23" applyNumberFormat="1" applyFont="1" applyFill="1" applyBorder="1"/>
    <xf numFmtId="0" fontId="28" fillId="74" borderId="47" xfId="23" applyFont="1" applyFill="1" applyBorder="1"/>
    <xf numFmtId="3" fontId="28" fillId="0" borderId="0" xfId="23" applyNumberFormat="1" applyFont="1"/>
    <xf numFmtId="0" fontId="74" fillId="74" borderId="0" xfId="36" applyFill="1" applyAlignment="1">
      <alignment horizontal="center"/>
    </xf>
    <xf numFmtId="0" fontId="180" fillId="74" borderId="0" xfId="36" applyFont="1" applyFill="1" applyAlignment="1">
      <alignment horizontal="center"/>
    </xf>
    <xf numFmtId="0" fontId="74" fillId="0" borderId="0" xfId="36" applyAlignment="1">
      <alignment horizontal="right"/>
    </xf>
    <xf numFmtId="0" fontId="26" fillId="0" borderId="0" xfId="23" applyFont="1" applyFill="1"/>
    <xf numFmtId="0" fontId="77" fillId="0" borderId="0" xfId="36" applyFont="1"/>
    <xf numFmtId="164" fontId="21" fillId="0" borderId="1" xfId="23" applyNumberFormat="1" applyBorder="1"/>
    <xf numFmtId="0" fontId="200" fillId="0" borderId="0" xfId="23" applyFont="1" applyFill="1"/>
    <xf numFmtId="3" fontId="200" fillId="0" borderId="0" xfId="23" applyNumberFormat="1" applyFont="1" applyFill="1"/>
    <xf numFmtId="3" fontId="200" fillId="0" borderId="0" xfId="23" applyNumberFormat="1" applyFont="1" applyFill="1" applyBorder="1"/>
    <xf numFmtId="164" fontId="201" fillId="0" borderId="0" xfId="23" applyNumberFormat="1" applyFont="1" applyFill="1"/>
    <xf numFmtId="168" fontId="28" fillId="74" borderId="48" xfId="10" applyNumberFormat="1" applyFont="1" applyFill="1" applyBorder="1"/>
    <xf numFmtId="10" fontId="43" fillId="0" borderId="0" xfId="42" quotePrefix="1" applyNumberFormat="1" applyFont="1" applyBorder="1" applyAlignment="1">
      <alignment horizontal="left"/>
    </xf>
    <xf numFmtId="0" fontId="200" fillId="8" borderId="0" xfId="23" applyFont="1" applyFill="1" applyAlignment="1">
      <alignment vertical="top" wrapText="1"/>
    </xf>
    <xf numFmtId="0" fontId="77" fillId="0" borderId="0" xfId="36" quotePrefix="1" applyFont="1" applyFill="1" applyAlignment="1">
      <alignment horizontal="center"/>
    </xf>
    <xf numFmtId="0" fontId="28" fillId="0" borderId="0" xfId="23" quotePrefix="1" applyFont="1" applyFill="1" applyAlignment="1">
      <alignment horizontal="center"/>
    </xf>
    <xf numFmtId="0" fontId="43" fillId="0" borderId="0" xfId="23" quotePrefix="1" applyFont="1" applyAlignment="1">
      <alignment horizontal="right"/>
    </xf>
    <xf numFmtId="0" fontId="41" fillId="0" borderId="0" xfId="0" applyFont="1" applyFill="1" applyBorder="1" applyAlignment="1">
      <alignment horizontal="right"/>
    </xf>
    <xf numFmtId="5" fontId="0" fillId="0" borderId="0" xfId="0" applyNumberFormat="1" applyFill="1" applyBorder="1"/>
    <xf numFmtId="5" fontId="0" fillId="0" borderId="1" xfId="0" applyNumberFormat="1" applyFill="1" applyBorder="1"/>
    <xf numFmtId="5" fontId="0" fillId="0" borderId="11" xfId="0" applyNumberFormat="1" applyFill="1" applyBorder="1"/>
    <xf numFmtId="0" fontId="22" fillId="0" borderId="0" xfId="0" applyFont="1" applyFill="1" applyBorder="1" applyAlignment="1"/>
    <xf numFmtId="0" fontId="23" fillId="0" borderId="1" xfId="0" applyFont="1" applyFill="1" applyBorder="1" applyAlignment="1">
      <alignment horizontal="center"/>
    </xf>
    <xf numFmtId="164" fontId="28" fillId="0" borderId="49" xfId="23" applyNumberFormat="1" applyFont="1" applyFill="1" applyBorder="1"/>
    <xf numFmtId="3" fontId="28" fillId="0" borderId="10" xfId="23" applyNumberFormat="1" applyFont="1" applyFill="1" applyBorder="1"/>
    <xf numFmtId="3" fontId="28" fillId="0" borderId="9" xfId="23" applyNumberFormat="1" applyFont="1" applyFill="1" applyBorder="1"/>
    <xf numFmtId="0" fontId="28" fillId="0" borderId="9" xfId="23" applyFont="1" applyFill="1" applyBorder="1"/>
    <xf numFmtId="164" fontId="28" fillId="0" borderId="64" xfId="23" applyNumberFormat="1" applyFont="1" applyFill="1" applyBorder="1"/>
    <xf numFmtId="0" fontId="199" fillId="74" borderId="46" xfId="23" applyFont="1" applyFill="1" applyBorder="1"/>
    <xf numFmtId="0" fontId="199" fillId="74" borderId="47" xfId="23" applyFont="1" applyFill="1" applyBorder="1"/>
    <xf numFmtId="3" fontId="199" fillId="74" borderId="47" xfId="23" applyNumberFormat="1" applyFont="1" applyFill="1" applyBorder="1"/>
    <xf numFmtId="164" fontId="199" fillId="74" borderId="48" xfId="23" applyNumberFormat="1" applyFont="1" applyFill="1" applyBorder="1"/>
    <xf numFmtId="0" fontId="28" fillId="0" borderId="1" xfId="23" applyFont="1" applyBorder="1"/>
    <xf numFmtId="0" fontId="21" fillId="0" borderId="1" xfId="23" applyBorder="1"/>
    <xf numFmtId="0" fontId="21" fillId="0" borderId="9" xfId="23" applyBorder="1"/>
    <xf numFmtId="0" fontId="21" fillId="74" borderId="47" xfId="23" applyFill="1" applyBorder="1"/>
    <xf numFmtId="0" fontId="28" fillId="0" borderId="0" xfId="23" quotePrefix="1" applyFont="1"/>
    <xf numFmtId="0" fontId="199" fillId="74" borderId="47" xfId="23" quotePrefix="1" applyFont="1" applyFill="1" applyBorder="1"/>
    <xf numFmtId="164" fontId="28" fillId="0" borderId="63" xfId="23" applyNumberFormat="1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41" fillId="0" borderId="0" xfId="0" applyFont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22" fillId="0" borderId="0" xfId="0" quotePrefix="1" applyFont="1" applyFill="1" applyBorder="1" applyAlignment="1">
      <alignment horizontal="left" vertical="top" wrapText="1"/>
    </xf>
    <xf numFmtId="0" fontId="88" fillId="0" borderId="0" xfId="0" applyFont="1" applyAlignment="1">
      <alignment horizontal="center"/>
    </xf>
    <xf numFmtId="0" fontId="88" fillId="74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74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41" fillId="0" borderId="0" xfId="19" applyFont="1" applyAlignment="1">
      <alignment horizontal="center"/>
    </xf>
    <xf numFmtId="0" fontId="41" fillId="74" borderId="0" xfId="19" applyFont="1" applyFill="1" applyAlignment="1">
      <alignment horizontal="center"/>
    </xf>
    <xf numFmtId="3" fontId="189" fillId="0" borderId="46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 applyAlignment="1">
      <alignment horizontal="center"/>
    </xf>
    <xf numFmtId="3" fontId="189" fillId="0" borderId="48" xfId="23" applyNumberFormat="1" applyFont="1" applyFill="1" applyBorder="1" applyAlignment="1">
      <alignment horizontal="center"/>
    </xf>
    <xf numFmtId="3" fontId="189" fillId="0" borderId="46" xfId="23" applyNumberFormat="1" applyFont="1" applyFill="1" applyBorder="1" applyAlignment="1">
      <alignment horizontal="left"/>
    </xf>
    <xf numFmtId="3" fontId="189" fillId="0" borderId="47" xfId="23" applyNumberFormat="1" applyFont="1" applyFill="1" applyBorder="1" applyAlignment="1">
      <alignment horizontal="left"/>
    </xf>
    <xf numFmtId="3" fontId="35" fillId="0" borderId="0" xfId="23" applyNumberFormat="1" applyFont="1" applyFill="1" applyBorder="1" applyAlignment="1">
      <alignment horizontal="center"/>
    </xf>
    <xf numFmtId="3" fontId="87" fillId="0" borderId="13" xfId="23" applyNumberFormat="1" applyFont="1" applyFill="1" applyBorder="1" applyAlignment="1">
      <alignment horizontal="center"/>
    </xf>
    <xf numFmtId="3" fontId="87" fillId="0" borderId="0" xfId="23" applyNumberFormat="1" applyFont="1" applyFill="1" applyBorder="1" applyAlignment="1">
      <alignment horizontal="center"/>
    </xf>
    <xf numFmtId="3" fontId="36" fillId="0" borderId="46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center"/>
    </xf>
    <xf numFmtId="3" fontId="36" fillId="0" borderId="48" xfId="23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0" fontId="62" fillId="0" borderId="0" xfId="42" applyNumberFormat="1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188" fillId="74" borderId="0" xfId="0" applyFont="1" applyFill="1" applyAlignment="1">
      <alignment horizontal="left"/>
    </xf>
    <xf numFmtId="0" fontId="70" fillId="0" borderId="13" xfId="143" applyFont="1" applyFill="1" applyBorder="1" applyAlignment="1">
      <alignment horizontal="center"/>
    </xf>
    <xf numFmtId="0" fontId="26" fillId="74" borderId="0" xfId="23" applyFont="1" applyFill="1" applyAlignment="1">
      <alignment horizontal="center"/>
    </xf>
    <xf numFmtId="0" fontId="65" fillId="0" borderId="0" xfId="36" applyFont="1" applyAlignment="1">
      <alignment horizontal="center" wrapText="1"/>
    </xf>
    <xf numFmtId="0" fontId="74" fillId="0" borderId="0" xfId="36" applyAlignment="1">
      <alignment horizontal="center"/>
    </xf>
    <xf numFmtId="0" fontId="21" fillId="74" borderId="0" xfId="36" applyFont="1" applyFill="1" applyAlignment="1">
      <alignment horizontal="left" wrapText="1"/>
    </xf>
    <xf numFmtId="0" fontId="21" fillId="0" borderId="0" xfId="23" applyFill="1" applyAlignment="1">
      <alignment horizontal="left" vertical="top" wrapText="1"/>
    </xf>
    <xf numFmtId="0" fontId="200" fillId="0" borderId="0" xfId="23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43" fillId="0" borderId="0" xfId="1227" applyFont="1" applyAlignment="1">
      <alignment wrapText="1"/>
    </xf>
    <xf numFmtId="7" fontId="53" fillId="0" borderId="0" xfId="1227" applyNumberFormat="1" applyFont="1" applyAlignment="1">
      <alignment wrapText="1"/>
    </xf>
    <xf numFmtId="0" fontId="21" fillId="0" borderId="0" xfId="1227"/>
    <xf numFmtId="0" fontId="21" fillId="0" borderId="0" xfId="23" applyAlignment="1">
      <alignment horizontal="center"/>
    </xf>
    <xf numFmtId="0" fontId="21" fillId="0" borderId="0" xfId="23" applyFont="1" applyBorder="1" applyAlignment="1">
      <alignment horizontal="center"/>
    </xf>
    <xf numFmtId="0" fontId="21" fillId="0" borderId="0" xfId="23" applyFont="1" applyFill="1" applyBorder="1" applyAlignment="1">
      <alignment horizontal="center"/>
    </xf>
    <xf numFmtId="0" fontId="21" fillId="0" borderId="1" xfId="23" applyFont="1" applyFill="1" applyBorder="1" applyAlignment="1">
      <alignment horizontal="center"/>
    </xf>
    <xf numFmtId="0" fontId="21" fillId="0" borderId="1" xfId="23" applyFill="1" applyBorder="1" applyAlignment="1">
      <alignment horizontal="center"/>
    </xf>
    <xf numFmtId="37" fontId="22" fillId="0" borderId="0" xfId="40" applyNumberFormat="1" applyFont="1" applyAlignment="1">
      <alignment horizontal="left" vertical="top" wrapText="1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21792"/>
        <c:axId val="304211520"/>
      </c:scatterChart>
      <c:valAx>
        <c:axId val="23432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11520"/>
        <c:crosses val="autoZero"/>
        <c:crossBetween val="midCat"/>
      </c:valAx>
      <c:valAx>
        <c:axId val="3042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32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402496"/>
        <c:axId val="206088448"/>
      </c:scatterChart>
      <c:valAx>
        <c:axId val="24240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88448"/>
        <c:crosses val="autoZero"/>
        <c:crossBetween val="midCat"/>
      </c:valAx>
      <c:valAx>
        <c:axId val="206088448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402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37504"/>
        <c:axId val="338037896"/>
      </c:scatterChart>
      <c:valAx>
        <c:axId val="33803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7896"/>
        <c:crosses val="autoZero"/>
        <c:crossBetween val="midCat"/>
      </c:valAx>
      <c:valAx>
        <c:axId val="33803789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38680"/>
        <c:axId val="338039072"/>
      </c:lineChart>
      <c:catAx>
        <c:axId val="3380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9072"/>
        <c:crosses val="autoZero"/>
        <c:auto val="1"/>
        <c:lblAlgn val="ctr"/>
        <c:lblOffset val="100"/>
        <c:noMultiLvlLbl val="0"/>
      </c:catAx>
      <c:valAx>
        <c:axId val="33803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1271626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39856"/>
        <c:axId val="338040248"/>
      </c:scatterChart>
      <c:valAx>
        <c:axId val="33803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40248"/>
        <c:crosses val="autoZero"/>
        <c:crossBetween val="midCat"/>
      </c:valAx>
      <c:valAx>
        <c:axId val="338040248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71829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82120"/>
        <c:axId val="398382512"/>
      </c:scatterChart>
      <c:valAx>
        <c:axId val="39838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2512"/>
        <c:crosses val="autoZero"/>
        <c:crossBetween val="midCat"/>
      </c:valAx>
      <c:valAx>
        <c:axId val="398382512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2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26626.424405821377</c:v>
                </c:pt>
                <c:pt idx="3">
                  <c:v>29451.477627473563</c:v>
                </c:pt>
                <c:pt idx="4">
                  <c:v>32679.513135797297</c:v>
                </c:pt>
                <c:pt idx="5">
                  <c:v>33804.624334624648</c:v>
                </c:pt>
                <c:pt idx="6">
                  <c:v>36722</c:v>
                </c:pt>
                <c:pt idx="7">
                  <c:v>38649</c:v>
                </c:pt>
                <c:pt idx="8">
                  <c:v>41581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83296"/>
        <c:axId val="398383688"/>
      </c:scatterChart>
      <c:valAx>
        <c:axId val="39838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3688"/>
        <c:crosses val="autoZero"/>
        <c:crossBetween val="midCat"/>
      </c:valAx>
      <c:valAx>
        <c:axId val="398383688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136009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84472"/>
        <c:axId val="398384864"/>
      </c:scatterChart>
      <c:valAx>
        <c:axId val="39838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4864"/>
        <c:crosses val="autoZero"/>
        <c:crossBetween val="midCat"/>
      </c:valAx>
      <c:valAx>
        <c:axId val="398384864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xVal>
          <c:yVal>
            <c:numRef>
              <c:f>'Other Revenue'!$B$2:$H$2</c:f>
              <c:numCache>
                <c:formatCode>#,##0_);\(#,##0\)</c:formatCode>
                <c:ptCount val="7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  <c:pt idx="6">
                  <c:v>2450.3426999999992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85648"/>
        <c:axId val="402151992"/>
      </c:scatterChart>
      <c:valAx>
        <c:axId val="39838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51992"/>
        <c:crosses val="autoZero"/>
        <c:crossBetween val="midCat"/>
      </c:valAx>
      <c:valAx>
        <c:axId val="402151992"/>
        <c:scaling>
          <c:orientation val="minMax"/>
          <c:min val="2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38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40</xdr:row>
      <xdr:rowOff>66675</xdr:rowOff>
    </xdr:from>
    <xdr:ext cx="1990725" cy="436786"/>
    <xdr:sp macro="" textlink="">
      <xdr:nvSpPr>
        <xdr:cNvPr id="2" name="TextBox 1"/>
        <xdr:cNvSpPr txBox="1"/>
      </xdr:nvSpPr>
      <xdr:spPr>
        <a:xfrm>
          <a:off x="2676525" y="65722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0</xdr:row>
      <xdr:rowOff>333375</xdr:rowOff>
    </xdr:from>
    <xdr:ext cx="1990725" cy="436786"/>
    <xdr:sp macro="" textlink="">
      <xdr:nvSpPr>
        <xdr:cNvPr id="2" name="TextBox 1"/>
        <xdr:cNvSpPr txBox="1"/>
      </xdr:nvSpPr>
      <xdr:spPr>
        <a:xfrm>
          <a:off x="7286625" y="333375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ttrition%20Models/2007-2015%20WA%20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5 to 2018"/>
      <sheetName val="Cost Trends"/>
      <sheetName val="Net Plant"/>
      <sheetName val="Dep-Amort"/>
      <sheetName val="Adj Taxes"/>
      <sheetName val="Plant Trends"/>
      <sheetName val="Adj Operating Exp-2007-2015"/>
      <sheetName val="Weighted Revenue Growth"/>
      <sheetName val="Other Revenue"/>
      <sheetName val="09.2015 Rev Model"/>
      <sheetName val="2017-18 Forecast Billing Determ"/>
      <sheetName val="09.2015 CB Power Supply"/>
      <sheetName val="456 Revenue"/>
      <sheetName val="incremental load expense"/>
      <sheetName val="CS2-Colstrip 2016 Incrmntl Exp"/>
      <sheetName val="PF Power Supply 09.2015 load"/>
      <sheetName val="PF Power Supply 2018 load"/>
      <sheetName val="Reg Amorts"/>
      <sheetName val="DSM"/>
      <sheetName val="ResX"/>
      <sheetName val="CBR Hist"/>
      <sheetName val="PS Consolidated"/>
      <sheetName val="Other Rev"/>
      <sheetName val="Plant"/>
      <sheetName val="AccumDepr"/>
      <sheetName val="ADFIT"/>
      <sheetName val="Sheet1"/>
    </sheetNames>
    <sheetDataSet>
      <sheetData sheetId="0"/>
      <sheetData sheetId="1"/>
      <sheetData sheetId="2">
        <row r="7">
          <cell r="P7">
            <v>494144</v>
          </cell>
        </row>
        <row r="8">
          <cell r="P8">
            <v>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D23">
            <v>2375997614</v>
          </cell>
        </row>
      </sheetData>
      <sheetData sheetId="12">
        <row r="6">
          <cell r="D6">
            <v>2541558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39"/>
    <col min="2" max="2" width="12.28515625" style="439" customWidth="1"/>
    <col min="3" max="16384" width="8.85546875" style="439"/>
  </cols>
  <sheetData>
    <row r="1" spans="1:8" hidden="1">
      <c r="C1" s="542">
        <v>2009</v>
      </c>
      <c r="D1" s="542">
        <v>2010</v>
      </c>
      <c r="E1" s="542">
        <v>2011</v>
      </c>
      <c r="F1" s="542">
        <v>2012</v>
      </c>
      <c r="G1" s="542">
        <v>2013</v>
      </c>
      <c r="H1" s="542">
        <v>2014</v>
      </c>
    </row>
    <row r="2" spans="1:8" hidden="1">
      <c r="A2" s="439" t="s">
        <v>59</v>
      </c>
    </row>
    <row r="3" spans="1:8" hidden="1">
      <c r="B3" s="439" t="s">
        <v>58</v>
      </c>
      <c r="C3" s="439">
        <v>57116</v>
      </c>
      <c r="D3" s="439">
        <v>81955</v>
      </c>
      <c r="E3" s="439">
        <v>84081</v>
      </c>
      <c r="F3" s="439">
        <v>85247</v>
      </c>
      <c r="G3" s="439">
        <v>91466</v>
      </c>
      <c r="H3" s="439">
        <v>102620</v>
      </c>
    </row>
    <row r="4" spans="1:8" hidden="1">
      <c r="B4" s="439" t="s">
        <v>57</v>
      </c>
      <c r="C4" s="439">
        <v>677646</v>
      </c>
      <c r="D4" s="439">
        <v>692689</v>
      </c>
      <c r="E4" s="439">
        <v>706894</v>
      </c>
      <c r="F4" s="439">
        <v>717448</v>
      </c>
      <c r="G4" s="439">
        <v>738315</v>
      </c>
      <c r="H4" s="439">
        <v>746101</v>
      </c>
    </row>
    <row r="5" spans="1:8" hidden="1">
      <c r="B5" s="439" t="s">
        <v>56</v>
      </c>
      <c r="C5" s="439">
        <v>301090</v>
      </c>
      <c r="D5" s="439">
        <v>312505</v>
      </c>
      <c r="E5" s="439">
        <v>328012</v>
      </c>
      <c r="F5" s="439">
        <v>342382</v>
      </c>
      <c r="G5" s="439">
        <v>359941</v>
      </c>
      <c r="H5" s="439">
        <v>371971</v>
      </c>
    </row>
    <row r="6" spans="1:8" hidden="1">
      <c r="B6" s="439" t="s">
        <v>55</v>
      </c>
      <c r="C6" s="439">
        <v>602201</v>
      </c>
      <c r="D6" s="439">
        <v>642143</v>
      </c>
      <c r="E6" s="439">
        <v>696082</v>
      </c>
      <c r="F6" s="439">
        <v>743732</v>
      </c>
      <c r="G6" s="439">
        <v>796640</v>
      </c>
      <c r="H6" s="439">
        <v>842795</v>
      </c>
    </row>
    <row r="7" spans="1:8" hidden="1">
      <c r="B7" s="543" t="s">
        <v>54</v>
      </c>
      <c r="C7" s="543">
        <v>98727</v>
      </c>
      <c r="D7" s="543">
        <v>120996</v>
      </c>
      <c r="E7" s="543">
        <v>140218</v>
      </c>
      <c r="F7" s="543">
        <v>155104</v>
      </c>
      <c r="G7" s="543">
        <v>179134</v>
      </c>
      <c r="H7" s="543">
        <v>196867</v>
      </c>
    </row>
    <row r="8" spans="1:8" hidden="1">
      <c r="A8" s="439" t="s">
        <v>571</v>
      </c>
    </row>
    <row r="9" spans="1:8" hidden="1">
      <c r="B9" s="439" t="s">
        <v>58</v>
      </c>
      <c r="C9" s="439">
        <v>9302</v>
      </c>
      <c r="D9" s="439">
        <v>12606</v>
      </c>
      <c r="E9" s="439">
        <v>3744</v>
      </c>
      <c r="F9" s="439">
        <v>4369</v>
      </c>
      <c r="G9" s="439">
        <v>17667</v>
      </c>
      <c r="H9" s="439">
        <v>20242</v>
      </c>
    </row>
    <row r="10" spans="1:8" hidden="1">
      <c r="B10" s="439" t="s">
        <v>57</v>
      </c>
      <c r="C10" s="439">
        <v>255390</v>
      </c>
      <c r="D10" s="439">
        <v>272340</v>
      </c>
      <c r="E10" s="439">
        <v>286300</v>
      </c>
      <c r="F10" s="439">
        <v>300170</v>
      </c>
      <c r="G10" s="439">
        <v>314599</v>
      </c>
      <c r="H10" s="439">
        <v>325531</v>
      </c>
    </row>
    <row r="11" spans="1:8" hidden="1">
      <c r="B11" s="439" t="s">
        <v>56</v>
      </c>
      <c r="C11" s="439">
        <v>100649</v>
      </c>
      <c r="D11" s="439">
        <v>106041</v>
      </c>
      <c r="E11" s="439">
        <v>111144</v>
      </c>
      <c r="F11" s="439">
        <v>116316</v>
      </c>
      <c r="G11" s="439">
        <v>122308</v>
      </c>
      <c r="H11" s="439">
        <v>123869</v>
      </c>
    </row>
    <row r="12" spans="1:8" hidden="1">
      <c r="B12" s="439" t="s">
        <v>55</v>
      </c>
      <c r="C12" s="439">
        <v>181327</v>
      </c>
      <c r="D12" s="439">
        <v>194593</v>
      </c>
      <c r="E12" s="439">
        <v>209101</v>
      </c>
      <c r="F12" s="439">
        <v>221408</v>
      </c>
      <c r="G12" s="439">
        <v>236201</v>
      </c>
      <c r="H12" s="439">
        <v>252722</v>
      </c>
    </row>
    <row r="13" spans="1:8" hidden="1">
      <c r="B13" s="543" t="s">
        <v>54</v>
      </c>
      <c r="C13" s="543">
        <v>39153</v>
      </c>
      <c r="D13" s="543">
        <v>43819</v>
      </c>
      <c r="E13" s="543">
        <v>56694</v>
      </c>
      <c r="F13" s="543">
        <v>61871</v>
      </c>
      <c r="G13" s="543">
        <v>58357</v>
      </c>
      <c r="H13" s="543">
        <v>65720</v>
      </c>
    </row>
    <row r="14" spans="1:8" hidden="1"/>
    <row r="15" spans="1:8">
      <c r="A15" s="439" t="s">
        <v>572</v>
      </c>
      <c r="C15" s="542">
        <v>2009</v>
      </c>
      <c r="D15" s="542">
        <v>2010</v>
      </c>
      <c r="E15" s="542">
        <v>2011</v>
      </c>
      <c r="F15" s="542">
        <v>2012</v>
      </c>
      <c r="G15" s="542">
        <v>2013</v>
      </c>
      <c r="H15" s="542">
        <v>2014</v>
      </c>
    </row>
    <row r="16" spans="1:8">
      <c r="B16" s="439" t="s">
        <v>58</v>
      </c>
      <c r="C16" s="439">
        <f t="shared" ref="C16:H20" si="0">C3-C9</f>
        <v>47814</v>
      </c>
      <c r="D16" s="439">
        <f t="shared" si="0"/>
        <v>69349</v>
      </c>
      <c r="E16" s="439">
        <f t="shared" si="0"/>
        <v>80337</v>
      </c>
      <c r="F16" s="439">
        <f t="shared" si="0"/>
        <v>80878</v>
      </c>
      <c r="G16" s="439">
        <f t="shared" si="0"/>
        <v>73799</v>
      </c>
      <c r="H16" s="439">
        <f t="shared" si="0"/>
        <v>82378</v>
      </c>
    </row>
    <row r="17" spans="2:8">
      <c r="B17" s="439" t="s">
        <v>57</v>
      </c>
      <c r="C17" s="439">
        <f t="shared" si="0"/>
        <v>422256</v>
      </c>
      <c r="D17" s="439">
        <f t="shared" si="0"/>
        <v>420349</v>
      </c>
      <c r="E17" s="439">
        <f t="shared" si="0"/>
        <v>420594</v>
      </c>
      <c r="F17" s="439">
        <f t="shared" si="0"/>
        <v>417278</v>
      </c>
      <c r="G17" s="439">
        <f t="shared" si="0"/>
        <v>423716</v>
      </c>
      <c r="H17" s="439">
        <f t="shared" si="0"/>
        <v>420570</v>
      </c>
    </row>
    <row r="18" spans="2:8">
      <c r="B18" s="439" t="s">
        <v>56</v>
      </c>
      <c r="C18" s="439">
        <f t="shared" si="0"/>
        <v>200441</v>
      </c>
      <c r="D18" s="439">
        <f t="shared" si="0"/>
        <v>206464</v>
      </c>
      <c r="E18" s="439">
        <f t="shared" si="0"/>
        <v>216868</v>
      </c>
      <c r="F18" s="439">
        <f t="shared" si="0"/>
        <v>226066</v>
      </c>
      <c r="G18" s="439">
        <f t="shared" si="0"/>
        <v>237633</v>
      </c>
      <c r="H18" s="439">
        <f t="shared" si="0"/>
        <v>248102</v>
      </c>
    </row>
    <row r="19" spans="2:8">
      <c r="B19" s="439" t="s">
        <v>55</v>
      </c>
      <c r="C19" s="439">
        <f t="shared" si="0"/>
        <v>420874</v>
      </c>
      <c r="D19" s="439">
        <f t="shared" si="0"/>
        <v>447550</v>
      </c>
      <c r="E19" s="439">
        <f t="shared" si="0"/>
        <v>486981</v>
      </c>
      <c r="F19" s="439">
        <f t="shared" si="0"/>
        <v>522324</v>
      </c>
      <c r="G19" s="439">
        <f t="shared" si="0"/>
        <v>560439</v>
      </c>
      <c r="H19" s="439">
        <f t="shared" si="0"/>
        <v>590073</v>
      </c>
    </row>
    <row r="20" spans="2:8">
      <c r="B20" s="439" t="s">
        <v>54</v>
      </c>
      <c r="C20" s="543">
        <f t="shared" si="0"/>
        <v>59574</v>
      </c>
      <c r="D20" s="543">
        <f t="shared" si="0"/>
        <v>77177</v>
      </c>
      <c r="E20" s="543">
        <f t="shared" si="0"/>
        <v>83524</v>
      </c>
      <c r="F20" s="543">
        <f t="shared" si="0"/>
        <v>93233</v>
      </c>
      <c r="G20" s="543">
        <f t="shared" si="0"/>
        <v>120777</v>
      </c>
      <c r="H20" s="543">
        <f t="shared" si="0"/>
        <v>131147</v>
      </c>
    </row>
    <row r="23" spans="2:8" hidden="1">
      <c r="C23" s="542">
        <v>2009</v>
      </c>
      <c r="D23" s="542">
        <v>2010</v>
      </c>
      <c r="E23" s="542">
        <v>2011</v>
      </c>
      <c r="F23" s="542">
        <v>2012</v>
      </c>
      <c r="G23" s="542">
        <v>2013</v>
      </c>
      <c r="H23" s="542">
        <v>2014</v>
      </c>
    </row>
    <row r="24" spans="2:8" hidden="1">
      <c r="B24" s="439" t="s">
        <v>58</v>
      </c>
      <c r="C24" s="439">
        <v>47814</v>
      </c>
      <c r="D24" s="439">
        <v>69349</v>
      </c>
      <c r="E24" s="439">
        <v>80337</v>
      </c>
      <c r="F24" s="439">
        <v>80878</v>
      </c>
      <c r="G24" s="439">
        <v>73799</v>
      </c>
      <c r="H24" s="439">
        <v>82378</v>
      </c>
    </row>
    <row r="25" spans="2:8" hidden="1">
      <c r="B25" s="439" t="s">
        <v>54</v>
      </c>
      <c r="C25" s="439">
        <v>59574</v>
      </c>
      <c r="D25" s="439">
        <v>77177</v>
      </c>
      <c r="E25" s="439">
        <v>83524</v>
      </c>
      <c r="F25" s="439">
        <v>93233</v>
      </c>
      <c r="G25" s="439">
        <v>120777</v>
      </c>
      <c r="H25" s="439">
        <v>131147</v>
      </c>
    </row>
    <row r="26" spans="2:8" hidden="1">
      <c r="C26" s="542">
        <v>2009</v>
      </c>
      <c r="D26" s="542">
        <v>2010</v>
      </c>
      <c r="E26" s="542">
        <v>2011</v>
      </c>
      <c r="F26" s="542">
        <v>2012</v>
      </c>
      <c r="G26" s="542">
        <v>2013</v>
      </c>
      <c r="H26" s="542">
        <v>2014</v>
      </c>
    </row>
    <row r="27" spans="2:8" hidden="1">
      <c r="B27" s="439" t="s">
        <v>57</v>
      </c>
      <c r="C27" s="439">
        <v>422256</v>
      </c>
      <c r="D27" s="439">
        <v>420349</v>
      </c>
      <c r="E27" s="439">
        <v>420594</v>
      </c>
      <c r="F27" s="439">
        <v>417278</v>
      </c>
      <c r="G27" s="439">
        <v>423716</v>
      </c>
      <c r="H27" s="439">
        <v>420570</v>
      </c>
    </row>
    <row r="28" spans="2:8" hidden="1">
      <c r="B28" s="439" t="s">
        <v>55</v>
      </c>
      <c r="C28" s="439">
        <v>420874</v>
      </c>
      <c r="D28" s="439">
        <v>447550</v>
      </c>
      <c r="E28" s="439">
        <v>486981</v>
      </c>
      <c r="F28" s="439">
        <v>522324</v>
      </c>
      <c r="G28" s="439">
        <v>560439</v>
      </c>
      <c r="H28" s="439">
        <v>590073</v>
      </c>
    </row>
    <row r="29" spans="2:8" hidden="1">
      <c r="C29" s="542">
        <v>2009</v>
      </c>
      <c r="D29" s="542">
        <v>2010</v>
      </c>
      <c r="E29" s="542">
        <v>2011</v>
      </c>
      <c r="F29" s="542">
        <v>2012</v>
      </c>
      <c r="G29" s="542">
        <v>2013</v>
      </c>
      <c r="H29" s="542">
        <v>2014</v>
      </c>
    </row>
    <row r="30" spans="2:8" hidden="1">
      <c r="B30" s="439" t="s">
        <v>56</v>
      </c>
      <c r="C30" s="439">
        <v>200441</v>
      </c>
      <c r="D30" s="439">
        <v>206464</v>
      </c>
      <c r="E30" s="439">
        <v>216868</v>
      </c>
      <c r="F30" s="439">
        <v>226066</v>
      </c>
      <c r="G30" s="439">
        <v>237633</v>
      </c>
      <c r="H30" s="439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view="pageBreakPreview" topLeftCell="A18" zoomScale="130" zoomScaleNormal="100" zoomScaleSheetLayoutView="130" workbookViewId="0">
      <selection sqref="A1:R1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1.7109375" style="378" customWidth="1"/>
    <col min="10" max="10" width="13" style="378" customWidth="1"/>
    <col min="11" max="11" width="13.28515625" customWidth="1"/>
  </cols>
  <sheetData>
    <row r="1" spans="1:25" s="380" customFormat="1" ht="14.25">
      <c r="A1" s="925"/>
      <c r="B1" s="925"/>
      <c r="C1" s="925"/>
      <c r="D1" s="925"/>
      <c r="E1" s="925"/>
      <c r="F1" s="925"/>
      <c r="G1" s="925"/>
      <c r="H1" s="925"/>
      <c r="I1" s="557"/>
      <c r="J1" s="564"/>
    </row>
    <row r="2" spans="1:25" s="380" customFormat="1" ht="14.25">
      <c r="A2" s="926" t="s">
        <v>668</v>
      </c>
      <c r="B2" s="926"/>
      <c r="C2" s="926"/>
      <c r="D2" s="926"/>
      <c r="E2" s="926"/>
      <c r="F2" s="926"/>
      <c r="G2" s="926"/>
      <c r="H2" s="926"/>
      <c r="I2" s="558"/>
      <c r="J2" s="564"/>
    </row>
    <row r="3" spans="1:25" s="380" customFormat="1" ht="14.25">
      <c r="A3" s="926" t="s">
        <v>722</v>
      </c>
      <c r="B3" s="926"/>
      <c r="C3" s="926"/>
      <c r="D3" s="926"/>
      <c r="E3" s="926"/>
      <c r="F3" s="926"/>
      <c r="G3" s="926"/>
      <c r="H3" s="926"/>
      <c r="I3" s="558"/>
      <c r="J3" s="564"/>
    </row>
    <row r="4" spans="1:25" s="380" customFormat="1" ht="14.25">
      <c r="A4" s="926" t="s">
        <v>446</v>
      </c>
      <c r="B4" s="926"/>
      <c r="C4" s="926"/>
      <c r="D4" s="926"/>
      <c r="E4" s="926"/>
      <c r="F4" s="926"/>
      <c r="G4" s="926"/>
      <c r="H4" s="926"/>
      <c r="I4" s="558"/>
      <c r="J4" s="564"/>
    </row>
    <row r="5" spans="1:25" s="380" customFormat="1" ht="14.25">
      <c r="A5" s="926" t="s">
        <v>677</v>
      </c>
      <c r="B5" s="926"/>
      <c r="C5" s="926"/>
      <c r="D5" s="926"/>
      <c r="E5" s="926"/>
      <c r="F5" s="926"/>
      <c r="G5" s="926"/>
      <c r="H5" s="926"/>
      <c r="I5" s="558"/>
      <c r="J5" s="564"/>
    </row>
    <row r="6" spans="1:25" s="380" customFormat="1" ht="14.25">
      <c r="A6" s="925" t="s">
        <v>448</v>
      </c>
      <c r="B6" s="925"/>
      <c r="C6" s="925"/>
      <c r="D6" s="925"/>
      <c r="E6" s="925"/>
      <c r="F6" s="925"/>
      <c r="G6" s="925"/>
      <c r="H6" s="925"/>
      <c r="I6" s="558"/>
      <c r="J6" s="564"/>
    </row>
    <row r="7" spans="1:25" ht="6.75" customHeight="1">
      <c r="A7" s="379"/>
      <c r="B7" s="379"/>
      <c r="C7" s="379"/>
      <c r="D7" s="379"/>
      <c r="E7" s="379"/>
      <c r="F7" s="379"/>
      <c r="G7" s="379"/>
      <c r="H7" s="379"/>
    </row>
    <row r="8" spans="1:25">
      <c r="A8" s="362"/>
      <c r="B8" s="362"/>
      <c r="C8" s="362"/>
      <c r="D8" s="362"/>
      <c r="E8" s="362"/>
      <c r="F8" s="379" t="s">
        <v>449</v>
      </c>
      <c r="G8" s="379" t="s">
        <v>450</v>
      </c>
      <c r="H8" s="379" t="s">
        <v>451</v>
      </c>
      <c r="I8" s="559"/>
      <c r="J8" s="559" t="s">
        <v>686</v>
      </c>
      <c r="K8" s="559" t="s">
        <v>687</v>
      </c>
    </row>
    <row r="9" spans="1:25" ht="13.15" customHeight="1">
      <c r="A9" s="918" t="s">
        <v>454</v>
      </c>
      <c r="B9" s="929"/>
      <c r="C9" s="923" t="s">
        <v>384</v>
      </c>
      <c r="D9" s="927"/>
      <c r="E9" s="329"/>
      <c r="F9" s="918" t="s">
        <v>579</v>
      </c>
      <c r="G9" s="918" t="s">
        <v>115</v>
      </c>
      <c r="H9" s="918" t="s">
        <v>580</v>
      </c>
      <c r="I9" s="920"/>
      <c r="J9" s="920" t="s">
        <v>688</v>
      </c>
      <c r="K9" s="920" t="s">
        <v>689</v>
      </c>
    </row>
    <row r="10" spans="1:25" ht="24.75" customHeight="1">
      <c r="A10" s="922"/>
      <c r="B10" s="928"/>
      <c r="C10" s="922"/>
      <c r="D10" s="928"/>
      <c r="E10" s="332"/>
      <c r="F10" s="922"/>
      <c r="G10" s="922"/>
      <c r="H10" s="919"/>
      <c r="I10" s="921"/>
      <c r="J10" s="922"/>
      <c r="K10" s="922"/>
    </row>
    <row r="11" spans="1:25">
      <c r="A11" s="327"/>
      <c r="B11" s="327"/>
      <c r="C11" s="327"/>
      <c r="D11" s="327"/>
      <c r="E11" s="327"/>
      <c r="F11" s="327"/>
      <c r="G11" s="327"/>
      <c r="H11" s="327"/>
      <c r="I11" s="560"/>
    </row>
    <row r="12" spans="1:25">
      <c r="A12" s="334">
        <v>1</v>
      </c>
      <c r="B12" s="327"/>
      <c r="C12" s="327" t="s">
        <v>690</v>
      </c>
      <c r="D12" s="327"/>
      <c r="E12" s="327"/>
      <c r="F12" s="363">
        <f>'Attrition 12.2015 to 2018'!V79</f>
        <v>1515049.027956333</v>
      </c>
      <c r="G12" s="373">
        <f>'Attrition 12.2015 to 2018'!V89</f>
        <v>1.0189856982722103</v>
      </c>
      <c r="H12" s="365">
        <f>F12/G12</f>
        <v>1486820.6987843367</v>
      </c>
      <c r="I12" s="560"/>
    </row>
    <row r="13" spans="1:25">
      <c r="A13" s="334"/>
      <c r="B13" s="327"/>
      <c r="C13" s="327"/>
      <c r="D13" s="327"/>
      <c r="E13" s="327"/>
      <c r="F13" s="363"/>
      <c r="G13" s="363"/>
      <c r="H13" s="363"/>
      <c r="I13" s="560"/>
    </row>
    <row r="14" spans="1:25">
      <c r="A14" s="334">
        <v>2</v>
      </c>
      <c r="B14" s="327"/>
      <c r="C14" s="327" t="s">
        <v>691</v>
      </c>
      <c r="D14" s="327"/>
      <c r="E14" s="327"/>
      <c r="F14" s="370"/>
      <c r="G14" s="364"/>
      <c r="H14" s="831">
        <f>ROR!F15</f>
        <v>7.6800000000000007E-2</v>
      </c>
      <c r="I14" s="560"/>
    </row>
    <row r="15" spans="1:25">
      <c r="A15" s="334"/>
      <c r="B15" s="327"/>
      <c r="C15" s="327"/>
      <c r="D15" s="327"/>
      <c r="E15" s="327"/>
      <c r="F15" s="364"/>
      <c r="G15" s="364"/>
      <c r="H15" s="364"/>
      <c r="I15" s="560"/>
    </row>
    <row r="16" spans="1:25">
      <c r="A16" s="334">
        <v>3</v>
      </c>
      <c r="B16" s="327"/>
      <c r="C16" s="375" t="s">
        <v>447</v>
      </c>
      <c r="D16" s="375"/>
      <c r="E16" s="375"/>
      <c r="F16" s="551"/>
      <c r="G16" s="367"/>
      <c r="H16" s="551">
        <f>ROUND(H12*H14,0)</f>
        <v>114188</v>
      </c>
      <c r="I16" s="553"/>
      <c r="Y16">
        <v>27986</v>
      </c>
    </row>
    <row r="17" spans="1:25">
      <c r="A17" s="334"/>
      <c r="B17" s="327"/>
      <c r="C17" s="327"/>
      <c r="D17" s="327"/>
      <c r="E17" s="327"/>
      <c r="F17" s="363"/>
      <c r="G17" s="363"/>
      <c r="H17" s="363"/>
      <c r="I17" s="553"/>
      <c r="Y17">
        <v>4831</v>
      </c>
    </row>
    <row r="18" spans="1:25">
      <c r="A18" s="334">
        <v>4</v>
      </c>
      <c r="B18" s="327"/>
      <c r="C18" s="327" t="s">
        <v>692</v>
      </c>
      <c r="D18" s="327"/>
      <c r="E18" s="327"/>
      <c r="F18" s="366">
        <f>'Attrition 12.2015 to 2018'!V54</f>
        <v>85635.425532259251</v>
      </c>
      <c r="G18" s="374">
        <f>G12</f>
        <v>1.0189856982722103</v>
      </c>
      <c r="H18" s="366">
        <f>F18/G18</f>
        <v>84039.869919138684</v>
      </c>
      <c r="I18" s="553"/>
    </row>
    <row r="19" spans="1:25" s="439" customFormat="1">
      <c r="A19" s="334"/>
      <c r="B19" s="327"/>
      <c r="C19" s="327"/>
      <c r="D19" s="327"/>
      <c r="E19" s="327"/>
      <c r="F19" s="367"/>
      <c r="G19" s="374"/>
      <c r="H19" s="367"/>
      <c r="I19" s="553"/>
      <c r="J19" s="378"/>
    </row>
    <row r="20" spans="1:25" s="439" customFormat="1">
      <c r="A20" s="334">
        <v>5</v>
      </c>
      <c r="B20" s="327"/>
      <c r="C20" s="375" t="s">
        <v>693</v>
      </c>
      <c r="D20" s="378"/>
      <c r="E20" s="378"/>
      <c r="F20" s="378"/>
      <c r="G20" s="378"/>
      <c r="H20" s="566">
        <f>H18/H12</f>
        <v>5.6523204168365336E-2</v>
      </c>
      <c r="I20" s="553"/>
      <c r="J20" s="378"/>
    </row>
    <row r="21" spans="1:25">
      <c r="A21" s="334"/>
      <c r="B21" s="327"/>
      <c r="C21" s="327"/>
      <c r="D21" s="327"/>
      <c r="E21" s="327"/>
      <c r="F21" s="327"/>
      <c r="G21" s="327"/>
      <c r="H21" s="327"/>
      <c r="I21" s="553"/>
    </row>
    <row r="22" spans="1:25">
      <c r="A22" s="334">
        <v>6</v>
      </c>
      <c r="B22" s="327"/>
      <c r="C22" s="327" t="s">
        <v>694</v>
      </c>
      <c r="D22" s="327"/>
      <c r="E22" s="327"/>
      <c r="F22" s="363"/>
      <c r="G22" s="363"/>
      <c r="H22" s="363">
        <f>H16-H18</f>
        <v>30148.130080861316</v>
      </c>
      <c r="I22" s="561"/>
    </row>
    <row r="23" spans="1:25">
      <c r="A23" s="334"/>
      <c r="B23" s="327"/>
      <c r="C23" s="327"/>
      <c r="D23" s="327"/>
      <c r="E23" s="327"/>
      <c r="F23" s="327"/>
      <c r="G23" s="327"/>
      <c r="H23" s="327"/>
      <c r="I23" s="553"/>
      <c r="T23" s="182"/>
    </row>
    <row r="24" spans="1:25">
      <c r="A24" s="334">
        <v>7</v>
      </c>
      <c r="B24" s="327"/>
      <c r="C24" s="327" t="s">
        <v>578</v>
      </c>
      <c r="D24" s="375"/>
      <c r="E24" s="327"/>
      <c r="F24" s="368"/>
      <c r="G24" s="327"/>
      <c r="H24" s="368">
        <f>ROR!L24</f>
        <v>0.61931199999999997</v>
      </c>
      <c r="I24" s="553"/>
      <c r="J24" s="833"/>
      <c r="K24" s="833"/>
    </row>
    <row r="25" spans="1:25" ht="15" thickBot="1">
      <c r="A25" s="334"/>
      <c r="B25" s="327"/>
      <c r="C25" s="327"/>
      <c r="D25" s="375"/>
      <c r="E25" s="327"/>
      <c r="F25" s="375"/>
      <c r="G25" s="327"/>
      <c r="H25" s="327"/>
      <c r="I25" s="562"/>
      <c r="J25" s="795">
        <v>2017</v>
      </c>
      <c r="K25" s="796">
        <v>2018</v>
      </c>
      <c r="L25" s="448"/>
      <c r="M25" s="378"/>
    </row>
    <row r="26" spans="1:25" ht="13.5" thickBot="1">
      <c r="A26" s="334">
        <v>8</v>
      </c>
      <c r="B26" s="327"/>
      <c r="C26" s="375" t="s">
        <v>695</v>
      </c>
      <c r="D26" s="375"/>
      <c r="E26" s="545"/>
      <c r="F26" s="182"/>
      <c r="G26" s="699"/>
      <c r="H26" s="832">
        <f>ROUND(H22/H24,0)-2</f>
        <v>48678</v>
      </c>
      <c r="J26" s="832">
        <v>39772</v>
      </c>
      <c r="K26" s="832">
        <f>H26-J26</f>
        <v>8906</v>
      </c>
      <c r="L26" s="449"/>
      <c r="M26" s="378"/>
    </row>
    <row r="27" spans="1:25">
      <c r="A27" s="334"/>
      <c r="B27" s="327"/>
      <c r="C27" s="375"/>
      <c r="D27" s="375"/>
      <c r="E27" s="327"/>
      <c r="F27" s="376"/>
      <c r="G27" s="701"/>
      <c r="H27" s="376"/>
      <c r="I27" s="563"/>
      <c r="J27" s="563"/>
      <c r="K27" s="378"/>
      <c r="L27" s="378"/>
      <c r="M27" s="378"/>
    </row>
    <row r="28" spans="1:25">
      <c r="A28" s="334">
        <v>9</v>
      </c>
      <c r="B28" s="369"/>
      <c r="C28" s="375" t="s">
        <v>696</v>
      </c>
      <c r="D28" s="375"/>
      <c r="E28" s="327"/>
      <c r="F28" s="367"/>
      <c r="G28" s="367"/>
      <c r="H28" s="367">
        <f>'Attrition 12.2015 to 2018'!P7+'Attrition 12.2015 to 2018'!P8</f>
        <v>495064</v>
      </c>
      <c r="I28" s="565"/>
      <c r="J28" s="367">
        <f>'[8]Attrition 09.2015 to 2018'!P7+'[8]Attrition 09.2015 to 2018'!P8</f>
        <v>495064</v>
      </c>
      <c r="K28" s="367">
        <f>J26+J28</f>
        <v>534836</v>
      </c>
      <c r="L28" s="378"/>
      <c r="M28" s="378"/>
    </row>
    <row r="29" spans="1:25">
      <c r="A29" s="371"/>
      <c r="B29" s="369"/>
      <c r="C29" s="375"/>
      <c r="D29" s="375"/>
      <c r="E29" s="327"/>
      <c r="F29" s="375"/>
      <c r="G29" s="375"/>
      <c r="H29" s="327"/>
      <c r="I29" s="553"/>
      <c r="J29" s="553"/>
      <c r="K29" s="378"/>
      <c r="L29" s="378"/>
      <c r="M29" s="378"/>
    </row>
    <row r="30" spans="1:25" s="439" customFormat="1">
      <c r="A30" s="334">
        <v>10</v>
      </c>
      <c r="C30" s="375" t="s">
        <v>697</v>
      </c>
      <c r="D30" s="378"/>
      <c r="E30" s="543"/>
      <c r="F30" s="378"/>
      <c r="G30" s="378"/>
      <c r="H30" s="702">
        <f>H28+H26</f>
        <v>543742</v>
      </c>
      <c r="I30" s="561"/>
      <c r="J30" s="449"/>
      <c r="K30" s="367">
        <f>K28+K26</f>
        <v>543742</v>
      </c>
    </row>
    <row r="31" spans="1:25" ht="13.5" thickBot="1">
      <c r="A31" s="439"/>
      <c r="B31" s="371"/>
      <c r="C31" s="372"/>
      <c r="D31" s="372"/>
      <c r="E31" s="371"/>
      <c r="F31" s="372"/>
      <c r="G31" s="372"/>
      <c r="H31" s="371"/>
      <c r="I31" s="553"/>
      <c r="J31" s="553"/>
      <c r="K31" s="378"/>
      <c r="L31" s="378"/>
      <c r="M31" s="378"/>
    </row>
    <row r="32" spans="1:25" s="439" customFormat="1" ht="13.5" thickBot="1">
      <c r="A32" s="334">
        <v>11</v>
      </c>
      <c r="C32" s="550" t="s">
        <v>698</v>
      </c>
      <c r="D32" s="375"/>
      <c r="E32" s="327"/>
      <c r="F32" s="377"/>
      <c r="G32" s="370"/>
      <c r="H32" s="807">
        <f>H26/H28</f>
        <v>9.8326680994780466E-2</v>
      </c>
      <c r="I32" s="561"/>
      <c r="J32" s="807">
        <f>J26/J28</f>
        <v>8.0337087730071269E-2</v>
      </c>
      <c r="K32" s="807">
        <v>3.4000000000000002E-2</v>
      </c>
      <c r="L32" s="800"/>
      <c r="M32" s="378"/>
    </row>
    <row r="33" spans="1:11">
      <c r="A33" s="334"/>
      <c r="C33" s="378"/>
      <c r="D33" s="378"/>
      <c r="F33" s="378"/>
      <c r="I33" s="561"/>
      <c r="J33" s="561"/>
      <c r="K33" s="797" t="s">
        <v>699</v>
      </c>
    </row>
    <row r="34" spans="1:11" s="549" customFormat="1" ht="24.75" customHeight="1">
      <c r="A34" s="924" t="s">
        <v>747</v>
      </c>
      <c r="B34" s="924"/>
      <c r="C34" s="924"/>
      <c r="D34" s="924"/>
      <c r="E34" s="924"/>
      <c r="F34" s="924"/>
      <c r="G34" s="924"/>
      <c r="H34" s="924"/>
      <c r="I34" s="924"/>
      <c r="J34" s="924"/>
      <c r="K34" s="924"/>
    </row>
    <row r="35" spans="1:11" s="549" customFormat="1" ht="14.25">
      <c r="A35" s="917"/>
      <c r="B35" s="917"/>
      <c r="C35" s="917"/>
      <c r="D35" s="898"/>
      <c r="E35" s="898"/>
      <c r="F35" s="898"/>
      <c r="G35" s="898"/>
      <c r="H35" s="899" t="s">
        <v>760</v>
      </c>
      <c r="I35" s="553"/>
      <c r="J35" s="796">
        <v>2017</v>
      </c>
      <c r="K35" s="796">
        <v>2018</v>
      </c>
    </row>
    <row r="36" spans="1:11" s="549" customFormat="1">
      <c r="A36" s="552"/>
      <c r="F36" s="894" t="s">
        <v>756</v>
      </c>
      <c r="H36" s="895">
        <v>50586</v>
      </c>
      <c r="I36" s="553"/>
      <c r="J36" s="895">
        <v>40101</v>
      </c>
      <c r="K36" s="895">
        <v>10485</v>
      </c>
    </row>
    <row r="37" spans="1:11" s="549" customFormat="1" ht="15" customHeight="1">
      <c r="B37" s="555"/>
      <c r="F37" s="894" t="s">
        <v>757</v>
      </c>
      <c r="H37" s="896">
        <f>H26</f>
        <v>48678</v>
      </c>
      <c r="I37" s="554"/>
      <c r="J37" s="896">
        <f>J26</f>
        <v>39772</v>
      </c>
      <c r="K37" s="896">
        <f>K26</f>
        <v>8906</v>
      </c>
    </row>
    <row r="38" spans="1:11" s="439" customFormat="1" ht="13.5" thickBot="1">
      <c r="F38" s="894" t="s">
        <v>758</v>
      </c>
      <c r="H38" s="897">
        <f>H37-H36</f>
        <v>-1908</v>
      </c>
      <c r="I38" s="378"/>
      <c r="J38" s="897">
        <f>J37-J36</f>
        <v>-329</v>
      </c>
      <c r="K38" s="897">
        <f>K37-K36</f>
        <v>-1579</v>
      </c>
    </row>
    <row r="39" spans="1:11" s="439" customFormat="1" ht="13.5" thickTop="1">
      <c r="A39" s="916" t="s">
        <v>759</v>
      </c>
      <c r="B39" s="916"/>
      <c r="C39" s="916"/>
      <c r="D39" s="916"/>
      <c r="E39" s="916"/>
      <c r="F39" s="916"/>
      <c r="G39" s="916"/>
      <c r="H39" s="916"/>
      <c r="I39" s="916"/>
      <c r="J39" s="916"/>
      <c r="K39" s="916"/>
    </row>
    <row r="46" spans="1:11">
      <c r="A46" s="325"/>
      <c r="B46" s="325"/>
      <c r="C46" s="325"/>
      <c r="D46" s="325"/>
      <c r="E46" s="325"/>
      <c r="F46" s="325"/>
      <c r="G46" s="325"/>
      <c r="H46" s="325"/>
    </row>
    <row r="51" spans="20:20">
      <c r="T51" s="439"/>
    </row>
    <row r="97" spans="20:20">
      <c r="T97" s="540"/>
    </row>
    <row r="107" spans="20:20">
      <c r="T107" s="540"/>
    </row>
    <row r="153" spans="20:20">
      <c r="T153" s="540"/>
    </row>
    <row r="167" spans="20:20">
      <c r="T167" s="540"/>
    </row>
    <row r="187" spans="13:20">
      <c r="M187" s="540"/>
      <c r="N187" s="540"/>
      <c r="O187" s="540"/>
      <c r="P187" s="540"/>
      <c r="Q187" s="540"/>
      <c r="R187" s="540"/>
      <c r="S187" s="540"/>
      <c r="T187" s="540"/>
    </row>
  </sheetData>
  <mergeCells count="19">
    <mergeCell ref="A1:H1"/>
    <mergeCell ref="A2:H2"/>
    <mergeCell ref="A4:H4"/>
    <mergeCell ref="A5:H5"/>
    <mergeCell ref="D9:D10"/>
    <mergeCell ref="A3:H3"/>
    <mergeCell ref="A6:H6"/>
    <mergeCell ref="A9:A10"/>
    <mergeCell ref="B9:B10"/>
    <mergeCell ref="A39:K39"/>
    <mergeCell ref="A35:C35"/>
    <mergeCell ref="H9:H10"/>
    <mergeCell ref="I9:I10"/>
    <mergeCell ref="F9:F10"/>
    <mergeCell ref="G9:G10"/>
    <mergeCell ref="C9:C10"/>
    <mergeCell ref="A34:K34"/>
    <mergeCell ref="J9:J10"/>
    <mergeCell ref="K9:K10"/>
  </mergeCells>
  <printOptions horizontalCentered="1"/>
  <pageMargins left="0.7" right="0.7" top="0.75" bottom="0.75" header="0.3" footer="0.3"/>
  <pageSetup scale="97" orientation="landscape" r:id="rId1"/>
  <headerFooter scaleWithDoc="0">
    <oddHeader>&amp;CBench Request 10.4 - Attachment B&amp;RRevised Exhibit No. __(EMA-9)</oddHeader>
    <oddFooter>&amp;CWA 2018 Electric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topLeftCell="A22" zoomScale="130" zoomScaleNormal="100" zoomScaleSheetLayoutView="130" workbookViewId="0">
      <selection sqref="A1:R1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25"/>
      <c r="I1" s="325"/>
      <c r="J1" s="325"/>
      <c r="K1" s="325"/>
      <c r="L1" s="326"/>
    </row>
    <row r="2" spans="1:12">
      <c r="A2" s="933"/>
      <c r="B2" s="933"/>
      <c r="C2" s="933"/>
      <c r="D2" s="933"/>
      <c r="E2" s="933"/>
      <c r="F2" s="933"/>
      <c r="G2" s="933"/>
      <c r="H2" s="930" t="s">
        <v>94</v>
      </c>
      <c r="I2" s="930"/>
      <c r="J2" s="930"/>
      <c r="K2" s="930"/>
      <c r="L2" s="930"/>
    </row>
    <row r="3" spans="1:12">
      <c r="A3" s="934" t="s">
        <v>588</v>
      </c>
      <c r="B3" s="934"/>
      <c r="C3" s="934"/>
      <c r="D3" s="934"/>
      <c r="E3" s="934"/>
      <c r="F3" s="934"/>
      <c r="G3" s="934"/>
      <c r="H3" s="927" t="s">
        <v>270</v>
      </c>
      <c r="I3" s="927"/>
      <c r="J3" s="927"/>
      <c r="K3" s="927"/>
      <c r="L3" s="927"/>
    </row>
    <row r="4" spans="1:12" ht="15.75">
      <c r="A4" s="933" t="s">
        <v>270</v>
      </c>
      <c r="B4" s="933"/>
      <c r="C4" s="933"/>
      <c r="D4" s="933"/>
      <c r="E4" s="933"/>
      <c r="F4" s="933"/>
      <c r="G4" s="933"/>
      <c r="H4" s="931" t="str">
        <f>A5</f>
        <v>Twelve Months Ended December 31, 2015</v>
      </c>
      <c r="I4" s="932"/>
      <c r="J4" s="931"/>
      <c r="K4" s="931"/>
      <c r="L4" s="931"/>
    </row>
    <row r="5" spans="1:12" ht="15.75" thickBot="1">
      <c r="A5" s="933" t="s">
        <v>677</v>
      </c>
      <c r="B5" s="933"/>
      <c r="C5" s="933"/>
      <c r="D5" s="933"/>
      <c r="E5" s="933"/>
      <c r="F5" s="933"/>
      <c r="G5" s="933"/>
      <c r="H5" s="327"/>
      <c r="I5" s="327"/>
      <c r="J5" s="327"/>
      <c r="K5" s="327"/>
      <c r="L5" s="328"/>
    </row>
    <row r="6" spans="1:12">
      <c r="A6" s="156" t="s">
        <v>670</v>
      </c>
      <c r="B6" s="157"/>
      <c r="C6" s="157"/>
      <c r="D6" s="157"/>
      <c r="E6" s="157"/>
      <c r="F6" s="157"/>
      <c r="G6" s="158"/>
      <c r="H6" s="329" t="s">
        <v>383</v>
      </c>
      <c r="I6" s="329"/>
      <c r="J6" s="329"/>
      <c r="K6" s="329"/>
      <c r="L6" s="330"/>
    </row>
    <row r="7" spans="1:12">
      <c r="A7" s="159"/>
      <c r="B7" s="160"/>
      <c r="C7" s="160"/>
      <c r="D7" s="161"/>
      <c r="E7" s="162"/>
      <c r="F7" s="161"/>
      <c r="G7" s="163"/>
      <c r="H7" s="331" t="s">
        <v>89</v>
      </c>
      <c r="I7" s="329"/>
      <c r="J7" s="331" t="s">
        <v>384</v>
      </c>
      <c r="K7" s="332"/>
      <c r="L7" s="333" t="s">
        <v>385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27"/>
      <c r="I8" s="327"/>
      <c r="J8" s="327"/>
      <c r="K8" s="327"/>
      <c r="L8" s="328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34">
        <v>1</v>
      </c>
      <c r="I9" s="327"/>
      <c r="J9" s="335" t="s">
        <v>386</v>
      </c>
      <c r="K9" s="327"/>
      <c r="L9" s="336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34"/>
      <c r="I10" s="327"/>
      <c r="J10" s="327"/>
      <c r="K10" s="327"/>
      <c r="L10" s="336"/>
    </row>
    <row r="11" spans="1:12">
      <c r="A11" s="159"/>
      <c r="B11" s="164" t="s">
        <v>275</v>
      </c>
      <c r="C11" s="167"/>
      <c r="D11" s="168">
        <f>100%-D13</f>
        <v>0.51500000000000001</v>
      </c>
      <c r="E11" s="584">
        <v>5.5939999999999997E-2</v>
      </c>
      <c r="F11" s="168">
        <f>ROUND(D11*E11,4)</f>
        <v>2.8799999999999999E-2</v>
      </c>
      <c r="G11" s="181"/>
      <c r="H11" s="334"/>
      <c r="I11" s="327"/>
      <c r="J11" s="337" t="s">
        <v>387</v>
      </c>
      <c r="K11" s="338"/>
      <c r="L11" s="336"/>
    </row>
    <row r="12" spans="1:12">
      <c r="A12" s="159"/>
      <c r="B12" s="164"/>
      <c r="C12" s="170"/>
      <c r="D12" s="168"/>
      <c r="E12" s="168"/>
      <c r="F12" s="168"/>
      <c r="G12" s="171"/>
      <c r="H12" s="334">
        <v>2</v>
      </c>
      <c r="I12" s="327"/>
      <c r="J12" s="338" t="s">
        <v>388</v>
      </c>
      <c r="K12" s="338"/>
      <c r="L12" s="338">
        <v>6.7390000000000002E-3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9.9000000000000005E-2</v>
      </c>
      <c r="F13" s="168">
        <f>ROUND(D13*E13,4)</f>
        <v>4.8000000000000001E-2</v>
      </c>
      <c r="G13" s="166"/>
      <c r="H13" s="334"/>
      <c r="I13" s="327"/>
      <c r="J13" s="338"/>
      <c r="K13" s="338"/>
      <c r="L13" s="338"/>
    </row>
    <row r="14" spans="1:12">
      <c r="A14" s="159"/>
      <c r="B14" s="164"/>
      <c r="C14" s="170"/>
      <c r="D14" s="172"/>
      <c r="E14" s="172"/>
      <c r="F14" s="168"/>
      <c r="G14" s="163"/>
      <c r="H14" s="334">
        <v>3</v>
      </c>
      <c r="I14" s="327"/>
      <c r="J14" s="338" t="s">
        <v>389</v>
      </c>
      <c r="K14" s="338"/>
      <c r="L14" s="338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592">
        <f>SUM(F11:F13)</f>
        <v>7.6800000000000007E-2</v>
      </c>
      <c r="G15" s="163"/>
      <c r="H15" s="334"/>
      <c r="I15" s="327"/>
      <c r="J15" s="338"/>
      <c r="K15" s="338"/>
      <c r="L15" s="338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34">
        <v>4</v>
      </c>
      <c r="I16" s="327"/>
      <c r="J16" s="338" t="s">
        <v>390</v>
      </c>
      <c r="K16" s="338"/>
      <c r="L16" s="338">
        <v>3.8473E-2</v>
      </c>
    </row>
    <row r="17" spans="1:21">
      <c r="A17" s="790" t="s">
        <v>671</v>
      </c>
      <c r="B17" s="164"/>
      <c r="C17" s="170"/>
      <c r="D17" s="168"/>
      <c r="E17" s="169"/>
      <c r="F17" s="168"/>
      <c r="G17" s="160"/>
      <c r="H17" s="334"/>
      <c r="I17" s="327"/>
      <c r="J17" s="338"/>
      <c r="K17" s="338"/>
      <c r="L17" s="338"/>
    </row>
    <row r="18" spans="1:21">
      <c r="A18" s="160"/>
      <c r="B18" s="164"/>
      <c r="C18" s="170"/>
      <c r="D18" s="168"/>
      <c r="E18" s="834" t="s">
        <v>723</v>
      </c>
      <c r="F18" s="834"/>
      <c r="G18" s="160"/>
      <c r="H18" s="334">
        <v>5</v>
      </c>
      <c r="I18" s="327"/>
      <c r="J18" s="338" t="s">
        <v>391</v>
      </c>
      <c r="K18" s="338"/>
      <c r="L18" s="339">
        <f>SUM(L12:L16)</f>
        <v>4.7212000000000004E-2</v>
      </c>
    </row>
    <row r="19" spans="1:21">
      <c r="H19" s="334"/>
      <c r="I19" s="327"/>
      <c r="J19" s="338"/>
      <c r="K19" s="338"/>
      <c r="L19" s="340"/>
    </row>
    <row r="20" spans="1:21">
      <c r="H20" s="334">
        <v>6</v>
      </c>
      <c r="I20" s="327"/>
      <c r="J20" s="338" t="s">
        <v>392</v>
      </c>
      <c r="K20" s="338"/>
      <c r="L20" s="340">
        <f>L9-L18</f>
        <v>0.95278799999999997</v>
      </c>
    </row>
    <row r="21" spans="1:21">
      <c r="H21" s="327"/>
      <c r="I21" s="327"/>
      <c r="J21" s="338"/>
      <c r="K21" s="338"/>
      <c r="L21" s="340"/>
      <c r="U21" s="397"/>
    </row>
    <row r="22" spans="1:21">
      <c r="H22" s="334">
        <v>7</v>
      </c>
      <c r="I22" s="327"/>
      <c r="J22" s="338" t="s">
        <v>393</v>
      </c>
      <c r="K22" s="341"/>
      <c r="L22" s="342">
        <f>ROUND(L20*0.35,6)</f>
        <v>0.33347599999999999</v>
      </c>
    </row>
    <row r="23" spans="1:21">
      <c r="H23" s="327"/>
      <c r="I23" s="327"/>
      <c r="J23" s="338"/>
      <c r="K23" s="338"/>
      <c r="L23" s="340"/>
    </row>
    <row r="24" spans="1:21" ht="15.75" thickBot="1">
      <c r="H24" s="334">
        <v>8</v>
      </c>
      <c r="I24" s="327"/>
      <c r="J24" s="337" t="s">
        <v>394</v>
      </c>
      <c r="K24" s="338"/>
      <c r="L24" s="835">
        <f>ROUND(L20-L22,6)</f>
        <v>0.61931199999999997</v>
      </c>
      <c r="M24" s="397"/>
    </row>
    <row r="25" spans="1:21" ht="15.75" thickTop="1">
      <c r="C25" s="397"/>
      <c r="D25" s="397"/>
    </row>
    <row r="26" spans="1:21">
      <c r="C26" s="571"/>
      <c r="D26" s="571"/>
    </row>
    <row r="28" spans="1:21">
      <c r="A28" s="934" t="s">
        <v>116</v>
      </c>
      <c r="B28" s="934"/>
      <c r="C28" s="934"/>
      <c r="D28" s="934"/>
      <c r="E28" s="934"/>
      <c r="F28" s="934"/>
      <c r="G28" s="934"/>
    </row>
    <row r="29" spans="1:21">
      <c r="A29" s="926" t="s">
        <v>587</v>
      </c>
      <c r="B29" s="926"/>
      <c r="C29" s="926"/>
      <c r="D29" s="926"/>
      <c r="E29" s="926"/>
      <c r="F29" s="926"/>
      <c r="G29" s="926"/>
    </row>
    <row r="30" spans="1:21">
      <c r="A30" s="934" t="s">
        <v>270</v>
      </c>
      <c r="B30" s="934"/>
      <c r="C30" s="934"/>
      <c r="D30" s="934"/>
      <c r="E30" s="934"/>
      <c r="F30" s="934"/>
      <c r="G30" s="934"/>
    </row>
    <row r="31" spans="1:21" ht="15.75" thickBot="1">
      <c r="A31" s="934"/>
      <c r="B31" s="934"/>
      <c r="C31" s="934"/>
      <c r="D31" s="934"/>
      <c r="E31" s="934"/>
      <c r="F31" s="934"/>
      <c r="G31" s="934"/>
    </row>
    <row r="32" spans="1:21">
      <c r="A32" s="572" t="s">
        <v>445</v>
      </c>
      <c r="B32" s="573"/>
      <c r="C32" s="573"/>
      <c r="D32" s="573"/>
      <c r="E32" s="573"/>
      <c r="F32" s="573"/>
      <c r="G32" s="574"/>
      <c r="K32" s="139" t="e">
        <f>(K26/K28)*2</f>
        <v>#DIV/0!</v>
      </c>
    </row>
    <row r="33" spans="1:12">
      <c r="A33" s="575"/>
      <c r="B33" s="576"/>
      <c r="C33" s="576"/>
      <c r="D33" s="577"/>
      <c r="E33" s="578"/>
      <c r="F33" s="577"/>
      <c r="G33" s="579"/>
    </row>
    <row r="34" spans="1:12">
      <c r="A34" s="575"/>
      <c r="B34" s="580"/>
      <c r="C34" s="577"/>
      <c r="D34" s="577" t="s">
        <v>96</v>
      </c>
      <c r="E34" s="577"/>
      <c r="F34" s="577" t="s">
        <v>271</v>
      </c>
      <c r="G34" s="579"/>
    </row>
    <row r="35" spans="1:12">
      <c r="A35" s="575"/>
      <c r="B35" s="581" t="s">
        <v>272</v>
      </c>
      <c r="C35" s="577"/>
      <c r="D35" s="581" t="s">
        <v>273</v>
      </c>
      <c r="E35" s="581" t="s">
        <v>274</v>
      </c>
      <c r="F35" s="581" t="s">
        <v>274</v>
      </c>
      <c r="G35" s="579"/>
    </row>
    <row r="36" spans="1:12">
      <c r="A36" s="575"/>
      <c r="B36" s="576"/>
      <c r="C36" s="576"/>
      <c r="D36" s="576"/>
      <c r="E36" s="578"/>
      <c r="F36" s="576"/>
      <c r="G36" s="582"/>
    </row>
    <row r="37" spans="1:12">
      <c r="A37" s="575"/>
      <c r="B37" s="580" t="s">
        <v>275</v>
      </c>
      <c r="C37" s="583"/>
      <c r="D37" s="584">
        <f>100%-D39</f>
        <v>0.51629999999999998</v>
      </c>
      <c r="E37" s="585">
        <v>5.3199999999999997E-2</v>
      </c>
      <c r="F37" s="586">
        <f>ROUND(D37*E37,5)</f>
        <v>2.7470000000000001E-2</v>
      </c>
      <c r="G37" s="587"/>
    </row>
    <row r="38" spans="1:12">
      <c r="A38" s="575"/>
      <c r="B38" s="580"/>
      <c r="C38" s="588"/>
      <c r="D38" s="584"/>
      <c r="E38" s="585"/>
      <c r="F38" s="584"/>
      <c r="G38" s="589"/>
    </row>
    <row r="39" spans="1:12">
      <c r="A39" s="575"/>
      <c r="B39" s="580" t="s">
        <v>90</v>
      </c>
      <c r="C39" s="588"/>
      <c r="D39" s="590">
        <v>0.48370000000000002</v>
      </c>
      <c r="E39" s="585">
        <v>9.8000000000000004E-2</v>
      </c>
      <c r="F39" s="584">
        <f>ROUND(D39*E39,4)</f>
        <v>4.7399999999999998E-2</v>
      </c>
      <c r="G39" s="582"/>
    </row>
    <row r="40" spans="1:12">
      <c r="A40" s="575"/>
      <c r="B40" s="580"/>
      <c r="C40" s="588"/>
      <c r="D40" s="586"/>
      <c r="E40" s="591"/>
      <c r="F40" s="584"/>
      <c r="G40" s="579"/>
    </row>
    <row r="41" spans="1:12" ht="15.75" thickBot="1">
      <c r="A41" s="575"/>
      <c r="B41" s="580" t="s">
        <v>8</v>
      </c>
      <c r="C41" s="583"/>
      <c r="D41" s="592">
        <f>SUM(D37:D39)</f>
        <v>1</v>
      </c>
      <c r="E41" s="591"/>
      <c r="F41" s="592">
        <f>SUM(F37:F39)</f>
        <v>7.4869999999999992E-2</v>
      </c>
      <c r="G41" s="579"/>
    </row>
    <row r="42" spans="1:12" ht="16.5" thickTop="1" thickBot="1">
      <c r="A42" s="593"/>
      <c r="B42" s="594"/>
      <c r="C42" s="595"/>
      <c r="D42" s="596"/>
      <c r="E42" s="597"/>
      <c r="F42" s="596"/>
      <c r="G42" s="598"/>
      <c r="H42" s="325"/>
      <c r="I42" s="325"/>
      <c r="J42" s="325"/>
      <c r="K42" s="325"/>
      <c r="L42" s="326"/>
    </row>
    <row r="43" spans="1:12">
      <c r="A43" s="397"/>
      <c r="B43" s="397"/>
      <c r="C43" s="397"/>
      <c r="D43" s="397"/>
      <c r="E43" s="397"/>
      <c r="F43" s="397"/>
    </row>
    <row r="44" spans="1:12">
      <c r="A44" s="933" t="s">
        <v>768</v>
      </c>
      <c r="B44" s="933"/>
      <c r="C44" s="933"/>
      <c r="D44" s="933"/>
      <c r="E44" s="933"/>
      <c r="F44" s="933"/>
      <c r="G44" s="933"/>
    </row>
    <row r="94" spans="21:21">
      <c r="U94" s="539"/>
    </row>
    <row r="104" spans="21:21">
      <c r="U104" s="539"/>
    </row>
    <row r="150" spans="21:21">
      <c r="U150" s="539" t="s">
        <v>566</v>
      </c>
    </row>
    <row r="164" spans="21:21">
      <c r="U164" s="539" t="s">
        <v>566</v>
      </c>
    </row>
    <row r="184" spans="14:21">
      <c r="N184" s="539"/>
      <c r="O184" s="539"/>
      <c r="P184" s="539"/>
      <c r="Q184" s="539"/>
      <c r="R184" s="539"/>
      <c r="S184" s="539"/>
      <c r="T184" s="539"/>
      <c r="U184" s="539" t="s">
        <v>566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1" type="noConversion"/>
  <printOptions horizontalCentered="1"/>
  <pageMargins left="0.7" right="0.7" top="0.75" bottom="0.75" header="0.3" footer="0.3"/>
  <pageSetup scale="110" fitToWidth="2" fitToHeight="2" orientation="portrait" r:id="rId1"/>
  <headerFooter scaleWithDoc="0">
    <oddHeader>&amp;CBench Request 10.4 - Attachment B&amp;RRevised Exhibit No. __(EMA-9)</oddHeader>
    <oddFooter>&amp;CWA 2018 Electric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tabSelected="1" view="pageBreakPreview" zoomScale="85" zoomScaleNormal="115" zoomScaleSheetLayoutView="85" workbookViewId="0">
      <pane xSplit="4" ySplit="5" topLeftCell="E6" activePane="bottomRight" state="frozen"/>
      <selection sqref="A1:R1"/>
      <selection pane="topRight" sqref="A1:R1"/>
      <selection pane="bottomLeft" sqref="A1:R1"/>
      <selection pane="bottomRight" sqref="A1:R1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2.5703125" style="190" customWidth="1"/>
    <col min="9" max="9" width="9.28515625" style="190" customWidth="1"/>
    <col min="10" max="10" width="11.285156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28515625" style="188" customWidth="1"/>
    <col min="22" max="22" width="13.85546875" style="188" customWidth="1"/>
    <col min="23" max="23" width="11.5703125" style="830" customWidth="1"/>
    <col min="24" max="16384" width="12.42578125" style="49"/>
  </cols>
  <sheetData>
    <row r="1" spans="1:23" s="48" customFormat="1" ht="6" customHeight="1"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812"/>
    </row>
    <row r="2" spans="1:23" s="48" customFormat="1" ht="19.5" thickBot="1">
      <c r="A2" s="241" t="s">
        <v>95</v>
      </c>
      <c r="B2" s="941" t="s">
        <v>726</v>
      </c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2"/>
      <c r="U2" s="942"/>
      <c r="V2" s="942"/>
      <c r="W2" s="812"/>
    </row>
    <row r="3" spans="1:23" s="122" customFormat="1" ht="21" thickBot="1">
      <c r="B3" s="456"/>
      <c r="C3" s="452" t="s">
        <v>453</v>
      </c>
      <c r="D3" s="457"/>
      <c r="E3" s="943" t="s">
        <v>245</v>
      </c>
      <c r="F3" s="944"/>
      <c r="G3" s="944"/>
      <c r="H3" s="944"/>
      <c r="I3" s="944"/>
      <c r="J3" s="944"/>
      <c r="K3" s="945"/>
      <c r="L3" s="450"/>
      <c r="M3" s="451"/>
      <c r="N3" s="451"/>
      <c r="O3" s="452" t="s">
        <v>251</v>
      </c>
      <c r="P3" s="453"/>
      <c r="Q3" s="454"/>
      <c r="R3" s="943" t="s">
        <v>562</v>
      </c>
      <c r="S3" s="944"/>
      <c r="T3" s="944"/>
      <c r="U3" s="946"/>
      <c r="V3" s="703"/>
      <c r="W3" s="812"/>
    </row>
    <row r="4" spans="1:23" s="48" customFormat="1" ht="108" customHeight="1">
      <c r="A4" s="205" t="s">
        <v>663</v>
      </c>
      <c r="B4" s="50"/>
      <c r="C4" s="732" t="s">
        <v>4</v>
      </c>
      <c r="D4" s="726"/>
      <c r="E4" s="733" t="s">
        <v>673</v>
      </c>
      <c r="F4" s="567" t="s">
        <v>676</v>
      </c>
      <c r="G4" s="836" t="s">
        <v>660</v>
      </c>
      <c r="H4" s="836" t="s">
        <v>662</v>
      </c>
      <c r="I4" s="837" t="s">
        <v>680</v>
      </c>
      <c r="J4" s="836" t="s">
        <v>473</v>
      </c>
      <c r="K4" s="734" t="s">
        <v>667</v>
      </c>
      <c r="L4" s="734"/>
      <c r="M4" s="734" t="s">
        <v>396</v>
      </c>
      <c r="N4" s="734"/>
      <c r="O4" s="734" t="s">
        <v>664</v>
      </c>
      <c r="P4" s="735" t="s">
        <v>700</v>
      </c>
      <c r="Q4" s="735"/>
      <c r="R4" s="838" t="s">
        <v>701</v>
      </c>
      <c r="S4" s="838" t="s">
        <v>456</v>
      </c>
      <c r="T4" s="838" t="s">
        <v>711</v>
      </c>
      <c r="U4" s="838" t="s">
        <v>702</v>
      </c>
      <c r="V4" s="736" t="s">
        <v>703</v>
      </c>
      <c r="W4" s="813"/>
    </row>
    <row r="5" spans="1:23" ht="15.75">
      <c r="B5" s="45"/>
      <c r="C5" s="45"/>
      <c r="D5" s="83"/>
      <c r="E5" s="238" t="s">
        <v>120</v>
      </c>
      <c r="F5" s="461" t="s">
        <v>121</v>
      </c>
      <c r="G5" s="461" t="s">
        <v>281</v>
      </c>
      <c r="H5" s="461" t="s">
        <v>122</v>
      </c>
      <c r="I5" s="237" t="s">
        <v>282</v>
      </c>
      <c r="J5" s="237" t="s">
        <v>283</v>
      </c>
      <c r="K5" s="239" t="s">
        <v>284</v>
      </c>
      <c r="L5" s="47"/>
      <c r="M5" s="239" t="s">
        <v>285</v>
      </c>
      <c r="N5" s="48"/>
      <c r="O5" s="239" t="s">
        <v>286</v>
      </c>
      <c r="P5" s="239" t="s">
        <v>287</v>
      </c>
      <c r="Q5" s="49"/>
      <c r="R5" s="239" t="s">
        <v>376</v>
      </c>
      <c r="S5" s="239" t="s">
        <v>581</v>
      </c>
      <c r="T5" s="239" t="s">
        <v>582</v>
      </c>
      <c r="U5" s="239" t="s">
        <v>661</v>
      </c>
      <c r="V5" s="239" t="s">
        <v>666</v>
      </c>
      <c r="W5" s="814"/>
    </row>
    <row r="6" spans="1:23" ht="15.75" customHeight="1">
      <c r="B6" s="706" t="s">
        <v>0</v>
      </c>
      <c r="C6" s="707"/>
      <c r="D6" s="708"/>
      <c r="E6" s="709"/>
      <c r="F6" s="710"/>
      <c r="G6" s="803" t="s">
        <v>684</v>
      </c>
      <c r="H6" s="803" t="s">
        <v>683</v>
      </c>
      <c r="I6" s="803" t="s">
        <v>685</v>
      </c>
      <c r="J6" s="803" t="s">
        <v>684</v>
      </c>
      <c r="K6" s="787"/>
      <c r="L6" s="787"/>
      <c r="M6" s="706"/>
      <c r="N6" s="706"/>
      <c r="O6" s="706"/>
      <c r="P6" s="707"/>
      <c r="Q6" s="707"/>
      <c r="R6" s="803" t="s">
        <v>684</v>
      </c>
      <c r="S6" s="803" t="s">
        <v>684</v>
      </c>
      <c r="T6" s="803" t="s">
        <v>684</v>
      </c>
      <c r="U6" s="803" t="s">
        <v>684</v>
      </c>
      <c r="V6" s="707"/>
      <c r="W6" s="815"/>
    </row>
    <row r="7" spans="1:23" ht="15.75" customHeight="1">
      <c r="A7" s="704">
        <v>1</v>
      </c>
      <c r="B7" s="706" t="s">
        <v>84</v>
      </c>
      <c r="C7" s="706"/>
      <c r="D7" s="708"/>
      <c r="E7" s="711">
        <f>'CBR Hist'!U13</f>
        <v>497229</v>
      </c>
      <c r="F7" s="711"/>
      <c r="G7" s="711"/>
      <c r="H7" s="711"/>
      <c r="I7" s="711"/>
      <c r="J7" s="711">
        <v>-3093</v>
      </c>
      <c r="K7" s="712">
        <f>SUM(E7:J7)</f>
        <v>494136</v>
      </c>
      <c r="L7" s="712"/>
      <c r="M7" s="713">
        <f>'Weighted Revenue Growth'!J25</f>
        <v>1.8985698272210333E-2</v>
      </c>
      <c r="N7" s="713"/>
      <c r="O7" s="712"/>
      <c r="P7" s="714">
        <f>K7</f>
        <v>494136</v>
      </c>
      <c r="Q7" s="714"/>
      <c r="R7" s="711"/>
      <c r="S7" s="711">
        <f>'incremental load expense'!E10</f>
        <v>9381.5170014369251</v>
      </c>
      <c r="T7" s="711"/>
      <c r="U7" s="711"/>
      <c r="V7" s="714">
        <f>P7+R7+S7+U7+T7</f>
        <v>503517.51700143691</v>
      </c>
      <c r="W7" s="816"/>
    </row>
    <row r="8" spans="1:23" ht="15.75" customHeight="1">
      <c r="A8" s="704">
        <v>2</v>
      </c>
      <c r="B8" s="706" t="s">
        <v>83</v>
      </c>
      <c r="C8" s="706"/>
      <c r="D8" s="708"/>
      <c r="E8" s="711">
        <f>'CBR Hist'!U14</f>
        <v>928</v>
      </c>
      <c r="F8" s="711"/>
      <c r="G8" s="711"/>
      <c r="H8" s="711"/>
      <c r="I8" s="711"/>
      <c r="J8" s="711">
        <v>0</v>
      </c>
      <c r="K8" s="712">
        <f>SUM(E8:J8)</f>
        <v>928</v>
      </c>
      <c r="L8" s="712"/>
      <c r="M8" s="713">
        <f>M7</f>
        <v>1.8985698272210333E-2</v>
      </c>
      <c r="N8" s="713"/>
      <c r="O8" s="712"/>
      <c r="P8" s="714">
        <f>K8</f>
        <v>928</v>
      </c>
      <c r="Q8" s="714"/>
      <c r="R8" s="714"/>
      <c r="S8" s="711">
        <f>'incremental load expense'!E11</f>
        <v>17.618727996611188</v>
      </c>
      <c r="T8" s="711"/>
      <c r="U8" s="711"/>
      <c r="V8" s="714">
        <f>P8+R8+S8+U8+T8</f>
        <v>945.61872799661114</v>
      </c>
      <c r="W8" s="816"/>
    </row>
    <row r="9" spans="1:23" ht="15.75" customHeight="1">
      <c r="A9" s="704">
        <v>3</v>
      </c>
      <c r="B9" s="706" t="s">
        <v>82</v>
      </c>
      <c r="C9" s="706"/>
      <c r="D9" s="708"/>
      <c r="E9" s="711">
        <f>'CBR Hist'!U15</f>
        <v>49505</v>
      </c>
      <c r="F9" s="715">
        <f>-ROUND('12.2015 CB Power Supply'!F11,0)-1</f>
        <v>-49505</v>
      </c>
      <c r="G9" s="711"/>
      <c r="H9" s="711"/>
      <c r="I9" s="711"/>
      <c r="J9" s="711">
        <v>0</v>
      </c>
      <c r="K9" s="712">
        <f>SUM(E9:J9)</f>
        <v>0</v>
      </c>
      <c r="L9" s="716"/>
      <c r="M9" s="717"/>
      <c r="N9" s="717"/>
      <c r="O9" s="718"/>
      <c r="P9" s="715"/>
      <c r="Q9" s="715"/>
      <c r="R9" s="715">
        <f>ROUND('PF Power Supply 09.2015 load'!F11,0)</f>
        <v>35484</v>
      </c>
      <c r="S9" s="711">
        <f>'incremental load expense'!E12</f>
        <v>-3033</v>
      </c>
      <c r="T9" s="711"/>
      <c r="U9" s="715"/>
      <c r="V9" s="715">
        <f>P9+R9+S9+U9+T9</f>
        <v>32451</v>
      </c>
      <c r="W9" s="816"/>
    </row>
    <row r="10" spans="1:23" ht="15.75" customHeight="1">
      <c r="A10" s="704">
        <v>4</v>
      </c>
      <c r="B10" s="706" t="s">
        <v>249</v>
      </c>
      <c r="C10" s="706"/>
      <c r="D10" s="708"/>
      <c r="E10" s="719">
        <f>SUM(E7:E9)</f>
        <v>547662</v>
      </c>
      <c r="F10" s="712">
        <f>F9+F8+F7</f>
        <v>-49505</v>
      </c>
      <c r="G10" s="720"/>
      <c r="H10" s="720"/>
      <c r="I10" s="720"/>
      <c r="J10" s="720">
        <f>J9+J8+J7</f>
        <v>-3093</v>
      </c>
      <c r="K10" s="720">
        <f>K9+K8+K7</f>
        <v>495064</v>
      </c>
      <c r="L10" s="712"/>
      <c r="M10" s="713"/>
      <c r="N10" s="713"/>
      <c r="O10" s="714"/>
      <c r="P10" s="720">
        <f>P9+P8+P7</f>
        <v>495064</v>
      </c>
      <c r="Q10" s="714"/>
      <c r="R10" s="714">
        <f>R7+R8+R9</f>
        <v>35484</v>
      </c>
      <c r="S10" s="719">
        <f>S7+S8+S9</f>
        <v>6366.1357294335357</v>
      </c>
      <c r="T10" s="719">
        <f>T7+T8+T9</f>
        <v>0</v>
      </c>
      <c r="U10" s="714"/>
      <c r="V10" s="714">
        <f>V7+V8+V9</f>
        <v>536914.1357294335</v>
      </c>
      <c r="W10" s="816"/>
    </row>
    <row r="11" spans="1:23" ht="15.75" customHeight="1">
      <c r="A11" s="704">
        <v>5</v>
      </c>
      <c r="B11" s="706" t="s">
        <v>80</v>
      </c>
      <c r="C11" s="706"/>
      <c r="D11" s="708"/>
      <c r="E11" s="711">
        <f>'CBR Hist'!U17</f>
        <v>16920</v>
      </c>
      <c r="F11" s="715">
        <f>-ROUND(SUM('12.2015 CB Power Supply'!F12:F18),0)</f>
        <v>-10779</v>
      </c>
      <c r="G11" s="711"/>
      <c r="H11" s="711"/>
      <c r="I11" s="711"/>
      <c r="J11" s="711">
        <f>-4741+1050</f>
        <v>-3691</v>
      </c>
      <c r="K11" s="712">
        <f>SUM(E11:J11)</f>
        <v>2450</v>
      </c>
      <c r="L11" s="716"/>
      <c r="M11" s="717">
        <v>0</v>
      </c>
      <c r="N11" s="717"/>
      <c r="O11" s="716"/>
      <c r="P11" s="715">
        <f>K11</f>
        <v>2450</v>
      </c>
      <c r="Q11" s="715"/>
      <c r="R11" s="715">
        <f>ROUND('PF Power Supply 09.2015 load'!F19-R9,0)</f>
        <v>11806</v>
      </c>
      <c r="S11" s="711">
        <f>'incremental load expense'!E14</f>
        <v>-1</v>
      </c>
      <c r="T11" s="711"/>
      <c r="U11" s="715"/>
      <c r="V11" s="715">
        <f>K11+R11+S11+T11+U11</f>
        <v>14255</v>
      </c>
      <c r="W11" s="816"/>
    </row>
    <row r="12" spans="1:23" ht="15">
      <c r="A12" s="704">
        <v>6</v>
      </c>
      <c r="B12" s="706" t="s">
        <v>79</v>
      </c>
      <c r="C12" s="706"/>
      <c r="D12" s="721"/>
      <c r="E12" s="719">
        <f>E10+E11</f>
        <v>564582</v>
      </c>
      <c r="F12" s="711">
        <f>F11+F10</f>
        <v>-60284</v>
      </c>
      <c r="G12" s="719">
        <f>G11+G10</f>
        <v>0</v>
      </c>
      <c r="H12" s="719">
        <f>H11+H10</f>
        <v>0</v>
      </c>
      <c r="I12" s="719">
        <f>I11+I10</f>
        <v>0</v>
      </c>
      <c r="J12" s="719">
        <f>J11+J10</f>
        <v>-6784</v>
      </c>
      <c r="K12" s="720">
        <f>K10+K11</f>
        <v>497514</v>
      </c>
      <c r="L12" s="712"/>
      <c r="M12" s="713"/>
      <c r="N12" s="713"/>
      <c r="O12" s="711"/>
      <c r="P12" s="720">
        <f>P10+P11</f>
        <v>497514</v>
      </c>
      <c r="Q12" s="711"/>
      <c r="R12" s="711">
        <f>R11+R10</f>
        <v>47290</v>
      </c>
      <c r="S12" s="719">
        <f>S11+S10</f>
        <v>6365.1357294335357</v>
      </c>
      <c r="T12" s="719">
        <f>T11+T10</f>
        <v>0</v>
      </c>
      <c r="U12" s="711"/>
      <c r="V12" s="711">
        <f>V11+V10</f>
        <v>551169.1357294335</v>
      </c>
      <c r="W12" s="816"/>
    </row>
    <row r="13" spans="1:23" ht="6" customHeight="1">
      <c r="A13" s="455"/>
      <c r="B13" s="706"/>
      <c r="C13" s="706"/>
      <c r="D13" s="721"/>
      <c r="E13" s="711"/>
      <c r="F13" s="711"/>
      <c r="G13" s="711"/>
      <c r="H13" s="711"/>
      <c r="I13" s="711"/>
      <c r="J13" s="711"/>
      <c r="K13" s="712"/>
      <c r="L13" s="712"/>
      <c r="M13" s="713"/>
      <c r="N13" s="713"/>
      <c r="O13" s="722"/>
      <c r="P13" s="714"/>
      <c r="Q13" s="714"/>
      <c r="R13" s="711"/>
      <c r="S13" s="711"/>
      <c r="T13" s="711"/>
      <c r="U13" s="711"/>
      <c r="V13" s="714"/>
      <c r="W13" s="816"/>
    </row>
    <row r="14" spans="1:23" ht="15.75" customHeight="1">
      <c r="A14" s="704"/>
      <c r="B14" s="706" t="s">
        <v>78</v>
      </c>
      <c r="C14" s="706"/>
      <c r="D14" s="721"/>
      <c r="E14" s="711"/>
      <c r="F14" s="711"/>
      <c r="G14" s="711"/>
      <c r="H14" s="711"/>
      <c r="I14" s="711"/>
      <c r="J14" s="711"/>
      <c r="K14" s="712"/>
      <c r="L14" s="712"/>
      <c r="M14" s="713"/>
      <c r="N14" s="713"/>
      <c r="O14" s="723"/>
      <c r="P14" s="714"/>
      <c r="Q14" s="714"/>
      <c r="R14" s="871" t="s">
        <v>740</v>
      </c>
      <c r="S14" s="872"/>
      <c r="T14" s="872"/>
      <c r="U14" s="711"/>
      <c r="V14" s="714"/>
      <c r="W14" s="816"/>
    </row>
    <row r="15" spans="1:23" ht="15.75" customHeight="1" thickBot="1">
      <c r="A15" s="704"/>
      <c r="B15" s="706" t="s">
        <v>77</v>
      </c>
      <c r="C15" s="706"/>
      <c r="D15" s="721"/>
      <c r="E15" s="711"/>
      <c r="F15" s="711"/>
      <c r="G15" s="711"/>
      <c r="H15" s="711"/>
      <c r="I15" s="711"/>
      <c r="J15" s="711"/>
      <c r="K15" s="712"/>
      <c r="L15" s="712"/>
      <c r="M15" s="713"/>
      <c r="N15" s="713"/>
      <c r="O15" s="724"/>
      <c r="P15" s="714"/>
      <c r="Q15" s="714"/>
      <c r="R15" s="711"/>
      <c r="S15" s="711"/>
      <c r="T15" s="711"/>
      <c r="U15" s="711"/>
      <c r="V15" s="714"/>
      <c r="W15" s="816"/>
    </row>
    <row r="16" spans="1:23" ht="15.75" customHeight="1" thickBot="1">
      <c r="A16" s="704">
        <v>7</v>
      </c>
      <c r="B16" s="706"/>
      <c r="C16" s="706" t="s">
        <v>679</v>
      </c>
      <c r="D16" s="721"/>
      <c r="E16" s="711">
        <f>'CBR Hist'!U22</f>
        <v>140485</v>
      </c>
      <c r="F16" s="711">
        <f>-ROUND('12.2015 CB Power Supply'!F36-'12.2015 CB Power Supply'!F26,0)</f>
        <v>-89988</v>
      </c>
      <c r="G16" s="711">
        <v>468</v>
      </c>
      <c r="H16" s="711"/>
      <c r="I16" s="711"/>
      <c r="J16" s="711">
        <v>0</v>
      </c>
      <c r="K16" s="712">
        <f>SUM(E16:J16)</f>
        <v>50965</v>
      </c>
      <c r="L16" s="712"/>
      <c r="M16" s="785">
        <f>'Adj Operating Exp-2007-2015'!B8</f>
        <v>0.10164952319331809</v>
      </c>
      <c r="N16" s="725"/>
      <c r="O16" s="712">
        <f>M16*K16</f>
        <v>5180.567949547456</v>
      </c>
      <c r="P16" s="714">
        <f>O16+K16</f>
        <v>56145.567949547454</v>
      </c>
      <c r="Q16" s="714"/>
      <c r="R16" s="711">
        <f>ROUND('PF Power Supply 09.2015 load'!F33-R17,0)</f>
        <v>80563</v>
      </c>
      <c r="S16" s="711">
        <f>'incremental load expense'!E19</f>
        <v>1</v>
      </c>
      <c r="T16" s="711"/>
      <c r="U16" s="711"/>
      <c r="V16" s="714">
        <f>P16+R16+S16+U16+T16</f>
        <v>136709.56794954746</v>
      </c>
      <c r="W16" s="816"/>
    </row>
    <row r="17" spans="1:23" ht="15.75" customHeight="1" thickBot="1">
      <c r="A17" s="704">
        <v>8</v>
      </c>
      <c r="B17" s="706"/>
      <c r="C17" s="706" t="s">
        <v>76</v>
      </c>
      <c r="D17" s="721"/>
      <c r="E17" s="711">
        <f>'CBR Hist'!U23</f>
        <v>85107</v>
      </c>
      <c r="F17" s="711">
        <f>-ROUND('12.2015 CB Power Supply'!F26,0)</f>
        <v>-85107</v>
      </c>
      <c r="G17" s="711"/>
      <c r="H17" s="711"/>
      <c r="I17" s="711"/>
      <c r="J17" s="711">
        <v>0</v>
      </c>
      <c r="K17" s="712">
        <f>SUM(E17:J17)</f>
        <v>0</v>
      </c>
      <c r="L17" s="712"/>
      <c r="M17" s="713"/>
      <c r="N17" s="713"/>
      <c r="O17" s="712">
        <f>M17*K17</f>
        <v>0</v>
      </c>
      <c r="P17" s="714">
        <f>O17+K17</f>
        <v>0</v>
      </c>
      <c r="Q17" s="714"/>
      <c r="R17" s="711">
        <f>ROUND('PF Power Supply 09.2015 load'!F26,0)</f>
        <v>73126</v>
      </c>
      <c r="S17" s="711">
        <f>'incremental load expense'!E20</f>
        <v>1109</v>
      </c>
      <c r="T17" s="711"/>
      <c r="U17" s="711"/>
      <c r="V17" s="714">
        <f>P17+R17+S17+U17+T17</f>
        <v>74235</v>
      </c>
      <c r="W17" s="816"/>
    </row>
    <row r="18" spans="1:23" ht="15.75" customHeight="1" thickBot="1">
      <c r="A18" s="704">
        <v>9</v>
      </c>
      <c r="B18" s="706"/>
      <c r="C18" s="706" t="s">
        <v>136</v>
      </c>
      <c r="D18" s="721"/>
      <c r="E18" s="711">
        <f>'CBR Hist'!U24</f>
        <v>24947</v>
      </c>
      <c r="F18" s="711"/>
      <c r="G18" s="711"/>
      <c r="H18" s="711">
        <v>0</v>
      </c>
      <c r="I18" s="711">
        <v>0</v>
      </c>
      <c r="J18" s="711">
        <v>0</v>
      </c>
      <c r="K18" s="712">
        <f>SUM(E18:J18)</f>
        <v>24947</v>
      </c>
      <c r="L18" s="712"/>
      <c r="M18" s="785">
        <f>'Dep-Amort'!B8</f>
        <v>0.11695833159308915</v>
      </c>
      <c r="N18" s="725"/>
      <c r="O18" s="712">
        <f>M18*K18</f>
        <v>2917.7594982527949</v>
      </c>
      <c r="P18" s="714">
        <f>O18+K18</f>
        <v>27864.759498252795</v>
      </c>
      <c r="Q18" s="714"/>
      <c r="R18" s="711">
        <v>0</v>
      </c>
      <c r="S18" s="711"/>
      <c r="T18" s="711">
        <v>1255</v>
      </c>
      <c r="U18" s="711"/>
      <c r="V18" s="714">
        <f>P18+R18+S18+U18+T18</f>
        <v>29119.759498252795</v>
      </c>
      <c r="W18" s="816"/>
    </row>
    <row r="19" spans="1:23" ht="15.75" customHeight="1" thickBot="1">
      <c r="A19" s="704">
        <v>10</v>
      </c>
      <c r="B19" s="706"/>
      <c r="C19" s="706" t="s">
        <v>137</v>
      </c>
      <c r="D19" s="721"/>
      <c r="E19" s="711">
        <f>'CBR Hist'!U25</f>
        <v>5974</v>
      </c>
      <c r="F19" s="711"/>
      <c r="G19" s="711">
        <v>-2374</v>
      </c>
      <c r="H19" s="711">
        <v>0</v>
      </c>
      <c r="I19" s="711"/>
      <c r="J19" s="711">
        <v>0</v>
      </c>
      <c r="K19" s="712">
        <f>SUM(E19:J19)</f>
        <v>3600</v>
      </c>
      <c r="L19" s="712"/>
      <c r="M19" s="725">
        <v>0</v>
      </c>
      <c r="N19" s="725"/>
      <c r="O19" s="712">
        <f>M19*K19</f>
        <v>0</v>
      </c>
      <c r="P19" s="714">
        <f>O19+K19</f>
        <v>3600</v>
      </c>
      <c r="Q19" s="714"/>
      <c r="R19" s="711">
        <v>0</v>
      </c>
      <c r="S19" s="711"/>
      <c r="T19" s="711"/>
      <c r="U19" s="711"/>
      <c r="V19" s="714">
        <f>P19+R19+S19+U19+T19</f>
        <v>3600</v>
      </c>
      <c r="W19" s="816"/>
    </row>
    <row r="20" spans="1:23" ht="15.75" customHeight="1" thickBot="1">
      <c r="A20" s="704">
        <v>11</v>
      </c>
      <c r="B20" s="706"/>
      <c r="C20" s="726" t="s">
        <v>724</v>
      </c>
      <c r="D20" s="721"/>
      <c r="E20" s="711">
        <f>'CBR Hist'!U26</f>
        <v>14133</v>
      </c>
      <c r="F20" s="715"/>
      <c r="G20" s="711"/>
      <c r="H20" s="711"/>
      <c r="I20" s="711"/>
      <c r="J20" s="711">
        <v>0</v>
      </c>
      <c r="K20" s="712">
        <f>SUM(E20:J20)</f>
        <v>14133</v>
      </c>
      <c r="L20" s="716"/>
      <c r="M20" s="785">
        <f>'Adj Taxes'!B8</f>
        <v>0.13375700440104854</v>
      </c>
      <c r="N20" s="717"/>
      <c r="O20" s="716">
        <f>M20*K20</f>
        <v>1890.387743200019</v>
      </c>
      <c r="P20" s="715">
        <f>O20+K20</f>
        <v>16023.387743200019</v>
      </c>
      <c r="Q20" s="715"/>
      <c r="R20" s="715"/>
      <c r="S20" s="715"/>
      <c r="T20" s="715"/>
      <c r="U20" s="715"/>
      <c r="V20" s="715">
        <f>P20+R20+S20+U20+T20</f>
        <v>16023.387743200019</v>
      </c>
      <c r="W20" s="816"/>
    </row>
    <row r="21" spans="1:23" ht="15.75" customHeight="1">
      <c r="A21" s="704">
        <v>12</v>
      </c>
      <c r="B21" s="706"/>
      <c r="C21" s="727" t="s">
        <v>239</v>
      </c>
      <c r="D21" s="708"/>
      <c r="E21" s="719">
        <f>SUM(E16:E20)</f>
        <v>270646</v>
      </c>
      <c r="F21" s="712">
        <f t="shared" ref="F21:K21" si="0">F16+F17+F18+F19+F20</f>
        <v>-175095</v>
      </c>
      <c r="G21" s="720">
        <f t="shared" si="0"/>
        <v>-1906</v>
      </c>
      <c r="H21" s="720">
        <f t="shared" si="0"/>
        <v>0</v>
      </c>
      <c r="I21" s="720">
        <f t="shared" si="0"/>
        <v>0</v>
      </c>
      <c r="J21" s="720">
        <f t="shared" si="0"/>
        <v>0</v>
      </c>
      <c r="K21" s="720">
        <f t="shared" si="0"/>
        <v>93645</v>
      </c>
      <c r="L21" s="712"/>
      <c r="M21" s="713"/>
      <c r="N21" s="713"/>
      <c r="O21" s="712">
        <f>O16+O17+O18+O19+O20</f>
        <v>9988.7151910002704</v>
      </c>
      <c r="P21" s="712">
        <f>P16+P17+P18+P19+P20</f>
        <v>103633.71519100027</v>
      </c>
      <c r="Q21" s="712"/>
      <c r="R21" s="712">
        <f>R16+R17+R18+R19+R20</f>
        <v>153689</v>
      </c>
      <c r="S21" s="712">
        <f>S16+S17+S18+S19+S20</f>
        <v>1110</v>
      </c>
      <c r="T21" s="712">
        <f>T16+T17+T18+T19+T20</f>
        <v>1255</v>
      </c>
      <c r="U21" s="712">
        <f>U16+U17+U18+U19+U20</f>
        <v>0</v>
      </c>
      <c r="V21" s="712">
        <f>V16+V17+V18+V19+V20</f>
        <v>259687.71519100029</v>
      </c>
      <c r="W21" s="817"/>
    </row>
    <row r="22" spans="1:23" ht="15.75" customHeight="1">
      <c r="A22" s="704"/>
      <c r="B22" s="706"/>
      <c r="C22" s="726"/>
      <c r="D22" s="708"/>
      <c r="E22" s="711"/>
      <c r="F22" s="711"/>
      <c r="G22" s="711"/>
      <c r="H22" s="711"/>
      <c r="I22" s="711"/>
      <c r="J22" s="711"/>
      <c r="K22" s="712"/>
      <c r="L22" s="712"/>
      <c r="M22" s="713"/>
      <c r="N22" s="713"/>
      <c r="O22" s="723"/>
      <c r="P22" s="714"/>
      <c r="Q22" s="714"/>
      <c r="R22" s="711"/>
      <c r="S22" s="711"/>
      <c r="T22" s="711"/>
      <c r="U22" s="711"/>
      <c r="V22" s="714"/>
      <c r="W22" s="816"/>
    </row>
    <row r="23" spans="1:23" ht="15.75" customHeight="1">
      <c r="A23" s="704"/>
      <c r="B23" s="706" t="s">
        <v>55</v>
      </c>
      <c r="C23" s="726"/>
      <c r="D23" s="708"/>
      <c r="E23" s="711"/>
      <c r="F23" s="728"/>
      <c r="G23" s="728"/>
      <c r="H23" s="728"/>
      <c r="I23" s="728"/>
      <c r="J23" s="728"/>
      <c r="K23" s="712"/>
      <c r="L23" s="712"/>
      <c r="M23" s="713"/>
      <c r="N23" s="713"/>
      <c r="O23" s="723"/>
      <c r="P23" s="714"/>
      <c r="Q23" s="714"/>
      <c r="R23" s="711"/>
      <c r="S23" s="711"/>
      <c r="T23" s="711"/>
      <c r="U23" s="711"/>
      <c r="V23" s="714"/>
      <c r="W23" s="816"/>
    </row>
    <row r="24" spans="1:23" ht="15.75" customHeight="1">
      <c r="A24" s="704">
        <v>13</v>
      </c>
      <c r="B24" s="706"/>
      <c r="C24" s="706" t="s">
        <v>679</v>
      </c>
      <c r="D24" s="708"/>
      <c r="E24" s="711">
        <f>'CBR Hist'!U30</f>
        <v>24056</v>
      </c>
      <c r="F24" s="728"/>
      <c r="G24" s="711"/>
      <c r="H24" s="711"/>
      <c r="I24" s="711">
        <v>-2303</v>
      </c>
      <c r="J24" s="711">
        <v>0</v>
      </c>
      <c r="K24" s="712">
        <f>SUM(E24:J24)</f>
        <v>21753</v>
      </c>
      <c r="L24" s="712"/>
      <c r="M24" s="713">
        <f>M16</f>
        <v>0.10164952319331809</v>
      </c>
      <c r="N24" s="713"/>
      <c r="O24" s="712">
        <f>M24*K24</f>
        <v>2211.1820780242483</v>
      </c>
      <c r="P24" s="714">
        <f>O24+K24</f>
        <v>23964.182078024249</v>
      </c>
      <c r="Q24" s="714"/>
      <c r="R24" s="711"/>
      <c r="S24" s="711"/>
      <c r="T24" s="711"/>
      <c r="U24" s="711"/>
      <c r="V24" s="714">
        <f>P24+R24+S24+U24+T24</f>
        <v>23964.182078024249</v>
      </c>
      <c r="W24" s="816"/>
    </row>
    <row r="25" spans="1:23" ht="15.75" customHeight="1">
      <c r="A25" s="704">
        <v>14</v>
      </c>
      <c r="B25" s="706"/>
      <c r="C25" s="726" t="s">
        <v>138</v>
      </c>
      <c r="D25" s="708"/>
      <c r="E25" s="711">
        <f>'CBR Hist'!U31</f>
        <v>25379</v>
      </c>
      <c r="F25" s="728"/>
      <c r="G25" s="711"/>
      <c r="H25" s="711">
        <v>0</v>
      </c>
      <c r="I25" s="711">
        <v>0</v>
      </c>
      <c r="J25" s="711">
        <v>0</v>
      </c>
      <c r="K25" s="712">
        <f>SUM(E25:J25)</f>
        <v>25379</v>
      </c>
      <c r="L25" s="712"/>
      <c r="M25" s="713">
        <f>M18</f>
        <v>0.11695833159308915</v>
      </c>
      <c r="N25" s="713"/>
      <c r="O25" s="712">
        <f>M25*K25</f>
        <v>2968.2854975010096</v>
      </c>
      <c r="P25" s="714">
        <f>O25+K25</f>
        <v>28347.285497501009</v>
      </c>
      <c r="Q25" s="714"/>
      <c r="R25" s="711"/>
      <c r="S25" s="711"/>
      <c r="T25" s="711"/>
      <c r="U25" s="711">
        <v>176</v>
      </c>
      <c r="V25" s="714">
        <f>P25+R25+S25+U25+T25</f>
        <v>28523.285497501009</v>
      </c>
      <c r="W25" s="816"/>
    </row>
    <row r="26" spans="1:23" ht="15.75" customHeight="1">
      <c r="A26" s="704">
        <v>15</v>
      </c>
      <c r="B26" s="706"/>
      <c r="C26" s="726" t="s">
        <v>327</v>
      </c>
      <c r="D26" s="708"/>
      <c r="E26" s="711">
        <v>0</v>
      </c>
      <c r="F26" s="728"/>
      <c r="G26" s="711"/>
      <c r="H26" s="711">
        <v>0</v>
      </c>
      <c r="I26" s="711"/>
      <c r="J26" s="711"/>
      <c r="K26" s="712">
        <f>SUM(E26:J26)</f>
        <v>0</v>
      </c>
      <c r="L26" s="712"/>
      <c r="M26" s="725">
        <v>0</v>
      </c>
      <c r="N26" s="713"/>
      <c r="O26" s="712">
        <v>0</v>
      </c>
      <c r="P26" s="714">
        <f>O26+K26</f>
        <v>0</v>
      </c>
      <c r="Q26" s="714"/>
      <c r="R26" s="711"/>
      <c r="S26" s="711"/>
      <c r="T26" s="711"/>
      <c r="U26" s="711"/>
      <c r="V26" s="714">
        <f>P26+R26+S26+U26+T26</f>
        <v>0</v>
      </c>
      <c r="W26" s="816"/>
    </row>
    <row r="27" spans="1:23" ht="15.75" customHeight="1">
      <c r="A27" s="704">
        <v>16</v>
      </c>
      <c r="B27" s="706"/>
      <c r="C27" s="726" t="s">
        <v>68</v>
      </c>
      <c r="D27" s="708"/>
      <c r="E27" s="711">
        <f>'CBR Hist'!U32</f>
        <v>27448</v>
      </c>
      <c r="F27" s="729"/>
      <c r="G27" s="711">
        <v>0</v>
      </c>
      <c r="H27" s="711"/>
      <c r="I27" s="711"/>
      <c r="J27" s="711">
        <f>ROUND(J7*ROR!L16,0)</f>
        <v>-119</v>
      </c>
      <c r="K27" s="712">
        <f>SUM(E27:J27)</f>
        <v>27329</v>
      </c>
      <c r="L27" s="716"/>
      <c r="M27" s="717">
        <f>M20</f>
        <v>0.13375700440104854</v>
      </c>
      <c r="N27" s="717"/>
      <c r="O27" s="716">
        <f>M27*K27</f>
        <v>3655.4451732762554</v>
      </c>
      <c r="P27" s="715">
        <f>O27+K27</f>
        <v>30984.445173276254</v>
      </c>
      <c r="Q27" s="715"/>
      <c r="R27" s="715"/>
      <c r="S27" s="711">
        <f>'incremental load expense'!E29</f>
        <v>360.93510359628283</v>
      </c>
      <c r="T27" s="711"/>
      <c r="U27" s="715"/>
      <c r="V27" s="715">
        <f>P27+R27+S27+U27+T27</f>
        <v>31345.380276872536</v>
      </c>
      <c r="W27" s="816"/>
    </row>
    <row r="28" spans="1:23" ht="15.75" customHeight="1">
      <c r="A28" s="704">
        <v>17</v>
      </c>
      <c r="B28" s="706"/>
      <c r="C28" s="726" t="s">
        <v>240</v>
      </c>
      <c r="D28" s="708"/>
      <c r="E28" s="719">
        <f>SUM(E24:E27)</f>
        <v>76883</v>
      </c>
      <c r="F28" s="720">
        <f>F24+F25+F27</f>
        <v>0</v>
      </c>
      <c r="G28" s="720">
        <f>G24+G25+G27</f>
        <v>0</v>
      </c>
      <c r="H28" s="720">
        <f>H24+H25+H27+H26</f>
        <v>0</v>
      </c>
      <c r="I28" s="720">
        <f>I24+I25+I27</f>
        <v>-2303</v>
      </c>
      <c r="J28" s="720">
        <f>J24+J25+J27</f>
        <v>-119</v>
      </c>
      <c r="K28" s="720">
        <f>SUM(K24:K27)</f>
        <v>74461</v>
      </c>
      <c r="L28" s="712"/>
      <c r="M28" s="713"/>
      <c r="N28" s="713"/>
      <c r="O28" s="712">
        <f>O24+O25+O27+O26</f>
        <v>8834.9127488015129</v>
      </c>
      <c r="P28" s="712">
        <f>P24+P25+P27+P26</f>
        <v>83295.912748801507</v>
      </c>
      <c r="Q28" s="712"/>
      <c r="R28" s="712">
        <f>R24+R25+R27</f>
        <v>0</v>
      </c>
      <c r="S28" s="720">
        <f>S24+S25+S27</f>
        <v>360.93510359628283</v>
      </c>
      <c r="T28" s="720">
        <f>T24+T25+T27</f>
        <v>0</v>
      </c>
      <c r="U28" s="720">
        <f>U24+U25+U27</f>
        <v>176</v>
      </c>
      <c r="V28" s="712">
        <f>V24+V25+V27+V26</f>
        <v>83832.847852397797</v>
      </c>
      <c r="W28" s="817"/>
    </row>
    <row r="29" spans="1:23" ht="4.5" customHeight="1">
      <c r="A29" s="704"/>
      <c r="B29" s="706"/>
      <c r="C29" s="726"/>
      <c r="D29" s="708"/>
      <c r="E29" s="711"/>
      <c r="F29" s="708"/>
      <c r="G29" s="708"/>
      <c r="H29" s="708"/>
      <c r="I29" s="708"/>
      <c r="J29" s="708"/>
      <c r="K29" s="712"/>
      <c r="L29" s="712"/>
      <c r="M29" s="713"/>
      <c r="N29" s="713"/>
      <c r="O29" s="723"/>
      <c r="P29" s="714"/>
      <c r="Q29" s="714"/>
      <c r="R29" s="711"/>
      <c r="S29" s="711"/>
      <c r="T29" s="711"/>
      <c r="U29" s="711"/>
      <c r="V29" s="714"/>
      <c r="W29" s="816"/>
    </row>
    <row r="30" spans="1:23" ht="15.75" customHeight="1">
      <c r="A30" s="704">
        <f>A28+1</f>
        <v>18</v>
      </c>
      <c r="B30" s="706" t="s">
        <v>73</v>
      </c>
      <c r="C30" s="726"/>
      <c r="D30" s="708"/>
      <c r="E30" s="711">
        <f>'CBR Hist'!U35</f>
        <v>12363</v>
      </c>
      <c r="F30" s="711"/>
      <c r="G30" s="711"/>
      <c r="H30" s="711"/>
      <c r="I30" s="711"/>
      <c r="J30" s="711">
        <f>ROUND(J7*ROR!L12,0)</f>
        <v>-21</v>
      </c>
      <c r="K30" s="712">
        <f>SUM(E30:J30)</f>
        <v>12342</v>
      </c>
      <c r="L30" s="712"/>
      <c r="M30" s="713">
        <f>M16</f>
        <v>0.10164952319331809</v>
      </c>
      <c r="N30" s="713"/>
      <c r="O30" s="712">
        <f>M30*K30</f>
        <v>1254.5584152519318</v>
      </c>
      <c r="P30" s="714">
        <f>O30+K30</f>
        <v>13596.558415251931</v>
      </c>
      <c r="Q30" s="714"/>
      <c r="R30" s="711"/>
      <c r="S30" s="711">
        <f>'incremental load expense'!E32</f>
        <v>63.222043072683441</v>
      </c>
      <c r="T30" s="711"/>
      <c r="U30" s="711"/>
      <c r="V30" s="714">
        <f>P30+R30+S30+U30+T30</f>
        <v>13659.780458324614</v>
      </c>
      <c r="W30" s="816"/>
    </row>
    <row r="31" spans="1:23" ht="15.75" customHeight="1">
      <c r="A31" s="704">
        <v>19</v>
      </c>
      <c r="B31" s="706" t="s">
        <v>72</v>
      </c>
      <c r="C31" s="726"/>
      <c r="D31" s="708"/>
      <c r="E31" s="711">
        <f>'CBR Hist'!U36</f>
        <v>1454</v>
      </c>
      <c r="F31" s="711"/>
      <c r="G31" s="711"/>
      <c r="H31" s="711"/>
      <c r="I31" s="711"/>
      <c r="J31" s="711">
        <v>0</v>
      </c>
      <c r="K31" s="712">
        <f>SUM(E31:J31)</f>
        <v>1454</v>
      </c>
      <c r="L31" s="712"/>
      <c r="M31" s="713">
        <f>M16</f>
        <v>0.10164952319331809</v>
      </c>
      <c r="N31" s="713"/>
      <c r="O31" s="712">
        <f>M31*K31</f>
        <v>147.7984067230845</v>
      </c>
      <c r="P31" s="714">
        <f>O31+K31</f>
        <v>1601.7984067230846</v>
      </c>
      <c r="Q31" s="714"/>
      <c r="R31" s="711"/>
      <c r="S31" s="711"/>
      <c r="T31" s="711"/>
      <c r="U31" s="711"/>
      <c r="V31" s="714">
        <f>P31+R31+S31+U31+T31</f>
        <v>1601.7984067230846</v>
      </c>
      <c r="W31" s="816"/>
    </row>
    <row r="32" spans="1:23" ht="15.75" customHeight="1">
      <c r="A32" s="704">
        <v>20</v>
      </c>
      <c r="B32" s="706" t="s">
        <v>71</v>
      </c>
      <c r="C32" s="726"/>
      <c r="D32" s="708"/>
      <c r="E32" s="711">
        <f>'CBR Hist'!U37</f>
        <v>0</v>
      </c>
      <c r="F32" s="711"/>
      <c r="G32" s="711"/>
      <c r="H32" s="711"/>
      <c r="I32" s="711"/>
      <c r="J32" s="711">
        <v>0</v>
      </c>
      <c r="K32" s="712">
        <f>(K26/K28)*2</f>
        <v>0</v>
      </c>
      <c r="L32" s="712"/>
      <c r="M32" s="713">
        <f>M16</f>
        <v>0.10164952319331809</v>
      </c>
      <c r="N32" s="713"/>
      <c r="O32" s="712">
        <f>M32*K32</f>
        <v>0</v>
      </c>
      <c r="P32" s="714">
        <f>O32+K32</f>
        <v>0</v>
      </c>
      <c r="Q32" s="714"/>
      <c r="R32" s="711"/>
      <c r="S32" s="711"/>
      <c r="T32" s="711"/>
      <c r="U32" s="711"/>
      <c r="V32" s="714">
        <f>P32+R32+S32+U32+T32</f>
        <v>0</v>
      </c>
      <c r="W32" s="816"/>
    </row>
    <row r="33" spans="1:23" ht="5.25" customHeight="1">
      <c r="A33" s="704"/>
      <c r="B33" s="706"/>
      <c r="C33" s="726"/>
      <c r="D33" s="708"/>
      <c r="E33" s="711"/>
      <c r="F33" s="711"/>
      <c r="G33" s="711"/>
      <c r="H33" s="711"/>
      <c r="I33" s="711"/>
      <c r="J33" s="711"/>
      <c r="K33" s="712"/>
      <c r="L33" s="712"/>
      <c r="M33" s="713"/>
      <c r="N33" s="713"/>
      <c r="O33" s="723"/>
      <c r="P33" s="714"/>
      <c r="Q33" s="714"/>
      <c r="R33" s="711"/>
      <c r="S33" s="711"/>
      <c r="T33" s="711"/>
      <c r="U33" s="711"/>
      <c r="V33" s="714"/>
      <c r="W33" s="816"/>
    </row>
    <row r="34" spans="1:23" ht="15.75" customHeight="1">
      <c r="A34" s="704"/>
      <c r="B34" s="706" t="s">
        <v>70</v>
      </c>
      <c r="C34" s="726"/>
      <c r="D34" s="708"/>
      <c r="E34" s="711"/>
      <c r="F34" s="711"/>
      <c r="G34" s="711"/>
      <c r="H34" s="711"/>
      <c r="I34" s="711"/>
      <c r="J34" s="711"/>
      <c r="K34" s="712"/>
      <c r="L34" s="712"/>
      <c r="M34" s="713"/>
      <c r="N34" s="713"/>
      <c r="O34" s="723"/>
      <c r="P34" s="714"/>
      <c r="Q34" s="714"/>
      <c r="R34" s="711"/>
      <c r="S34" s="711"/>
      <c r="T34" s="711"/>
      <c r="U34" s="711"/>
      <c r="V34" s="714"/>
      <c r="W34" s="816"/>
    </row>
    <row r="35" spans="1:23" ht="15.75" customHeight="1">
      <c r="A35" s="704">
        <f>A32+1</f>
        <v>21</v>
      </c>
      <c r="B35" s="706"/>
      <c r="C35" s="706" t="s">
        <v>679</v>
      </c>
      <c r="D35" s="708"/>
      <c r="E35" s="711">
        <f>'CBR Hist'!U40</f>
        <v>49942</v>
      </c>
      <c r="F35" s="711"/>
      <c r="G35" s="711">
        <v>-625</v>
      </c>
      <c r="H35" s="711"/>
      <c r="I35" s="711"/>
      <c r="J35" s="711">
        <f>ROUND(J7*ROR!L14,0)</f>
        <v>-6</v>
      </c>
      <c r="K35" s="712">
        <f>SUM(E35:J35)</f>
        <v>49311</v>
      </c>
      <c r="L35" s="712"/>
      <c r="M35" s="713">
        <f>M16</f>
        <v>0.10164952319331809</v>
      </c>
      <c r="N35" s="713"/>
      <c r="O35" s="712">
        <f>M35*K35</f>
        <v>5012.4396381857086</v>
      </c>
      <c r="P35" s="714">
        <f>O35+K35</f>
        <v>54323.439638185708</v>
      </c>
      <c r="Q35" s="714"/>
      <c r="R35" s="711"/>
      <c r="S35" s="711">
        <f>'incremental load expense'!E37</f>
        <v>18.763034002873852</v>
      </c>
      <c r="T35" s="711"/>
      <c r="U35" s="711"/>
      <c r="V35" s="714">
        <f>P35+R35+S35+U35+T35</f>
        <v>54342.202672188585</v>
      </c>
      <c r="W35" s="816"/>
    </row>
    <row r="36" spans="1:23" ht="15.75" customHeight="1">
      <c r="A36" s="704">
        <f>A35+1</f>
        <v>22</v>
      </c>
      <c r="B36" s="706"/>
      <c r="C36" s="726" t="s">
        <v>138</v>
      </c>
      <c r="D36" s="708"/>
      <c r="E36" s="711">
        <f>'CBR Hist'!U41</f>
        <v>21503</v>
      </c>
      <c r="F36" s="711"/>
      <c r="G36" s="711"/>
      <c r="H36" s="711"/>
      <c r="I36" s="711">
        <v>0</v>
      </c>
      <c r="J36" s="711">
        <v>0</v>
      </c>
      <c r="K36" s="712">
        <f>SUM(E36:J36)</f>
        <v>21503</v>
      </c>
      <c r="L36" s="712"/>
      <c r="M36" s="713">
        <f>M18</f>
        <v>0.11695833159308915</v>
      </c>
      <c r="N36" s="713"/>
      <c r="O36" s="712">
        <f>M36*K36</f>
        <v>2514.955004246196</v>
      </c>
      <c r="P36" s="714">
        <f>O36+K36</f>
        <v>24017.955004246196</v>
      </c>
      <c r="Q36" s="714"/>
      <c r="R36" s="711"/>
      <c r="S36" s="711"/>
      <c r="T36" s="711"/>
      <c r="U36" s="711">
        <v>2536</v>
      </c>
      <c r="V36" s="714">
        <f>P36+R36+S36+U36+T36</f>
        <v>26553.955004246196</v>
      </c>
      <c r="W36" s="816"/>
    </row>
    <row r="37" spans="1:23" ht="15.75" customHeight="1">
      <c r="A37" s="704">
        <f t="shared" ref="A37:A39" si="1">A36+1</f>
        <v>23</v>
      </c>
      <c r="B37" s="706"/>
      <c r="C37" s="726" t="s">
        <v>68</v>
      </c>
      <c r="D37" s="708"/>
      <c r="E37" s="711">
        <f>'CBR Hist'!U42</f>
        <v>0</v>
      </c>
      <c r="F37" s="715"/>
      <c r="G37" s="711"/>
      <c r="H37" s="711"/>
      <c r="I37" s="711"/>
      <c r="J37" s="711">
        <v>0</v>
      </c>
      <c r="K37" s="712">
        <f>SUM(E37:J37)</f>
        <v>0</v>
      </c>
      <c r="L37" s="716"/>
      <c r="M37" s="717">
        <f>M20</f>
        <v>0.13375700440104854</v>
      </c>
      <c r="N37" s="717"/>
      <c r="O37" s="716">
        <f>M37*K37</f>
        <v>0</v>
      </c>
      <c r="P37" s="715">
        <f>O37+K37</f>
        <v>0</v>
      </c>
      <c r="Q37" s="715"/>
      <c r="R37" s="715"/>
      <c r="S37" s="715"/>
      <c r="T37" s="715"/>
      <c r="U37" s="715"/>
      <c r="V37" s="715">
        <f>P37+R37+S37+U37+T37</f>
        <v>0</v>
      </c>
      <c r="W37" s="816"/>
    </row>
    <row r="38" spans="1:23" ht="15.75" customHeight="1">
      <c r="A38" s="704">
        <f t="shared" si="1"/>
        <v>24</v>
      </c>
      <c r="B38" s="706"/>
      <c r="C38" s="727" t="s">
        <v>576</v>
      </c>
      <c r="D38" s="708"/>
      <c r="E38" s="719">
        <f>SUM(E35:E37)</f>
        <v>71445</v>
      </c>
      <c r="F38" s="712">
        <f t="shared" ref="F38:K38" si="2">F35+F36+F37</f>
        <v>0</v>
      </c>
      <c r="G38" s="730">
        <f t="shared" si="2"/>
        <v>-625</v>
      </c>
      <c r="H38" s="730">
        <f t="shared" si="2"/>
        <v>0</v>
      </c>
      <c r="I38" s="730">
        <f t="shared" si="2"/>
        <v>0</v>
      </c>
      <c r="J38" s="730">
        <f t="shared" si="2"/>
        <v>-6</v>
      </c>
      <c r="K38" s="730">
        <f t="shared" si="2"/>
        <v>70814</v>
      </c>
      <c r="L38" s="712"/>
      <c r="M38" s="713"/>
      <c r="N38" s="713"/>
      <c r="O38" s="712">
        <f>O35+O36+O37</f>
        <v>7527.3946424319047</v>
      </c>
      <c r="P38" s="712">
        <f>P35+P36+P37</f>
        <v>78341.3946424319</v>
      </c>
      <c r="Q38" s="712"/>
      <c r="R38" s="712">
        <f>R35+R36+R37</f>
        <v>0</v>
      </c>
      <c r="S38" s="712">
        <f>S35+S36+S37</f>
        <v>18.763034002873852</v>
      </c>
      <c r="T38" s="712">
        <f>T35+T36+T37</f>
        <v>0</v>
      </c>
      <c r="U38" s="712">
        <f>U35+U36+U37</f>
        <v>2536</v>
      </c>
      <c r="V38" s="712">
        <f>V35+V36+V37</f>
        <v>80896.157676434785</v>
      </c>
      <c r="W38" s="817"/>
    </row>
    <row r="39" spans="1:23" ht="15.75" customHeight="1">
      <c r="A39" s="704">
        <f t="shared" si="1"/>
        <v>25</v>
      </c>
      <c r="B39" s="706" t="s">
        <v>66</v>
      </c>
      <c r="C39" s="726"/>
      <c r="D39" s="708"/>
      <c r="E39" s="719">
        <f t="shared" ref="E39:K39" si="3">E21+E28+E30+E31+E32+E38</f>
        <v>432791</v>
      </c>
      <c r="F39" s="719">
        <f t="shared" si="3"/>
        <v>-175095</v>
      </c>
      <c r="G39" s="719">
        <f t="shared" si="3"/>
        <v>-2531</v>
      </c>
      <c r="H39" s="719">
        <f t="shared" ref="H39" si="4">H21+H28+H30+H31+H32+H38</f>
        <v>0</v>
      </c>
      <c r="I39" s="719">
        <f t="shared" si="3"/>
        <v>-2303</v>
      </c>
      <c r="J39" s="719">
        <f t="shared" si="3"/>
        <v>-146</v>
      </c>
      <c r="K39" s="719">
        <f t="shared" si="3"/>
        <v>252716</v>
      </c>
      <c r="L39" s="719"/>
      <c r="M39" s="731"/>
      <c r="N39" s="731"/>
      <c r="O39" s="719">
        <f>O21+O28+O30+O31+O32+O38</f>
        <v>27753.379404208703</v>
      </c>
      <c r="P39" s="719">
        <f>P21+P28+P30+P31+P32+P38</f>
        <v>280469.37940420868</v>
      </c>
      <c r="Q39" s="719"/>
      <c r="R39" s="719">
        <f>R21+R28+R30+R31+R32+R38</f>
        <v>153689</v>
      </c>
      <c r="S39" s="719">
        <f>S21+S28+S30+S31+S32+S38</f>
        <v>1552.9201806718399</v>
      </c>
      <c r="T39" s="719">
        <f>T21+T28+T30+T31+T32+T38</f>
        <v>1255</v>
      </c>
      <c r="U39" s="719">
        <f>U21+U28+U30+U31+U32+U38</f>
        <v>2712</v>
      </c>
      <c r="V39" s="719">
        <f>V21+V28+V30+V31+V32+V38</f>
        <v>439678.29958488053</v>
      </c>
      <c r="W39" s="816"/>
    </row>
    <row r="40" spans="1:23" ht="15.75" customHeight="1">
      <c r="A40" s="704"/>
      <c r="B40" s="706"/>
      <c r="C40" s="706">
        <v>5</v>
      </c>
      <c r="D40" s="708"/>
      <c r="E40" s="711"/>
      <c r="F40" s="711"/>
      <c r="G40" s="711"/>
      <c r="H40" s="711"/>
      <c r="I40" s="711"/>
      <c r="J40" s="711"/>
      <c r="K40" s="712"/>
      <c r="L40" s="712"/>
      <c r="M40" s="713"/>
      <c r="N40" s="713"/>
      <c r="O40" s="723"/>
      <c r="P40" s="714"/>
      <c r="Q40" s="714"/>
      <c r="R40" s="711"/>
      <c r="S40" s="711"/>
      <c r="T40" s="711"/>
      <c r="U40" s="711"/>
      <c r="V40" s="714"/>
      <c r="W40" s="816"/>
    </row>
    <row r="41" spans="1:23" ht="15.75" customHeight="1">
      <c r="A41" s="804">
        <f>A39+1</f>
        <v>26</v>
      </c>
      <c r="B41" s="805" t="s">
        <v>65</v>
      </c>
      <c r="C41" s="805"/>
      <c r="D41" s="806"/>
      <c r="E41" s="715">
        <f>E12-E39</f>
        <v>131791</v>
      </c>
      <c r="F41" s="715">
        <f t="shared" ref="F41:K41" si="5">F12-F39</f>
        <v>114811</v>
      </c>
      <c r="G41" s="715">
        <f t="shared" si="5"/>
        <v>2531</v>
      </c>
      <c r="H41" s="715">
        <f t="shared" si="5"/>
        <v>0</v>
      </c>
      <c r="I41" s="715">
        <f t="shared" si="5"/>
        <v>2303</v>
      </c>
      <c r="J41" s="715">
        <f t="shared" si="5"/>
        <v>-6638</v>
      </c>
      <c r="K41" s="715">
        <f t="shared" si="5"/>
        <v>244798</v>
      </c>
      <c r="L41" s="715"/>
      <c r="M41" s="717"/>
      <c r="N41" s="715"/>
      <c r="O41" s="715">
        <f t="shared" ref="O41:S41" si="6">O12-O39</f>
        <v>-27753.379404208703</v>
      </c>
      <c r="P41" s="715">
        <f>P12-P39</f>
        <v>217044.62059579132</v>
      </c>
      <c r="Q41" s="715">
        <f t="shared" si="6"/>
        <v>0</v>
      </c>
      <c r="R41" s="715">
        <f t="shared" si="6"/>
        <v>-106399</v>
      </c>
      <c r="S41" s="715">
        <f t="shared" si="6"/>
        <v>4812.2155487616956</v>
      </c>
      <c r="T41" s="715">
        <f t="shared" ref="T41" si="7">T12-T39</f>
        <v>-1255</v>
      </c>
      <c r="U41" s="715">
        <f>-U39</f>
        <v>-2712</v>
      </c>
      <c r="V41" s="715">
        <f>V12-V39</f>
        <v>111490.83614455297</v>
      </c>
      <c r="W41" s="816"/>
    </row>
    <row r="42" spans="1:23" ht="18.75">
      <c r="A42" s="704">
        <v>27</v>
      </c>
      <c r="B42" s="153"/>
      <c r="C42" s="839" t="s">
        <v>725</v>
      </c>
      <c r="D42" s="841"/>
      <c r="E42" s="842"/>
      <c r="F42" s="842"/>
      <c r="G42" s="842"/>
      <c r="H42" s="842"/>
      <c r="I42" s="843"/>
      <c r="J42" s="844"/>
      <c r="K42" s="844"/>
      <c r="L42" s="844"/>
      <c r="M42" s="844"/>
      <c r="N42" s="844"/>
      <c r="O42" s="844"/>
      <c r="P42" s="844"/>
      <c r="Q42" s="844"/>
      <c r="R42" s="844"/>
      <c r="S42" s="844"/>
      <c r="T42" s="844"/>
      <c r="U42" s="844"/>
      <c r="V42" s="844"/>
      <c r="W42" s="816"/>
    </row>
    <row r="43" spans="1:23" ht="18.75">
      <c r="A43" s="704">
        <v>28</v>
      </c>
      <c r="B43" s="153"/>
      <c r="C43" s="840" t="s">
        <v>710</v>
      </c>
      <c r="D43" s="83"/>
      <c r="E43" s="192"/>
      <c r="F43" s="192"/>
      <c r="G43" s="192"/>
      <c r="H43" s="192"/>
      <c r="I43" s="843"/>
      <c r="J43" s="845"/>
      <c r="K43" s="845"/>
      <c r="L43" s="845"/>
      <c r="M43" s="845"/>
      <c r="N43" s="845"/>
      <c r="O43" s="845"/>
      <c r="P43" s="845"/>
      <c r="Q43" s="845"/>
      <c r="R43" s="845"/>
      <c r="S43" s="845"/>
      <c r="T43" s="845"/>
      <c r="U43" s="845"/>
      <c r="V43" s="845"/>
      <c r="W43" s="816"/>
    </row>
    <row r="44" spans="1:23" s="48" customFormat="1" ht="19.5" thickBot="1">
      <c r="A44" s="241" t="s">
        <v>768</v>
      </c>
      <c r="B44" s="941" t="str">
        <f>B2</f>
        <v>2018  UPDATED ELECTRIC ATTRITION REVENUE REQUIREMENT</v>
      </c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2"/>
      <c r="U44" s="942"/>
      <c r="V44" s="942"/>
      <c r="W44" s="812"/>
    </row>
    <row r="45" spans="1:23" s="122" customFormat="1" ht="15.75" thickBot="1">
      <c r="A45" s="705"/>
      <c r="B45" s="456"/>
      <c r="C45" s="737" t="s">
        <v>453</v>
      </c>
      <c r="D45" s="738"/>
      <c r="E45" s="935" t="s">
        <v>245</v>
      </c>
      <c r="F45" s="936"/>
      <c r="G45" s="936"/>
      <c r="H45" s="936"/>
      <c r="I45" s="936"/>
      <c r="J45" s="936"/>
      <c r="K45" s="937"/>
      <c r="L45" s="739"/>
      <c r="M45" s="740"/>
      <c r="N45" s="740"/>
      <c r="O45" s="737" t="s">
        <v>251</v>
      </c>
      <c r="P45" s="741"/>
      <c r="Q45" s="738"/>
      <c r="R45" s="938" t="s">
        <v>561</v>
      </c>
      <c r="S45" s="939"/>
      <c r="T45" s="737"/>
      <c r="U45" s="740"/>
      <c r="V45" s="783"/>
      <c r="W45" s="818"/>
    </row>
    <row r="46" spans="1:23" s="48" customFormat="1" ht="106.5" customHeight="1">
      <c r="A46" s="205" t="s">
        <v>244</v>
      </c>
      <c r="B46" s="50"/>
      <c r="C46" s="742"/>
      <c r="D46" s="726"/>
      <c r="E46" s="733" t="s">
        <v>665</v>
      </c>
      <c r="F46" s="743" t="str">
        <f t="shared" ref="F46:S46" si="8">F4</f>
        <v>(less) 12.2015 Normalized Net Power Supply  Cost</v>
      </c>
      <c r="G46" s="567" t="str">
        <f t="shared" si="8"/>
        <v>Deferred Dr/Cr; Reg. Amorts &amp; Misc Adjs</v>
      </c>
      <c r="H46" s="567" t="str">
        <f t="shared" si="8"/>
        <v>Net Retired Meter Deferral &amp; Amort Adjustment</v>
      </c>
      <c r="I46" s="567" t="str">
        <f t="shared" si="8"/>
        <v>Remove November 2015 Storm Expenses2</v>
      </c>
      <c r="J46" s="743" t="str">
        <f t="shared" si="8"/>
        <v>Pro Forma Revenue Normalization Adjustment</v>
      </c>
      <c r="K46" s="743" t="str">
        <f t="shared" si="8"/>
        <v>12ME 12.2015 AMA Escalation Base</v>
      </c>
      <c r="L46" s="743">
        <f t="shared" si="8"/>
        <v>0</v>
      </c>
      <c r="M46" s="743" t="str">
        <f t="shared" si="8"/>
        <v>Escalation Factor</v>
      </c>
      <c r="N46" s="743">
        <f t="shared" si="8"/>
        <v>0</v>
      </c>
      <c r="O46" s="743" t="str">
        <f t="shared" si="8"/>
        <v xml:space="preserve"> Non-Energy Cost Escalation Amount [G]*[H]=[I]</v>
      </c>
      <c r="P46" s="743" t="str">
        <f t="shared" si="8"/>
        <v>Trended 12ME 06.2018 AMA Non-Energy Cost [G]+[I]=[J]</v>
      </c>
      <c r="Q46" s="743">
        <f t="shared" si="8"/>
        <v>0</v>
      </c>
      <c r="R46" s="743" t="str">
        <f t="shared" si="8"/>
        <v>(plus) 12ME 06.2018 Pro-Formed Net Energy Cost</v>
      </c>
      <c r="S46" s="743" t="str">
        <f t="shared" si="8"/>
        <v>(plus)  Revenue Growth</v>
      </c>
      <c r="T46" s="735" t="s">
        <v>711</v>
      </c>
      <c r="U46" s="743" t="str">
        <f>U4</f>
        <v>After Attrition Adj AMI Capital Project (2017)</v>
      </c>
      <c r="V46" s="736" t="str">
        <f>V4</f>
        <v>12ME 06.2018 AMA Revenue and Cost [J]+[K]+[L]+ [M]+ [N] = [O]</v>
      </c>
      <c r="W46" s="813"/>
    </row>
    <row r="47" spans="1:23" ht="16.899999999999999" customHeight="1">
      <c r="B47" s="45"/>
      <c r="C47" s="707"/>
      <c r="D47" s="708"/>
      <c r="E47" s="744" t="str">
        <f>E5</f>
        <v>[A]</v>
      </c>
      <c r="F47" s="744" t="str">
        <f t="shared" ref="F47:S47" si="9">F5</f>
        <v>[B]</v>
      </c>
      <c r="G47" s="744" t="str">
        <f t="shared" si="9"/>
        <v>[C]</v>
      </c>
      <c r="H47" s="744" t="str">
        <f t="shared" si="9"/>
        <v>[D]</v>
      </c>
      <c r="I47" s="744" t="str">
        <f t="shared" si="9"/>
        <v>[E]</v>
      </c>
      <c r="J47" s="744" t="str">
        <f t="shared" si="9"/>
        <v>[F]</v>
      </c>
      <c r="K47" s="744" t="str">
        <f t="shared" si="9"/>
        <v>[G]</v>
      </c>
      <c r="L47" s="744">
        <f t="shared" si="9"/>
        <v>0</v>
      </c>
      <c r="M47" s="744" t="str">
        <f t="shared" si="9"/>
        <v>[H]</v>
      </c>
      <c r="N47" s="744">
        <f t="shared" si="9"/>
        <v>0</v>
      </c>
      <c r="O47" s="744" t="str">
        <f t="shared" si="9"/>
        <v>[I]</v>
      </c>
      <c r="P47" s="744" t="str">
        <f t="shared" si="9"/>
        <v>[J]</v>
      </c>
      <c r="Q47" s="744">
        <f t="shared" si="9"/>
        <v>0</v>
      </c>
      <c r="R47" s="744" t="str">
        <f t="shared" si="9"/>
        <v>[K]</v>
      </c>
      <c r="S47" s="744" t="str">
        <f t="shared" si="9"/>
        <v>[L]</v>
      </c>
      <c r="T47" s="744" t="str">
        <f>T5</f>
        <v>[M]</v>
      </c>
      <c r="U47" s="744" t="str">
        <f>U5</f>
        <v>[N]</v>
      </c>
      <c r="V47" s="744" t="str">
        <f>V5</f>
        <v>[O]</v>
      </c>
      <c r="W47" s="819"/>
    </row>
    <row r="48" spans="1:23" ht="15.75" customHeight="1">
      <c r="A48" s="704"/>
      <c r="B48" s="153" t="s">
        <v>27</v>
      </c>
      <c r="C48" s="706"/>
      <c r="D48" s="708"/>
      <c r="E48" s="711"/>
      <c r="F48" s="711"/>
      <c r="G48" s="711"/>
      <c r="H48" s="711"/>
      <c r="I48" s="711"/>
      <c r="J48" s="711"/>
      <c r="K48" s="712"/>
      <c r="L48" s="712"/>
      <c r="M48" s="713"/>
      <c r="N48" s="713"/>
      <c r="O48" s="723"/>
      <c r="P48" s="745"/>
      <c r="Q48" s="745"/>
      <c r="R48" s="711"/>
      <c r="S48" s="711"/>
      <c r="T48" s="711"/>
      <c r="U48" s="711"/>
      <c r="V48" s="746"/>
      <c r="W48" s="820"/>
    </row>
    <row r="49" spans="1:23" ht="15.75" customHeight="1">
      <c r="A49" s="704">
        <v>26</v>
      </c>
      <c r="B49" s="152"/>
      <c r="C49" s="706" t="s">
        <v>139</v>
      </c>
      <c r="D49" s="708"/>
      <c r="E49" s="711">
        <f>'CBR Hist'!U49</f>
        <v>4968</v>
      </c>
      <c r="F49" s="747">
        <f>ROUND(F41*0.35,0)</f>
        <v>40184</v>
      </c>
      <c r="G49" s="747">
        <f>ROUND(G41*0.35,0)+1044</f>
        <v>1930</v>
      </c>
      <c r="H49" s="747">
        <f>ROUND(H41*0.35,0)</f>
        <v>0</v>
      </c>
      <c r="I49" s="747">
        <f>ROUND(I41*0.35,0)</f>
        <v>806</v>
      </c>
      <c r="J49" s="747">
        <f>ROUND(J41*0.35,0)</f>
        <v>-2323</v>
      </c>
      <c r="K49" s="712">
        <f>SUM(E49:J49)</f>
        <v>45565</v>
      </c>
      <c r="L49" s="712"/>
      <c r="M49" s="713"/>
      <c r="N49" s="713"/>
      <c r="O49" s="747">
        <f>O41*0.35</f>
        <v>-9713.6827914730457</v>
      </c>
      <c r="P49" s="748">
        <f>K49+O49</f>
        <v>35851.317208526954</v>
      </c>
      <c r="Q49" s="748"/>
      <c r="R49" s="749">
        <f>0.35*R41</f>
        <v>-37239.649999999994</v>
      </c>
      <c r="S49" s="749">
        <f>0.35*S41</f>
        <v>1684.2754420665933</v>
      </c>
      <c r="T49" s="749">
        <f>0.35*T41</f>
        <v>-439.25</v>
      </c>
      <c r="U49" s="749">
        <f>0.35*U41</f>
        <v>-949.19999999999993</v>
      </c>
      <c r="V49" s="748">
        <f>P49+R49+S49+U49+T49</f>
        <v>-1092.5073494064463</v>
      </c>
      <c r="W49" s="821"/>
    </row>
    <row r="50" spans="1:23" ht="15.75" customHeight="1">
      <c r="A50" s="704">
        <v>27</v>
      </c>
      <c r="B50" s="152"/>
      <c r="C50" s="706" t="s">
        <v>140</v>
      </c>
      <c r="D50" s="708"/>
      <c r="E50" s="711">
        <f>'CBR Hist'!U50</f>
        <v>1</v>
      </c>
      <c r="F50" s="711">
        <f>F79*ROR!F37*-0.35</f>
        <v>0</v>
      </c>
      <c r="G50" s="711">
        <f>G79*ROR!F11*-0.35</f>
        <v>122.60303999999999</v>
      </c>
      <c r="H50" s="711">
        <f>H79*ROR!G37*-0.35</f>
        <v>0</v>
      </c>
      <c r="I50" s="711">
        <f>I79*ROR!F37*-0.35</f>
        <v>0</v>
      </c>
      <c r="J50" s="711">
        <f>J79*ROR!F37*-0.35</f>
        <v>0</v>
      </c>
      <c r="K50" s="712">
        <f>SUM(E50:J50)</f>
        <v>123.60303999999999</v>
      </c>
      <c r="L50" s="712"/>
      <c r="M50" s="713"/>
      <c r="N50" s="713"/>
      <c r="O50" s="747">
        <f>(ROR!F11*-0.35*O79)+(ROR!F11-ROR!F37)*K79*-0.35</f>
        <v>-1884.6085982998361</v>
      </c>
      <c r="P50" s="748">
        <f>K50+O50</f>
        <v>-1761.0055582998361</v>
      </c>
      <c r="Q50" s="748"/>
      <c r="R50" s="749"/>
      <c r="S50" s="749"/>
      <c r="T50" s="711">
        <f>T79*ROR!F11*-0.35</f>
        <v>-543.4531199999999</v>
      </c>
      <c r="U50" s="749">
        <f>U79*ROR!F11*-0.35</f>
        <v>-88.623359999999991</v>
      </c>
      <c r="V50" s="748">
        <f>P50+R50+S50+U50+T50</f>
        <v>-2393.0820382998363</v>
      </c>
      <c r="W50" s="821"/>
    </row>
    <row r="51" spans="1:23" ht="15.75" customHeight="1">
      <c r="A51" s="704">
        <v>28</v>
      </c>
      <c r="B51" s="152"/>
      <c r="C51" s="706" t="s">
        <v>63</v>
      </c>
      <c r="D51" s="708"/>
      <c r="E51" s="711">
        <f>'CBR Hist'!U51</f>
        <v>29492</v>
      </c>
      <c r="F51" s="711"/>
      <c r="G51" s="711">
        <v>0</v>
      </c>
      <c r="H51" s="711">
        <v>0</v>
      </c>
      <c r="I51" s="711">
        <v>0</v>
      </c>
      <c r="J51" s="711">
        <v>0</v>
      </c>
      <c r="K51" s="712">
        <f>SUM(E51:J51)</f>
        <v>29492</v>
      </c>
      <c r="L51" s="712"/>
      <c r="M51" s="713"/>
      <c r="N51" s="713"/>
      <c r="O51" s="712">
        <f>M51*K51</f>
        <v>0</v>
      </c>
      <c r="P51" s="714">
        <f>O51+K51</f>
        <v>29492</v>
      </c>
      <c r="Q51" s="714"/>
      <c r="R51" s="711"/>
      <c r="S51" s="711"/>
      <c r="T51" s="711"/>
      <c r="U51" s="711"/>
      <c r="V51" s="748">
        <f>P51+R51+S51+U51+T51</f>
        <v>29492</v>
      </c>
      <c r="W51" s="821"/>
    </row>
    <row r="52" spans="1:23" ht="15.75" customHeight="1">
      <c r="A52" s="704">
        <v>29</v>
      </c>
      <c r="B52" s="152"/>
      <c r="C52" s="706" t="s">
        <v>62</v>
      </c>
      <c r="D52" s="708"/>
      <c r="E52" s="711">
        <f>'CBR Hist'!U52</f>
        <v>-129</v>
      </c>
      <c r="F52" s="711"/>
      <c r="G52" s="711">
        <v>0</v>
      </c>
      <c r="H52" s="711">
        <v>0</v>
      </c>
      <c r="I52" s="711">
        <v>0</v>
      </c>
      <c r="J52" s="711">
        <v>0</v>
      </c>
      <c r="K52" s="712">
        <f>SUM(E52:J52)</f>
        <v>-129</v>
      </c>
      <c r="L52" s="712"/>
      <c r="M52" s="713"/>
      <c r="N52" s="713"/>
      <c r="O52" s="712">
        <f>M52*K52</f>
        <v>0</v>
      </c>
      <c r="P52" s="714">
        <f>O52+K52</f>
        <v>-129</v>
      </c>
      <c r="Q52" s="714"/>
      <c r="R52" s="711"/>
      <c r="S52" s="711"/>
      <c r="T52" s="711">
        <v>-22</v>
      </c>
      <c r="U52" s="711">
        <v>0</v>
      </c>
      <c r="V52" s="748">
        <f>P52+R52+S52+U52+T52</f>
        <v>-151</v>
      </c>
      <c r="W52" s="821"/>
    </row>
    <row r="53" spans="1:23" ht="15.75" customHeight="1">
      <c r="A53" s="704">
        <v>30</v>
      </c>
      <c r="B53" s="153"/>
      <c r="C53" s="706"/>
      <c r="D53" s="708"/>
      <c r="E53" s="711"/>
      <c r="F53" s="711"/>
      <c r="G53" s="711"/>
      <c r="H53" s="711"/>
      <c r="I53" s="711"/>
      <c r="J53" s="711"/>
      <c r="K53" s="712"/>
      <c r="L53" s="712"/>
      <c r="M53" s="713"/>
      <c r="N53" s="713"/>
      <c r="O53" s="723"/>
      <c r="P53" s="714"/>
      <c r="Q53" s="714"/>
      <c r="R53" s="711"/>
      <c r="S53" s="711"/>
      <c r="T53" s="711"/>
      <c r="U53" s="711"/>
      <c r="V53" s="714"/>
      <c r="W53" s="816"/>
    </row>
    <row r="54" spans="1:23" ht="15.75" customHeight="1" thickBot="1">
      <c r="A54" s="704">
        <v>31</v>
      </c>
      <c r="B54" s="706" t="s">
        <v>61</v>
      </c>
      <c r="C54" s="706"/>
      <c r="D54" s="708"/>
      <c r="E54" s="750">
        <f t="shared" ref="E54:K54" si="10">E41-E49-E50-E51-E52</f>
        <v>97459</v>
      </c>
      <c r="F54" s="750">
        <f t="shared" si="10"/>
        <v>74627</v>
      </c>
      <c r="G54" s="750">
        <f t="shared" si="10"/>
        <v>478.39696000000004</v>
      </c>
      <c r="H54" s="750">
        <f t="shared" si="10"/>
        <v>0</v>
      </c>
      <c r="I54" s="750">
        <f t="shared" si="10"/>
        <v>1497</v>
      </c>
      <c r="J54" s="750">
        <f t="shared" si="10"/>
        <v>-4315</v>
      </c>
      <c r="K54" s="750">
        <f t="shared" si="10"/>
        <v>169746.39696000001</v>
      </c>
      <c r="L54" s="750"/>
      <c r="M54" s="750"/>
      <c r="N54" s="750"/>
      <c r="O54" s="750">
        <f>O41-O49-O50-O51-O52</f>
        <v>-16155.088014435822</v>
      </c>
      <c r="P54" s="750">
        <f>P41-P49-P50-P51-P52</f>
        <v>153591.3089455642</v>
      </c>
      <c r="Q54" s="750"/>
      <c r="R54" s="750">
        <f>R41-R49-R50-R51-R52</f>
        <v>-69159.350000000006</v>
      </c>
      <c r="S54" s="750">
        <f>S41-S49-S50-S51-S52</f>
        <v>3127.9401066951023</v>
      </c>
      <c r="T54" s="750">
        <f>T41-T49-T50-T51-T52</f>
        <v>-250.2968800000001</v>
      </c>
      <c r="U54" s="750">
        <f>U41-U49-U50-U51-U52</f>
        <v>-1674.1766400000001</v>
      </c>
      <c r="V54" s="750">
        <f>V41-V49-V50-V51-V52</f>
        <v>85635.425532259251</v>
      </c>
      <c r="W54" s="817"/>
    </row>
    <row r="55" spans="1:23" ht="3" customHeight="1" thickTop="1">
      <c r="A55" s="704"/>
      <c r="B55" s="153"/>
      <c r="C55" s="153"/>
      <c r="D55" s="83"/>
      <c r="E55" s="192"/>
      <c r="F55" s="192"/>
      <c r="G55" s="192"/>
      <c r="H55" s="192"/>
      <c r="I55" s="192"/>
      <c r="J55" s="192"/>
      <c r="K55" s="193"/>
      <c r="L55" s="193"/>
      <c r="M55" s="195"/>
      <c r="N55" s="195"/>
      <c r="O55" s="194"/>
      <c r="P55" s="199"/>
      <c r="Q55" s="199"/>
      <c r="R55" s="192"/>
      <c r="S55" s="192"/>
      <c r="T55" s="192"/>
      <c r="U55" s="192"/>
      <c r="V55" s="199"/>
      <c r="W55" s="822"/>
    </row>
    <row r="56" spans="1:23" ht="15.75" customHeight="1">
      <c r="A56" s="704"/>
      <c r="B56" s="706" t="s">
        <v>60</v>
      </c>
      <c r="C56" s="706"/>
      <c r="D56" s="708"/>
      <c r="E56" s="711"/>
      <c r="F56" s="711"/>
      <c r="G56" s="711"/>
      <c r="H56" s="711"/>
      <c r="I56" s="711"/>
      <c r="J56" s="711"/>
      <c r="K56" s="712"/>
      <c r="L56" s="712"/>
      <c r="M56" s="713"/>
      <c r="N56" s="713"/>
      <c r="O56" s="723"/>
      <c r="P56" s="714"/>
      <c r="Q56" s="714"/>
      <c r="R56" s="871" t="s">
        <v>740</v>
      </c>
      <c r="S56" s="872"/>
      <c r="T56" s="872"/>
      <c r="U56" s="711"/>
      <c r="V56" s="707"/>
      <c r="W56" s="815"/>
    </row>
    <row r="57" spans="1:23" ht="15.75" customHeight="1" thickBot="1">
      <c r="A57" s="704"/>
      <c r="B57" s="706" t="s">
        <v>238</v>
      </c>
      <c r="C57" s="706"/>
      <c r="D57" s="708"/>
      <c r="E57" s="711"/>
      <c r="F57" s="711"/>
      <c r="G57" s="846" t="s">
        <v>717</v>
      </c>
      <c r="H57" s="711"/>
      <c r="I57" s="793"/>
      <c r="J57" s="711"/>
      <c r="K57" s="712"/>
      <c r="L57" s="712"/>
      <c r="M57" s="713"/>
      <c r="N57" s="713"/>
      <c r="O57" s="723"/>
      <c r="P57" s="714"/>
      <c r="Q57" s="714"/>
      <c r="R57" s="711"/>
      <c r="S57" s="711"/>
      <c r="T57" s="711"/>
      <c r="U57" s="711"/>
      <c r="V57" s="714"/>
      <c r="W57" s="816"/>
    </row>
    <row r="58" spans="1:23" ht="15.75" customHeight="1" thickBot="1">
      <c r="A58" s="704">
        <v>32</v>
      </c>
      <c r="B58" s="706"/>
      <c r="C58" s="706" t="s">
        <v>58</v>
      </c>
      <c r="D58" s="708"/>
      <c r="E58" s="711">
        <f>'CBR Hist'!U58</f>
        <v>144970</v>
      </c>
      <c r="F58" s="711"/>
      <c r="G58" s="711">
        <v>0</v>
      </c>
      <c r="H58" s="711">
        <v>0</v>
      </c>
      <c r="I58" s="711">
        <v>0</v>
      </c>
      <c r="J58" s="711">
        <v>0</v>
      </c>
      <c r="K58" s="751">
        <f>SUM(E58:J58)</f>
        <v>144970</v>
      </c>
      <c r="L58" s="712"/>
      <c r="M58" s="785">
        <f>'Net Plant'!B8</f>
        <v>9.8495941416737315E-2</v>
      </c>
      <c r="N58" s="713"/>
      <c r="O58" s="712">
        <f>K58*M58</f>
        <v>14278.956627184409</v>
      </c>
      <c r="P58" s="714">
        <f>K58+O58</f>
        <v>159248.95662718441</v>
      </c>
      <c r="Q58" s="714"/>
      <c r="R58" s="711"/>
      <c r="S58" s="711"/>
      <c r="T58" s="711"/>
      <c r="U58" s="749">
        <v>4891</v>
      </c>
      <c r="V58" s="748">
        <f>P58+R58+S58+U58+T58</f>
        <v>164139.95662718441</v>
      </c>
      <c r="W58" s="821"/>
    </row>
    <row r="59" spans="1:23" ht="15.75" customHeight="1">
      <c r="A59" s="704">
        <v>33</v>
      </c>
      <c r="B59" s="706"/>
      <c r="C59" s="706" t="s">
        <v>57</v>
      </c>
      <c r="D59" s="708"/>
      <c r="E59" s="711">
        <f>'CBR Hist'!U59</f>
        <v>779441</v>
      </c>
      <c r="F59" s="711"/>
      <c r="G59" s="711">
        <v>0</v>
      </c>
      <c r="H59" s="711">
        <v>0</v>
      </c>
      <c r="I59" s="711">
        <v>0</v>
      </c>
      <c r="J59" s="711">
        <v>0</v>
      </c>
      <c r="K59" s="751">
        <f>SUM(E59:J59)</f>
        <v>779441</v>
      </c>
      <c r="L59" s="712"/>
      <c r="M59" s="713">
        <f>$M$58</f>
        <v>9.8495941416737315E-2</v>
      </c>
      <c r="N59" s="713"/>
      <c r="O59" s="712">
        <f>K59*M59</f>
        <v>76771.775073803146</v>
      </c>
      <c r="P59" s="714">
        <f>K59+O59</f>
        <v>856212.77507380315</v>
      </c>
      <c r="Q59" s="714"/>
      <c r="R59" s="711"/>
      <c r="S59" s="711"/>
      <c r="T59" s="711">
        <v>67095</v>
      </c>
      <c r="U59" s="810"/>
      <c r="V59" s="748">
        <f>P59+R59+S59+U59+T59</f>
        <v>923307.77507380315</v>
      </c>
      <c r="W59" s="821"/>
    </row>
    <row r="60" spans="1:23" ht="15.75" customHeight="1">
      <c r="A60" s="704">
        <v>34</v>
      </c>
      <c r="B60" s="706"/>
      <c r="C60" s="706" t="s">
        <v>56</v>
      </c>
      <c r="D60" s="708"/>
      <c r="E60" s="711">
        <f>'CBR Hist'!U60</f>
        <v>401700</v>
      </c>
      <c r="F60" s="711"/>
      <c r="G60" s="711">
        <v>0</v>
      </c>
      <c r="H60" s="711">
        <v>0</v>
      </c>
      <c r="I60" s="711">
        <v>0</v>
      </c>
      <c r="J60" s="711">
        <v>0</v>
      </c>
      <c r="K60" s="751">
        <f>SUM(E60:J60)</f>
        <v>401700</v>
      </c>
      <c r="L60" s="712"/>
      <c r="M60" s="713">
        <f>$M$58</f>
        <v>9.8495941416737315E-2</v>
      </c>
      <c r="N60" s="713"/>
      <c r="O60" s="712">
        <f>K60*M60</f>
        <v>39565.81966710338</v>
      </c>
      <c r="P60" s="714">
        <f>K60+O60</f>
        <v>441265.81966710335</v>
      </c>
      <c r="Q60" s="714"/>
      <c r="R60" s="711"/>
      <c r="S60" s="711"/>
      <c r="T60" s="711"/>
      <c r="U60" s="810"/>
      <c r="V60" s="748">
        <f>P60+R60+S60+U60+T60</f>
        <v>441265.81966710335</v>
      </c>
      <c r="W60" s="821"/>
    </row>
    <row r="61" spans="1:23" ht="15.75" customHeight="1">
      <c r="A61" s="704">
        <v>35</v>
      </c>
      <c r="B61" s="706"/>
      <c r="C61" s="706" t="s">
        <v>55</v>
      </c>
      <c r="D61" s="708"/>
      <c r="E61" s="711">
        <f>'CBR Hist'!U61</f>
        <v>895055</v>
      </c>
      <c r="F61" s="711"/>
      <c r="G61" s="711">
        <v>0</v>
      </c>
      <c r="H61" s="711">
        <v>0</v>
      </c>
      <c r="I61" s="711">
        <v>0</v>
      </c>
      <c r="J61" s="711">
        <v>0</v>
      </c>
      <c r="K61" s="751">
        <f>SUM(E61:J61)</f>
        <v>895055</v>
      </c>
      <c r="L61" s="712"/>
      <c r="M61" s="713">
        <f>$M$58</f>
        <v>9.8495941416737315E-2</v>
      </c>
      <c r="N61" s="713"/>
      <c r="O61" s="712">
        <f>K61*M61</f>
        <v>88159.284844757814</v>
      </c>
      <c r="P61" s="714">
        <f>K61+O61</f>
        <v>983214.28484475776</v>
      </c>
      <c r="Q61" s="714"/>
      <c r="R61" s="711"/>
      <c r="S61" s="711"/>
      <c r="T61" s="711"/>
      <c r="U61" s="810">
        <v>2638</v>
      </c>
      <c r="V61" s="748">
        <f>P61+R61+S61+U61+T61</f>
        <v>985852.28484475776</v>
      </c>
      <c r="W61" s="821"/>
    </row>
    <row r="62" spans="1:23" ht="15.75" customHeight="1">
      <c r="A62" s="704">
        <v>36</v>
      </c>
      <c r="B62" s="706"/>
      <c r="C62" s="706" t="s">
        <v>54</v>
      </c>
      <c r="D62" s="708"/>
      <c r="E62" s="711">
        <f>'CBR Hist'!U62</f>
        <v>212726</v>
      </c>
      <c r="F62" s="715"/>
      <c r="G62" s="711">
        <v>0</v>
      </c>
      <c r="H62" s="711">
        <v>0</v>
      </c>
      <c r="I62" s="711">
        <v>0</v>
      </c>
      <c r="J62" s="711">
        <v>0</v>
      </c>
      <c r="K62" s="751">
        <f>SUM(E62:J62)</f>
        <v>212726</v>
      </c>
      <c r="L62" s="716"/>
      <c r="M62" s="713">
        <f>$M$58</f>
        <v>9.8495941416737315E-2</v>
      </c>
      <c r="N62" s="717"/>
      <c r="O62" s="716">
        <f>K62*M62</f>
        <v>20952.647633816861</v>
      </c>
      <c r="P62" s="715">
        <f>K62+O62</f>
        <v>233678.64763381687</v>
      </c>
      <c r="Q62" s="715"/>
      <c r="R62" s="715"/>
      <c r="S62" s="715"/>
      <c r="T62" s="715"/>
      <c r="U62" s="811">
        <v>6104</v>
      </c>
      <c r="V62" s="752">
        <f>P62+R62+S62+U62+T62</f>
        <v>239782.64763381687</v>
      </c>
      <c r="W62" s="821"/>
    </row>
    <row r="63" spans="1:23" ht="15.75" customHeight="1">
      <c r="A63" s="704">
        <v>37</v>
      </c>
      <c r="B63" s="706"/>
      <c r="C63" s="706" t="s">
        <v>250</v>
      </c>
      <c r="D63" s="708"/>
      <c r="E63" s="719">
        <f>SUM(E58:E62)</f>
        <v>2433892</v>
      </c>
      <c r="F63" s="719">
        <f t="shared" ref="F63:J63" si="11">SUM(F58:F62)</f>
        <v>0</v>
      </c>
      <c r="G63" s="719">
        <f t="shared" si="11"/>
        <v>0</v>
      </c>
      <c r="H63" s="719">
        <f t="shared" ref="H63" si="12">SUM(H58:H62)</f>
        <v>0</v>
      </c>
      <c r="I63" s="719">
        <f t="shared" si="11"/>
        <v>0</v>
      </c>
      <c r="J63" s="719">
        <f t="shared" si="11"/>
        <v>0</v>
      </c>
      <c r="K63" s="720">
        <f>SUM(K58:K62)</f>
        <v>2433892</v>
      </c>
      <c r="L63" s="712"/>
      <c r="M63" s="731"/>
      <c r="N63" s="713"/>
      <c r="O63" s="712">
        <f>SUM(O58:O62)</f>
        <v>239728.48384666562</v>
      </c>
      <c r="P63" s="712">
        <f>SUM(P58:P62)</f>
        <v>2673620.4838466654</v>
      </c>
      <c r="Q63" s="714"/>
      <c r="R63" s="711"/>
      <c r="S63" s="711"/>
      <c r="T63" s="712">
        <f>SUM(T58:T62)</f>
        <v>67095</v>
      </c>
      <c r="U63" s="712">
        <f>SUM(U58:U62)</f>
        <v>13633</v>
      </c>
      <c r="V63" s="712">
        <f>SUM(V58:V62)</f>
        <v>2754348.4838466654</v>
      </c>
      <c r="W63" s="817"/>
    </row>
    <row r="64" spans="1:23" ht="15.75" customHeight="1" thickBot="1">
      <c r="A64" s="704"/>
      <c r="B64" s="706" t="s">
        <v>241</v>
      </c>
      <c r="C64" s="753"/>
      <c r="D64" s="708"/>
      <c r="E64" s="711"/>
      <c r="F64" s="711"/>
      <c r="G64" s="711"/>
      <c r="H64" s="711"/>
      <c r="I64" s="711"/>
      <c r="J64" s="711"/>
      <c r="K64" s="712"/>
      <c r="L64" s="712"/>
      <c r="M64" s="713"/>
      <c r="N64" s="713"/>
      <c r="O64" s="723"/>
      <c r="P64" s="714"/>
      <c r="Q64" s="714"/>
      <c r="R64" s="711"/>
      <c r="S64" s="711"/>
      <c r="T64" s="711"/>
      <c r="U64" s="711"/>
      <c r="V64" s="714">
        <f t="shared" ref="V64" si="13">P64</f>
        <v>0</v>
      </c>
      <c r="W64" s="816"/>
    </row>
    <row r="65" spans="1:23" ht="15.75" customHeight="1" thickBot="1">
      <c r="A65" s="704">
        <v>38</v>
      </c>
      <c r="B65" s="706"/>
      <c r="C65" s="706" t="s">
        <v>58</v>
      </c>
      <c r="D65" s="721"/>
      <c r="E65" s="711">
        <f>-'CBR Hist'!U65</f>
        <v>-24943</v>
      </c>
      <c r="F65" s="711"/>
      <c r="G65" s="711">
        <v>0</v>
      </c>
      <c r="H65" s="711">
        <v>0</v>
      </c>
      <c r="I65" s="711">
        <v>0</v>
      </c>
      <c r="J65" s="711">
        <v>0</v>
      </c>
      <c r="K65" s="751">
        <f>SUM(E65:J65)</f>
        <v>-24943</v>
      </c>
      <c r="L65" s="712"/>
      <c r="M65" s="785">
        <f>M58</f>
        <v>9.8495941416737315E-2</v>
      </c>
      <c r="N65" s="713"/>
      <c r="O65" s="712">
        <f>K65*M65</f>
        <v>-2456.7842667576788</v>
      </c>
      <c r="P65" s="714">
        <f>K65+O65</f>
        <v>-27399.784266757677</v>
      </c>
      <c r="Q65" s="714"/>
      <c r="R65" s="711"/>
      <c r="S65" s="711"/>
      <c r="T65" s="711"/>
      <c r="U65" s="749">
        <v>-544</v>
      </c>
      <c r="V65" s="748">
        <f>P65+R65+S65+U65+T65</f>
        <v>-27943.784266757677</v>
      </c>
      <c r="W65" s="821"/>
    </row>
    <row r="66" spans="1:23" ht="15.75" customHeight="1">
      <c r="A66" s="704">
        <v>39</v>
      </c>
      <c r="B66" s="706"/>
      <c r="C66" s="706" t="s">
        <v>57</v>
      </c>
      <c r="D66" s="708"/>
      <c r="E66" s="711">
        <f>-'CBR Hist'!U66</f>
        <v>-342899</v>
      </c>
      <c r="F66" s="711"/>
      <c r="G66" s="711">
        <v>2293</v>
      </c>
      <c r="H66" s="711">
        <v>0</v>
      </c>
      <c r="I66" s="711">
        <v>0</v>
      </c>
      <c r="J66" s="711">
        <v>0</v>
      </c>
      <c r="K66" s="751">
        <f>SUM(E66:J66)</f>
        <v>-340606</v>
      </c>
      <c r="L66" s="712"/>
      <c r="M66" s="713">
        <f>M65</f>
        <v>9.8495941416737315E-2</v>
      </c>
      <c r="N66" s="713"/>
      <c r="O66" s="712">
        <f>K66*M66</f>
        <v>-33548.30862218923</v>
      </c>
      <c r="P66" s="714">
        <f>K66+O66</f>
        <v>-374154.30862218922</v>
      </c>
      <c r="Q66" s="714"/>
      <c r="R66" s="711"/>
      <c r="S66" s="711"/>
      <c r="T66" s="711">
        <v>-722</v>
      </c>
      <c r="U66" s="810"/>
      <c r="V66" s="748">
        <f>P66+R66+S66+U66+T66</f>
        <v>-374876.30862218922</v>
      </c>
      <c r="W66" s="821"/>
    </row>
    <row r="67" spans="1:23" ht="15.75" customHeight="1">
      <c r="A67" s="704">
        <v>40</v>
      </c>
      <c r="B67" s="706"/>
      <c r="C67" s="706" t="s">
        <v>56</v>
      </c>
      <c r="D67" s="708"/>
      <c r="E67" s="711">
        <f>-'CBR Hist'!U67</f>
        <v>-129936</v>
      </c>
      <c r="F67" s="711"/>
      <c r="G67" s="711">
        <v>0</v>
      </c>
      <c r="H67" s="711">
        <v>0</v>
      </c>
      <c r="I67" s="711">
        <v>0</v>
      </c>
      <c r="J67" s="711">
        <v>0</v>
      </c>
      <c r="K67" s="751">
        <f>SUM(E67:J67)</f>
        <v>-129936</v>
      </c>
      <c r="L67" s="712"/>
      <c r="M67" s="713">
        <f>M65</f>
        <v>9.8495941416737315E-2</v>
      </c>
      <c r="N67" s="713"/>
      <c r="O67" s="712">
        <f>K67*M67</f>
        <v>-12798.168643925179</v>
      </c>
      <c r="P67" s="714">
        <f>K67+O67</f>
        <v>-142734.16864392516</v>
      </c>
      <c r="Q67" s="714"/>
      <c r="R67" s="711"/>
      <c r="S67" s="711"/>
      <c r="T67" s="711"/>
      <c r="U67" s="810"/>
      <c r="V67" s="748">
        <f>P67+R67+S67+U67+T67</f>
        <v>-142734.16864392516</v>
      </c>
      <c r="W67" s="821"/>
    </row>
    <row r="68" spans="1:23" ht="15.75" customHeight="1">
      <c r="A68" s="704">
        <v>41</v>
      </c>
      <c r="B68" s="706"/>
      <c r="C68" s="706" t="s">
        <v>55</v>
      </c>
      <c r="D68" s="708"/>
      <c r="E68" s="711">
        <f>-'CBR Hist'!U68</f>
        <v>-273578</v>
      </c>
      <c r="F68" s="711"/>
      <c r="G68" s="711">
        <v>2276</v>
      </c>
      <c r="H68" s="711">
        <v>0</v>
      </c>
      <c r="I68" s="711">
        <v>0</v>
      </c>
      <c r="J68" s="711">
        <v>0</v>
      </c>
      <c r="K68" s="751">
        <f>SUM(E68:J68)</f>
        <v>-271302</v>
      </c>
      <c r="L68" s="712"/>
      <c r="M68" s="713">
        <f>M65</f>
        <v>9.8495941416737315E-2</v>
      </c>
      <c r="N68" s="713"/>
      <c r="O68" s="712">
        <f>K68*M68</f>
        <v>-26722.145898243667</v>
      </c>
      <c r="P68" s="714">
        <f>K68+O68</f>
        <v>-298024.14589824365</v>
      </c>
      <c r="Q68" s="714"/>
      <c r="R68" s="711"/>
      <c r="S68" s="711"/>
      <c r="T68" s="711"/>
      <c r="U68" s="810">
        <v>-88</v>
      </c>
      <c r="V68" s="748">
        <f>P68+R68+S68+U68+T68</f>
        <v>-298112.14589824365</v>
      </c>
      <c r="W68" s="821"/>
    </row>
    <row r="69" spans="1:23" ht="15.75" customHeight="1">
      <c r="A69" s="704">
        <v>42</v>
      </c>
      <c r="B69" s="706"/>
      <c r="C69" s="706" t="s">
        <v>54</v>
      </c>
      <c r="D69" s="708"/>
      <c r="E69" s="711">
        <f>-'CBR Hist'!U69</f>
        <v>-73050</v>
      </c>
      <c r="F69" s="716"/>
      <c r="G69" s="711">
        <v>0</v>
      </c>
      <c r="H69" s="711">
        <v>0</v>
      </c>
      <c r="I69" s="711">
        <v>0</v>
      </c>
      <c r="J69" s="711">
        <v>0</v>
      </c>
      <c r="K69" s="751">
        <f>SUM(E69:J69)</f>
        <v>-73050</v>
      </c>
      <c r="L69" s="716"/>
      <c r="M69" s="713">
        <f>M65</f>
        <v>9.8495941416737315E-2</v>
      </c>
      <c r="N69" s="717"/>
      <c r="O69" s="716">
        <f>K69*M69</f>
        <v>-7195.1285204926608</v>
      </c>
      <c r="P69" s="715">
        <f>K69+O69</f>
        <v>-80245.128520492668</v>
      </c>
      <c r="Q69" s="715"/>
      <c r="R69" s="715"/>
      <c r="S69" s="715"/>
      <c r="T69" s="715"/>
      <c r="U69" s="811">
        <v>-723</v>
      </c>
      <c r="V69" s="752">
        <f>P69+R69+S69+U69+T69</f>
        <v>-80968.128520492668</v>
      </c>
      <c r="W69" s="821"/>
    </row>
    <row r="70" spans="1:23" ht="30.75" customHeight="1">
      <c r="A70" s="704">
        <v>43</v>
      </c>
      <c r="B70" s="706"/>
      <c r="C70" s="753" t="s">
        <v>288</v>
      </c>
      <c r="D70" s="754"/>
      <c r="E70" s="719">
        <f>SUM(E65:E69)</f>
        <v>-844406</v>
      </c>
      <c r="F70" s="719">
        <f t="shared" ref="F70:J70" si="14">SUM(F65:F69)</f>
        <v>0</v>
      </c>
      <c r="G70" s="719">
        <f t="shared" si="14"/>
        <v>4569</v>
      </c>
      <c r="H70" s="719">
        <f t="shared" ref="H70" si="15">SUM(H65:H69)</f>
        <v>0</v>
      </c>
      <c r="I70" s="719">
        <f t="shared" si="14"/>
        <v>0</v>
      </c>
      <c r="J70" s="719">
        <f t="shared" si="14"/>
        <v>0</v>
      </c>
      <c r="K70" s="720">
        <f>SUM(K65:K69)</f>
        <v>-839837</v>
      </c>
      <c r="L70" s="712"/>
      <c r="M70" s="731"/>
      <c r="N70" s="713"/>
      <c r="O70" s="751">
        <f>SUM(O65:O69)</f>
        <v>-82720.535951608414</v>
      </c>
      <c r="P70" s="751">
        <f>SUM(P65:P69)</f>
        <v>-922557.53595160833</v>
      </c>
      <c r="Q70" s="714"/>
      <c r="R70" s="711"/>
      <c r="S70" s="711"/>
      <c r="T70" s="751">
        <f>SUM(T65:T69)</f>
        <v>-722</v>
      </c>
      <c r="U70" s="751">
        <f>SUM(U65:U69)</f>
        <v>-1355</v>
      </c>
      <c r="V70" s="751">
        <f>SUM(V65:V69)</f>
        <v>-924634.53595160833</v>
      </c>
      <c r="W70" s="817"/>
    </row>
    <row r="71" spans="1:23" ht="9" customHeight="1">
      <c r="A71" s="704"/>
      <c r="B71" s="706"/>
      <c r="C71" s="753"/>
      <c r="D71" s="754"/>
      <c r="E71" s="711"/>
      <c r="F71" s="751"/>
      <c r="G71" s="751"/>
      <c r="H71" s="751"/>
      <c r="I71" s="751"/>
      <c r="J71" s="751"/>
      <c r="K71" s="712"/>
      <c r="L71" s="712"/>
      <c r="M71" s="713"/>
      <c r="N71" s="713"/>
      <c r="O71" s="712"/>
      <c r="P71" s="714"/>
      <c r="Q71" s="714"/>
      <c r="R71" s="711"/>
      <c r="S71" s="711"/>
      <c r="T71" s="711"/>
      <c r="U71" s="711"/>
      <c r="V71" s="714"/>
      <c r="W71" s="816"/>
    </row>
    <row r="72" spans="1:23" ht="15.75" customHeight="1">
      <c r="A72" s="704">
        <v>44</v>
      </c>
      <c r="B72" s="706" t="s">
        <v>230</v>
      </c>
      <c r="C72" s="706"/>
      <c r="D72" s="708"/>
      <c r="E72" s="719">
        <f>E63+E70</f>
        <v>1589486</v>
      </c>
      <c r="F72" s="719">
        <f t="shared" ref="F72:U72" si="16">F63+F70</f>
        <v>0</v>
      </c>
      <c r="G72" s="719">
        <f t="shared" si="16"/>
        <v>4569</v>
      </c>
      <c r="H72" s="719">
        <f t="shared" ref="H72" si="17">H63+H70</f>
        <v>0</v>
      </c>
      <c r="I72" s="719">
        <f t="shared" si="16"/>
        <v>0</v>
      </c>
      <c r="J72" s="719">
        <f t="shared" si="16"/>
        <v>0</v>
      </c>
      <c r="K72" s="719">
        <f t="shared" si="16"/>
        <v>1594055</v>
      </c>
      <c r="L72" s="719">
        <f t="shared" si="16"/>
        <v>0</v>
      </c>
      <c r="M72" s="719"/>
      <c r="N72" s="719">
        <f t="shared" si="16"/>
        <v>0</v>
      </c>
      <c r="O72" s="719">
        <f t="shared" si="16"/>
        <v>157007.94789505721</v>
      </c>
      <c r="P72" s="719">
        <f t="shared" si="16"/>
        <v>1751062.947895057</v>
      </c>
      <c r="Q72" s="719">
        <f t="shared" si="16"/>
        <v>0</v>
      </c>
      <c r="R72" s="719"/>
      <c r="S72" s="719"/>
      <c r="T72" s="719">
        <f t="shared" ref="T72" si="18">T63+T70</f>
        <v>66373</v>
      </c>
      <c r="U72" s="719">
        <f t="shared" si="16"/>
        <v>12278</v>
      </c>
      <c r="V72" s="719">
        <f>V63+V70</f>
        <v>1829713.947895057</v>
      </c>
      <c r="W72" s="816"/>
    </row>
    <row r="73" spans="1:23" ht="12.75" customHeight="1" thickBot="1">
      <c r="A73" s="704"/>
      <c r="B73" s="706"/>
      <c r="C73" s="706"/>
      <c r="D73" s="708"/>
      <c r="E73" s="711"/>
      <c r="F73" s="751"/>
      <c r="G73" s="751"/>
      <c r="H73" s="751"/>
      <c r="I73" s="751"/>
      <c r="J73" s="751"/>
      <c r="K73" s="712"/>
      <c r="L73" s="712"/>
      <c r="M73" s="713"/>
      <c r="N73" s="713"/>
      <c r="O73" s="723"/>
      <c r="P73" s="714"/>
      <c r="Q73" s="714"/>
      <c r="R73" s="711"/>
      <c r="S73" s="711"/>
      <c r="T73" s="711"/>
      <c r="U73" s="711"/>
      <c r="V73" s="714"/>
      <c r="W73" s="816"/>
    </row>
    <row r="74" spans="1:23" ht="13.5" customHeight="1" thickBot="1">
      <c r="A74" s="704">
        <v>45</v>
      </c>
      <c r="B74" s="706" t="s">
        <v>242</v>
      </c>
      <c r="C74" s="706"/>
      <c r="D74" s="708"/>
      <c r="E74" s="728">
        <f>'CBR Hist'!U73</f>
        <v>-317860</v>
      </c>
      <c r="F74" s="711"/>
      <c r="G74" s="711">
        <v>0</v>
      </c>
      <c r="H74" s="711">
        <v>0</v>
      </c>
      <c r="I74" s="711">
        <v>0</v>
      </c>
      <c r="J74" s="711">
        <v>0</v>
      </c>
      <c r="K74" s="751">
        <f>SUM(E74:J74)</f>
        <v>-317860</v>
      </c>
      <c r="L74" s="712"/>
      <c r="M74" s="785">
        <f>M58</f>
        <v>9.8495941416737315E-2</v>
      </c>
      <c r="N74" s="725"/>
      <c r="O74" s="712">
        <f>M74*K74</f>
        <v>-31307.919938724124</v>
      </c>
      <c r="P74" s="714">
        <f>O74+K74</f>
        <v>-349167.91993872414</v>
      </c>
      <c r="Q74" s="714"/>
      <c r="R74" s="711"/>
      <c r="S74" s="711"/>
      <c r="T74" s="715">
        <v>-12459</v>
      </c>
      <c r="U74" s="811">
        <v>-3486</v>
      </c>
      <c r="V74" s="752">
        <f>P74+R74+S74+U74+T74</f>
        <v>-365112.91993872414</v>
      </c>
      <c r="W74" s="817"/>
    </row>
    <row r="75" spans="1:23" ht="15.75" customHeight="1">
      <c r="A75" s="704">
        <v>46</v>
      </c>
      <c r="B75" s="706"/>
      <c r="C75" s="706" t="s">
        <v>289</v>
      </c>
      <c r="D75" s="721"/>
      <c r="E75" s="719">
        <f>E72+E74</f>
        <v>1271626</v>
      </c>
      <c r="F75" s="719">
        <f t="shared" ref="F75:P75" si="19">F72+F74</f>
        <v>0</v>
      </c>
      <c r="G75" s="719">
        <f>G72+G74</f>
        <v>4569</v>
      </c>
      <c r="H75" s="719">
        <f>H72+H74</f>
        <v>0</v>
      </c>
      <c r="I75" s="719">
        <f>I72+I74</f>
        <v>0</v>
      </c>
      <c r="J75" s="719">
        <f t="shared" si="19"/>
        <v>0</v>
      </c>
      <c r="K75" s="719">
        <f t="shared" si="19"/>
        <v>1276195</v>
      </c>
      <c r="L75" s="719">
        <f t="shared" si="19"/>
        <v>0</v>
      </c>
      <c r="M75" s="719">
        <f>M72+M74</f>
        <v>9.8495941416737315E-2</v>
      </c>
      <c r="N75" s="719">
        <f t="shared" si="19"/>
        <v>0</v>
      </c>
      <c r="O75" s="719">
        <f>O72+O74</f>
        <v>125700.02795633308</v>
      </c>
      <c r="P75" s="719">
        <f t="shared" si="19"/>
        <v>1401895.027956333</v>
      </c>
      <c r="Q75" s="719"/>
      <c r="R75" s="719"/>
      <c r="S75" s="719"/>
      <c r="T75" s="719">
        <f>T72+T74</f>
        <v>53914</v>
      </c>
      <c r="U75" s="719">
        <f>U72+U74</f>
        <v>8792</v>
      </c>
      <c r="V75" s="719">
        <f>V72+V74</f>
        <v>1464601.027956333</v>
      </c>
      <c r="W75" s="816"/>
    </row>
    <row r="76" spans="1:23" ht="15.75" customHeight="1">
      <c r="A76" s="704">
        <v>47</v>
      </c>
      <c r="B76" s="706" t="s">
        <v>243</v>
      </c>
      <c r="C76" s="706"/>
      <c r="D76" s="708"/>
      <c r="E76" s="728">
        <f>'CBR Hist'!U75</f>
        <v>7458</v>
      </c>
      <c r="F76" s="755"/>
      <c r="G76" s="711">
        <v>-5220</v>
      </c>
      <c r="H76" s="711">
        <v>0</v>
      </c>
      <c r="I76" s="711"/>
      <c r="J76" s="711"/>
      <c r="K76" s="751">
        <f>SUM(E76:J76)</f>
        <v>2238</v>
      </c>
      <c r="L76" s="712"/>
      <c r="M76" s="713">
        <v>0</v>
      </c>
      <c r="N76" s="713"/>
      <c r="O76" s="712">
        <f>M76*K76</f>
        <v>0</v>
      </c>
      <c r="P76" s="714">
        <f>O76+K76</f>
        <v>2238</v>
      </c>
      <c r="Q76" s="714"/>
      <c r="R76" s="711"/>
      <c r="S76" s="711"/>
      <c r="T76" s="711"/>
      <c r="U76" s="711"/>
      <c r="V76" s="748">
        <f>P76+R76+S76+U76+T76</f>
        <v>2238</v>
      </c>
      <c r="W76" s="821"/>
    </row>
    <row r="77" spans="1:23" ht="15.75" customHeight="1">
      <c r="A77" s="704">
        <v>48</v>
      </c>
      <c r="B77" s="706" t="s">
        <v>117</v>
      </c>
      <c r="C77" s="706"/>
      <c r="D77" s="708"/>
      <c r="E77" s="728">
        <f>'CBR Hist'!U76</f>
        <v>59722</v>
      </c>
      <c r="F77" s="711"/>
      <c r="G77" s="711">
        <v>-11512</v>
      </c>
      <c r="H77" s="711">
        <v>0</v>
      </c>
      <c r="I77" s="711"/>
      <c r="J77" s="711"/>
      <c r="K77" s="751">
        <f>SUM(E77:J77)</f>
        <v>48210</v>
      </c>
      <c r="L77" s="712"/>
      <c r="M77" s="713">
        <v>0</v>
      </c>
      <c r="N77" s="713"/>
      <c r="O77" s="712">
        <f>M77*K77</f>
        <v>0</v>
      </c>
      <c r="P77" s="714">
        <f>O77+K77</f>
        <v>48210</v>
      </c>
      <c r="Q77" s="714"/>
      <c r="R77" s="711"/>
      <c r="S77" s="711"/>
      <c r="T77" s="711"/>
      <c r="U77" s="711"/>
      <c r="V77" s="748">
        <f>P77+R77+S77+U77+T77</f>
        <v>48210</v>
      </c>
      <c r="W77" s="821"/>
    </row>
    <row r="78" spans="1:23" ht="12.75" customHeight="1" thickBot="1">
      <c r="A78" s="704"/>
      <c r="B78" s="706"/>
      <c r="C78" s="706"/>
      <c r="D78" s="708"/>
      <c r="E78" s="711"/>
      <c r="F78" s="711"/>
      <c r="G78" s="711"/>
      <c r="H78" s="711"/>
      <c r="I78" s="711"/>
      <c r="J78" s="711"/>
      <c r="K78" s="712"/>
      <c r="L78" s="712"/>
      <c r="M78" s="713"/>
      <c r="N78" s="713"/>
      <c r="O78" s="723"/>
      <c r="P78" s="714"/>
      <c r="Q78" s="714"/>
      <c r="R78" s="711"/>
      <c r="S78" s="711"/>
      <c r="T78" s="711"/>
      <c r="U78" s="711"/>
      <c r="V78" s="752">
        <f t="shared" ref="V78" si="20">P78+R78+S78+U78</f>
        <v>0</v>
      </c>
      <c r="W78" s="821" t="s">
        <v>721</v>
      </c>
    </row>
    <row r="79" spans="1:23" ht="15.75" customHeight="1" thickBot="1">
      <c r="A79" s="704">
        <v>49</v>
      </c>
      <c r="B79" s="706" t="s">
        <v>50</v>
      </c>
      <c r="C79" s="706"/>
      <c r="D79" s="708"/>
      <c r="E79" s="750">
        <f>SUM(E75:E77)</f>
        <v>1338806</v>
      </c>
      <c r="F79" s="750">
        <f t="shared" ref="F79:J79" si="21">SUM(F75:F77)</f>
        <v>0</v>
      </c>
      <c r="G79" s="750">
        <f t="shared" si="21"/>
        <v>-12163</v>
      </c>
      <c r="H79" s="750">
        <f t="shared" ref="H79" si="22">SUM(H75:H77)</f>
        <v>0</v>
      </c>
      <c r="I79" s="750">
        <f t="shared" si="21"/>
        <v>0</v>
      </c>
      <c r="J79" s="750">
        <f t="shared" si="21"/>
        <v>0</v>
      </c>
      <c r="K79" s="756">
        <f>K72+K74+K76+K77</f>
        <v>1326643</v>
      </c>
      <c r="L79" s="756"/>
      <c r="M79" s="757"/>
      <c r="N79" s="757"/>
      <c r="O79" s="756">
        <f>O72+O74+O76+O77</f>
        <v>125700.02795633308</v>
      </c>
      <c r="P79" s="756">
        <f>P72+P74+P76+P77</f>
        <v>1452343.027956333</v>
      </c>
      <c r="Q79" s="750"/>
      <c r="R79" s="750"/>
      <c r="S79" s="750"/>
      <c r="T79" s="750">
        <f>T72+T74+T76+T77</f>
        <v>53914</v>
      </c>
      <c r="U79" s="750">
        <f>U72+U74+U76+U77</f>
        <v>8792</v>
      </c>
      <c r="V79" s="784">
        <f>V72+V74+V76+V77</f>
        <v>1515049.027956333</v>
      </c>
      <c r="W79" s="817">
        <f>V79/$V$89</f>
        <v>1486820.6987843367</v>
      </c>
    </row>
    <row r="80" spans="1:23" ht="16.5" customHeight="1" thickTop="1">
      <c r="A80" s="704"/>
      <c r="B80" s="706"/>
      <c r="C80" s="706" t="s">
        <v>709</v>
      </c>
      <c r="D80" s="708"/>
      <c r="E80" s="711"/>
      <c r="F80" s="711"/>
      <c r="G80" s="711"/>
      <c r="H80" s="711"/>
      <c r="I80" s="843"/>
      <c r="J80" s="706" t="s">
        <v>727</v>
      </c>
      <c r="K80" s="845"/>
      <c r="L80" s="845"/>
      <c r="M80" s="845"/>
      <c r="N80" s="845"/>
      <c r="O80" s="845"/>
      <c r="P80" s="845"/>
      <c r="Q80" s="845"/>
      <c r="R80" s="845"/>
      <c r="S80" s="845"/>
      <c r="T80" s="845"/>
      <c r="U80" s="845"/>
      <c r="V80" s="845"/>
      <c r="W80" s="49"/>
    </row>
    <row r="81" spans="1:26" ht="15.75" customHeight="1">
      <c r="A81" s="704">
        <v>50</v>
      </c>
      <c r="B81" s="706" t="s">
        <v>49</v>
      </c>
      <c r="C81" s="706"/>
      <c r="D81" s="708"/>
      <c r="E81" s="725">
        <f>E54/E79</f>
        <v>7.2795461030201541E-2</v>
      </c>
      <c r="F81" s="755"/>
      <c r="G81" s="755"/>
      <c r="H81" s="755"/>
      <c r="I81" s="755"/>
      <c r="J81" s="725"/>
      <c r="K81" s="380"/>
      <c r="L81" s="758"/>
      <c r="M81" s="713"/>
      <c r="N81" s="713"/>
      <c r="O81" s="713"/>
      <c r="P81" s="759"/>
      <c r="Q81" s="759"/>
      <c r="R81" s="725"/>
      <c r="S81" s="725"/>
      <c r="T81" s="760">
        <f>((T79*V84)-T54)/V87</f>
        <v>7089.9515591495092</v>
      </c>
      <c r="U81" s="760">
        <f>((U79*V84)-U54)/V87</f>
        <v>3793.5680884594526</v>
      </c>
      <c r="V81" s="761">
        <f>V54/V79</f>
        <v>5.6523204168365336E-2</v>
      </c>
      <c r="W81" s="847">
        <v>1479712</v>
      </c>
    </row>
    <row r="82" spans="1:26" s="47" customFormat="1" ht="4.5" customHeight="1" thickBot="1">
      <c r="B82" s="153"/>
      <c r="C82" s="152"/>
      <c r="D82" s="46"/>
      <c r="E82" s="200"/>
      <c r="F82" s="198"/>
      <c r="G82" s="198"/>
      <c r="H82" s="198"/>
      <c r="I82" s="198"/>
      <c r="J82" s="198"/>
      <c r="K82" s="151"/>
      <c r="L82" s="151"/>
      <c r="M82" s="201"/>
      <c r="N82" s="201"/>
      <c r="O82" s="153"/>
      <c r="P82" s="202"/>
      <c r="Q82" s="202"/>
      <c r="R82" s="196"/>
      <c r="S82" s="196"/>
      <c r="T82" s="196"/>
      <c r="U82" s="196"/>
      <c r="V82" s="152"/>
      <c r="W82" s="815"/>
    </row>
    <row r="83" spans="1:26" s="47" customFormat="1" ht="15.75" customHeight="1">
      <c r="B83" s="762" t="s">
        <v>278</v>
      </c>
      <c r="C83" s="763"/>
      <c r="D83" s="763"/>
      <c r="E83" s="764"/>
      <c r="F83" s="765"/>
      <c r="G83" s="765"/>
      <c r="H83" s="765"/>
      <c r="I83" s="765"/>
      <c r="J83" s="765"/>
      <c r="K83" s="766"/>
      <c r="L83" s="766"/>
      <c r="M83" s="767"/>
      <c r="N83" s="767"/>
      <c r="O83" s="767"/>
      <c r="P83" s="763"/>
      <c r="Q83" s="763"/>
      <c r="R83" s="768"/>
      <c r="S83" s="768"/>
      <c r="T83" s="768"/>
      <c r="U83" s="768"/>
      <c r="V83" s="763"/>
      <c r="W83" s="823">
        <f>W79-W81</f>
        <v>7108.6987843366805</v>
      </c>
    </row>
    <row r="84" spans="1:26" s="150" customFormat="1" ht="15.75" customHeight="1">
      <c r="A84" s="704">
        <v>50</v>
      </c>
      <c r="B84" s="769" t="s">
        <v>276</v>
      </c>
      <c r="C84" s="770"/>
      <c r="D84" s="771"/>
      <c r="E84" s="725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  <c r="U84" s="772"/>
      <c r="V84" s="761">
        <f>ROR!F15</f>
        <v>7.6800000000000007E-2</v>
      </c>
      <c r="W84" s="824" t="s">
        <v>584</v>
      </c>
    </row>
    <row r="85" spans="1:26" s="150" customFormat="1" ht="15.75" customHeight="1">
      <c r="A85" s="704">
        <v>51</v>
      </c>
      <c r="B85" s="769" t="s">
        <v>290</v>
      </c>
      <c r="C85" s="773"/>
      <c r="D85" s="771"/>
      <c r="E85" s="711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2"/>
      <c r="U85" s="772"/>
      <c r="V85" s="711">
        <f>V84*V79</f>
        <v>116355.76534704638</v>
      </c>
      <c r="W85" s="816"/>
    </row>
    <row r="86" spans="1:26" s="150" customFormat="1" ht="15.75" customHeight="1">
      <c r="A86" s="704">
        <v>52</v>
      </c>
      <c r="B86" s="769" t="s">
        <v>279</v>
      </c>
      <c r="C86" s="770"/>
      <c r="D86" s="770"/>
      <c r="E86" s="711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11">
        <f>V85-V54</f>
        <v>30720.339814787134</v>
      </c>
      <c r="W86" s="817"/>
    </row>
    <row r="87" spans="1:26" s="150" customFormat="1" ht="15.75" customHeight="1">
      <c r="A87" s="704">
        <v>53</v>
      </c>
      <c r="B87" s="769" t="s">
        <v>94</v>
      </c>
      <c r="C87" s="770"/>
      <c r="D87" s="770"/>
      <c r="E87" s="774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4">
        <f>ROR!L24</f>
        <v>0.61931199999999997</v>
      </c>
      <c r="W87" s="825"/>
      <c r="Z87" s="150">
        <v>0</v>
      </c>
    </row>
    <row r="88" spans="1:26" s="150" customFormat="1" ht="15.75" customHeight="1">
      <c r="A88" s="704">
        <v>54</v>
      </c>
      <c r="B88" s="769" t="s">
        <v>48</v>
      </c>
      <c r="C88" s="770"/>
      <c r="D88" s="770"/>
      <c r="E88" s="711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  <c r="U88" s="772"/>
      <c r="V88" s="711">
        <f>V86/V87</f>
        <v>49603.979601214145</v>
      </c>
      <c r="W88" s="816"/>
    </row>
    <row r="89" spans="1:26" s="45" customFormat="1" ht="15.75" customHeight="1" thickBot="1">
      <c r="A89" s="704">
        <v>55</v>
      </c>
      <c r="B89" s="769" t="s">
        <v>115</v>
      </c>
      <c r="C89" s="770"/>
      <c r="D89" s="770"/>
      <c r="E89" s="775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2"/>
      <c r="U89" s="772"/>
      <c r="V89" s="782">
        <f>'Weighted Revenue Growth'!J25+1</f>
        <v>1.0189856982722103</v>
      </c>
      <c r="W89" s="826"/>
    </row>
    <row r="90" spans="1:26" s="45" customFormat="1" ht="18" customHeight="1" thickBot="1">
      <c r="A90" s="704">
        <v>56</v>
      </c>
      <c r="B90" s="776" t="s">
        <v>280</v>
      </c>
      <c r="C90" s="777"/>
      <c r="D90" s="778"/>
      <c r="E90" s="779"/>
      <c r="F90" s="780"/>
      <c r="G90" s="780"/>
      <c r="H90" s="780"/>
      <c r="I90" s="780"/>
      <c r="J90" s="780"/>
      <c r="K90" s="780"/>
      <c r="L90" s="780"/>
      <c r="M90" s="780"/>
      <c r="N90" s="780"/>
      <c r="O90" s="780"/>
      <c r="P90" s="780"/>
      <c r="Q90" s="780"/>
      <c r="R90" s="780"/>
      <c r="S90" s="780"/>
      <c r="T90" s="780"/>
      <c r="U90" s="780"/>
      <c r="V90" s="848">
        <f>V88/V89-2</f>
        <v>48677.760359073276</v>
      </c>
      <c r="W90" s="816"/>
    </row>
    <row r="91" spans="1:26" ht="3.75" customHeight="1">
      <c r="B91" s="770"/>
      <c r="C91" s="770"/>
      <c r="D91" s="770"/>
      <c r="E91" s="770"/>
      <c r="F91" s="725"/>
      <c r="G91" s="725"/>
      <c r="H91" s="725"/>
      <c r="I91" s="725"/>
      <c r="J91" s="725"/>
      <c r="K91" s="781"/>
      <c r="L91" s="781"/>
      <c r="M91" s="725"/>
      <c r="N91" s="725"/>
      <c r="O91" s="725"/>
      <c r="P91" s="707"/>
      <c r="Q91" s="707"/>
      <c r="R91" s="707"/>
      <c r="S91" s="707"/>
      <c r="T91" s="707"/>
      <c r="U91" s="707"/>
      <c r="V91" s="707"/>
      <c r="W91" s="815"/>
    </row>
    <row r="92" spans="1:26" ht="11.1" customHeight="1">
      <c r="B92" s="46"/>
      <c r="C92" s="46"/>
      <c r="E92" s="46"/>
      <c r="F92" s="46"/>
      <c r="G92" s="46"/>
      <c r="H92" s="46"/>
      <c r="I92" s="46"/>
      <c r="J92" s="46"/>
      <c r="K92" s="85"/>
      <c r="L92" s="85"/>
      <c r="M92" s="46"/>
      <c r="N92" s="46"/>
      <c r="O92" s="46"/>
      <c r="P92" s="49"/>
      <c r="Q92" s="49"/>
      <c r="S92" s="49"/>
      <c r="T92" s="49"/>
      <c r="U92" s="49"/>
      <c r="V92" s="49"/>
      <c r="W92" s="815"/>
    </row>
    <row r="93" spans="1:26" ht="15.6" customHeight="1">
      <c r="C93" s="49"/>
      <c r="E93" s="46"/>
      <c r="F93" s="49"/>
      <c r="G93" s="49"/>
      <c r="H93" s="49"/>
      <c r="I93" s="49"/>
      <c r="J93" s="49"/>
      <c r="K93" s="197"/>
      <c r="L93" s="84"/>
      <c r="M93" s="46"/>
      <c r="N93" s="46"/>
      <c r="O93" s="46"/>
      <c r="P93" s="49"/>
      <c r="Q93" s="49"/>
      <c r="S93" s="49"/>
      <c r="T93" s="49"/>
      <c r="U93" s="49"/>
      <c r="V93" s="203"/>
      <c r="W93" s="827"/>
    </row>
    <row r="94" spans="1:26" ht="11.1" customHeight="1">
      <c r="C94" s="49"/>
      <c r="E94" s="46"/>
      <c r="F94" s="49"/>
      <c r="G94" s="49"/>
      <c r="H94" s="49"/>
      <c r="I94" s="49"/>
      <c r="J94" s="49"/>
      <c r="K94" s="84"/>
      <c r="L94" s="84"/>
      <c r="M94" s="46"/>
      <c r="N94" s="46"/>
      <c r="O94" s="46"/>
      <c r="P94" s="49"/>
      <c r="Q94" s="49"/>
      <c r="S94" s="49"/>
      <c r="T94" s="49"/>
      <c r="U94" s="49"/>
      <c r="V94" s="49"/>
      <c r="W94" s="815"/>
    </row>
    <row r="95" spans="1:26" ht="15.75">
      <c r="C95" s="49"/>
      <c r="E95" s="46"/>
      <c r="F95" s="49"/>
      <c r="G95" s="49"/>
      <c r="H95" s="49"/>
      <c r="I95" s="49"/>
      <c r="J95" s="49"/>
      <c r="K95" s="197"/>
      <c r="L95" s="84"/>
      <c r="M95" s="46"/>
      <c r="N95" s="46"/>
      <c r="O95" s="46"/>
      <c r="P95" s="49"/>
      <c r="Q95" s="49"/>
      <c r="S95" s="49"/>
      <c r="T95" s="49"/>
      <c r="U95" s="49"/>
      <c r="V95" s="51"/>
      <c r="W95" s="828"/>
    </row>
    <row r="96" spans="1:26" ht="15.75">
      <c r="C96" s="49"/>
      <c r="E96" s="46"/>
      <c r="F96" s="49"/>
      <c r="G96" s="49"/>
      <c r="H96" s="49"/>
      <c r="I96" s="49"/>
      <c r="J96" s="49"/>
      <c r="K96" s="356"/>
      <c r="L96" s="84"/>
      <c r="M96" s="46"/>
      <c r="N96" s="46"/>
      <c r="O96" s="46"/>
      <c r="P96" s="49"/>
      <c r="Q96" s="49"/>
      <c r="S96" s="49"/>
      <c r="T96" s="49"/>
      <c r="U96" s="49"/>
      <c r="V96" s="49"/>
      <c r="W96" s="815"/>
    </row>
    <row r="97" spans="3:23" ht="15.75">
      <c r="C97" s="49"/>
      <c r="E97" s="46"/>
      <c r="F97" s="49"/>
      <c r="G97" s="49"/>
      <c r="H97" s="49"/>
      <c r="I97" s="49"/>
      <c r="J97" s="49"/>
      <c r="K97" s="356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815"/>
    </row>
    <row r="98" spans="3:23" ht="15.75">
      <c r="C98" s="49"/>
      <c r="E98" s="46"/>
      <c r="F98" s="49"/>
      <c r="G98" s="49"/>
      <c r="H98" s="49"/>
      <c r="I98" s="49"/>
      <c r="J98" s="49"/>
      <c r="K98" s="204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815"/>
    </row>
    <row r="99" spans="3:23" ht="15.75">
      <c r="C99" s="49"/>
      <c r="E99" s="46"/>
      <c r="F99" s="49"/>
      <c r="G99" s="49"/>
      <c r="H99" s="49"/>
      <c r="I99" s="49"/>
      <c r="J99" s="49"/>
      <c r="K99" s="356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815"/>
    </row>
    <row r="100" spans="3:23" ht="11.1" customHeight="1">
      <c r="C100" s="49"/>
      <c r="E100" s="46"/>
      <c r="F100" s="49"/>
      <c r="G100" s="49"/>
      <c r="H100" s="49"/>
      <c r="I100" s="49"/>
      <c r="J100" s="49"/>
      <c r="K100" s="84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815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815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815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815"/>
    </row>
    <row r="104" spans="3:23" ht="11.1" customHeight="1">
      <c r="C104" s="49"/>
      <c r="E104" s="46"/>
      <c r="G104" s="138"/>
      <c r="H104" s="138"/>
      <c r="I104" s="138"/>
      <c r="J104" s="138"/>
      <c r="K104" s="47"/>
      <c r="L104" s="47"/>
      <c r="M104" s="48"/>
      <c r="N104" s="48"/>
      <c r="O104" s="48"/>
      <c r="P104" s="49"/>
      <c r="Q104" s="49"/>
      <c r="S104" s="49"/>
      <c r="T104" s="49"/>
      <c r="U104" s="49"/>
      <c r="V104" s="49"/>
      <c r="W104" s="815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815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815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815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815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815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815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815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815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815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815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815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815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815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815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815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815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815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815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815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815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815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815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815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815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815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815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815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815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815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815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815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815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815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815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815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815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815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815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815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815"/>
    </row>
    <row r="145" spans="3:23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815"/>
    </row>
    <row r="146" spans="3:23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815"/>
    </row>
    <row r="147" spans="3:23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815"/>
    </row>
    <row r="148" spans="3:23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815"/>
    </row>
    <row r="149" spans="3:23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815"/>
    </row>
    <row r="150" spans="3:23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815"/>
    </row>
    <row r="151" spans="3:23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815"/>
    </row>
    <row r="152" spans="3:23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815"/>
    </row>
    <row r="153" spans="3:23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815"/>
    </row>
    <row r="154" spans="3:23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815"/>
    </row>
    <row r="155" spans="3:23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815"/>
    </row>
    <row r="156" spans="3:23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815"/>
    </row>
    <row r="157" spans="3:23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815"/>
    </row>
    <row r="158" spans="3:23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815"/>
    </row>
    <row r="159" spans="3:23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815"/>
    </row>
    <row r="160" spans="3:23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815"/>
    </row>
    <row r="161" spans="3:23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815"/>
    </row>
    <row r="162" spans="3:23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815"/>
    </row>
    <row r="163" spans="3:23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815"/>
    </row>
    <row r="164" spans="3:23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815"/>
    </row>
    <row r="165" spans="3:23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815"/>
    </row>
    <row r="166" spans="3:23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815"/>
    </row>
    <row r="167" spans="3:23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815"/>
    </row>
    <row r="168" spans="3:23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815"/>
    </row>
    <row r="169" spans="3:23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815"/>
    </row>
    <row r="170" spans="3:23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815"/>
    </row>
    <row r="171" spans="3:23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815"/>
    </row>
    <row r="172" spans="3:23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815"/>
    </row>
    <row r="173" spans="3:23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815"/>
    </row>
    <row r="174" spans="3:23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815"/>
    </row>
    <row r="175" spans="3:23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815"/>
    </row>
    <row r="176" spans="3:23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815"/>
    </row>
    <row r="177" spans="3:23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815"/>
    </row>
    <row r="178" spans="3:23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815"/>
    </row>
    <row r="179" spans="3:23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815"/>
    </row>
    <row r="180" spans="3:23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815"/>
    </row>
    <row r="181" spans="3:23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815"/>
    </row>
    <row r="182" spans="3:23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815"/>
    </row>
    <row r="183" spans="3:23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538"/>
      <c r="Q183" s="538"/>
      <c r="R183" s="538"/>
      <c r="S183" s="538"/>
      <c r="T183" s="538"/>
      <c r="U183" s="538"/>
      <c r="V183" s="538"/>
      <c r="W183" s="829"/>
    </row>
    <row r="184" spans="3:23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49"/>
      <c r="Q184" s="49"/>
      <c r="S184" s="49"/>
      <c r="T184" s="49"/>
      <c r="U184" s="49"/>
      <c r="V184" s="49"/>
      <c r="W184" s="815"/>
    </row>
    <row r="185" spans="3:23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815"/>
    </row>
    <row r="186" spans="3:23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815"/>
    </row>
    <row r="187" spans="3:23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815"/>
    </row>
    <row r="188" spans="3:23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815"/>
    </row>
    <row r="189" spans="3:23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815"/>
    </row>
    <row r="190" spans="3:23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815"/>
    </row>
    <row r="191" spans="3:23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815"/>
    </row>
    <row r="192" spans="3:23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815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815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815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815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815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815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815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815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815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815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815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815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815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815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815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815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815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815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815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815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815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815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815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815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815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815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815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815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815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815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815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815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815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815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815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815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815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815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815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815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815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815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815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815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815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815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815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815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815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815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815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815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815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815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815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815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815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815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815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815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815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815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815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815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815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815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815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815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815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815"/>
    </row>
  </sheetData>
  <mergeCells count="7">
    <mergeCell ref="E45:K45"/>
    <mergeCell ref="R45:S45"/>
    <mergeCell ref="B1:V1"/>
    <mergeCell ref="B2:V2"/>
    <mergeCell ref="E3:K3"/>
    <mergeCell ref="B44:V44"/>
    <mergeCell ref="R3:U3"/>
  </mergeCells>
  <phoneticPr fontId="61" type="noConversion"/>
  <printOptions horizontalCentered="1"/>
  <pageMargins left="0.7" right="0.7" top="0.75" bottom="0.75" header="0.3" footer="0.3"/>
  <pageSetup scale="55" fitToHeight="2" orientation="landscape" r:id="rId1"/>
  <headerFooter scaleWithDoc="0">
    <oddHeader>&amp;CBench Request 10.4 - Attachment B&amp;RRevised Exhibit No. __(EMA-9)</oddHeader>
    <oddFooter>&amp;CWA 2018 Electric</oddFooter>
  </headerFooter>
  <rowBreaks count="1" manualBreakCount="1">
    <brk id="43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33"/>
  <sheetViews>
    <sheetView tabSelected="1" view="pageBreakPreview" zoomScaleNormal="115" zoomScaleSheetLayoutView="100" workbookViewId="0">
      <selection sqref="A1:R1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40"/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</row>
    <row r="2" spans="1:21" ht="23.25" customHeight="1">
      <c r="A2" s="949" t="s">
        <v>585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</row>
    <row r="3" spans="1:21" ht="10.9" customHeight="1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</row>
    <row r="4" spans="1:21" ht="12.75" customHeight="1">
      <c r="A4" s="257" t="s">
        <v>93</v>
      </c>
      <c r="E4" s="951" t="s">
        <v>397</v>
      </c>
      <c r="F4" s="951"/>
      <c r="G4" s="951"/>
      <c r="H4" s="951"/>
      <c r="I4" s="952"/>
      <c r="J4" s="951"/>
      <c r="K4" s="951"/>
      <c r="L4" s="951"/>
      <c r="M4" s="951"/>
      <c r="N4" s="951"/>
      <c r="O4" s="951"/>
      <c r="P4" s="951"/>
      <c r="Q4" s="951"/>
      <c r="R4" s="951"/>
    </row>
    <row r="5" spans="1:21" ht="15" customHeight="1">
      <c r="A5" s="257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10"/>
    </row>
    <row r="7" spans="1:21" ht="12.75">
      <c r="A7" s="257" t="s">
        <v>92</v>
      </c>
      <c r="F7" s="947"/>
      <c r="G7" s="947"/>
      <c r="H7" s="947"/>
      <c r="I7" s="947"/>
      <c r="J7" s="947"/>
      <c r="K7" s="947"/>
      <c r="L7" s="947"/>
      <c r="M7" s="947"/>
      <c r="N7" s="947"/>
      <c r="O7" s="947"/>
      <c r="P7" s="947"/>
      <c r="Q7" s="40"/>
      <c r="T7" s="490"/>
      <c r="U7" s="802" t="s">
        <v>510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12.201499999999999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5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497229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928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49505</v>
      </c>
    </row>
    <row r="13" spans="1:21">
      <c r="A13" s="52">
        <v>4</v>
      </c>
      <c r="B13" s="38" t="s">
        <v>81</v>
      </c>
      <c r="F13" s="295">
        <f>SUM(F10:F12)</f>
        <v>380192</v>
      </c>
      <c r="G13" s="295">
        <f t="shared" ref="G13:R13" si="0">SUM(G10:G12)</f>
        <v>350117</v>
      </c>
      <c r="H13" s="295">
        <f t="shared" si="0"/>
        <v>304027</v>
      </c>
      <c r="I13" s="295">
        <f t="shared" si="0"/>
        <v>319360</v>
      </c>
      <c r="J13" s="295">
        <f t="shared" si="0"/>
        <v>326611</v>
      </c>
      <c r="K13" s="295">
        <f t="shared" si="0"/>
        <v>334647</v>
      </c>
      <c r="L13" s="295">
        <f t="shared" si="0"/>
        <v>358042</v>
      </c>
      <c r="M13" s="295">
        <f t="shared" si="0"/>
        <v>362028</v>
      </c>
      <c r="N13" s="295">
        <f t="shared" si="0"/>
        <v>413093</v>
      </c>
      <c r="O13" s="295">
        <f t="shared" si="0"/>
        <v>434980.5491</v>
      </c>
      <c r="P13" s="295">
        <f t="shared" si="0"/>
        <v>550008.97036319994</v>
      </c>
      <c r="Q13" s="295">
        <f t="shared" si="0"/>
        <v>505261</v>
      </c>
      <c r="R13" s="295">
        <f t="shared" si="0"/>
        <v>514631</v>
      </c>
      <c r="S13" s="295">
        <f t="shared" ref="S13:T13" si="1">SUM(S10:S12)</f>
        <v>544239</v>
      </c>
      <c r="T13" s="295">
        <f t="shared" si="1"/>
        <v>550292</v>
      </c>
      <c r="U13" s="295">
        <f t="shared" ref="U13" si="2">SUM(U10:U12)</f>
        <v>547662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16920</v>
      </c>
    </row>
    <row r="15" spans="1:21">
      <c r="A15" s="52">
        <v>6</v>
      </c>
      <c r="B15" s="38" t="s">
        <v>79</v>
      </c>
      <c r="F15" s="295">
        <f>SUM(F13:F14)</f>
        <v>393254</v>
      </c>
      <c r="G15" s="295">
        <f t="shared" ref="G15:R15" si="3">SUM(G13:G14)</f>
        <v>364422</v>
      </c>
      <c r="H15" s="295">
        <f t="shared" si="3"/>
        <v>338301</v>
      </c>
      <c r="I15" s="295">
        <f t="shared" si="3"/>
        <v>376604</v>
      </c>
      <c r="J15" s="295">
        <f t="shared" si="3"/>
        <v>335198</v>
      </c>
      <c r="K15" s="295">
        <f t="shared" si="3"/>
        <v>344906</v>
      </c>
      <c r="L15" s="295">
        <f t="shared" si="3"/>
        <v>368220</v>
      </c>
      <c r="M15" s="295">
        <f t="shared" si="3"/>
        <v>372198</v>
      </c>
      <c r="N15" s="295">
        <f t="shared" si="3"/>
        <v>424020</v>
      </c>
      <c r="O15" s="295">
        <f t="shared" si="3"/>
        <v>444375.5491</v>
      </c>
      <c r="P15" s="295">
        <f t="shared" si="3"/>
        <v>561794.97036319994</v>
      </c>
      <c r="Q15" s="295">
        <f t="shared" si="3"/>
        <v>518927</v>
      </c>
      <c r="R15" s="295">
        <f t="shared" si="3"/>
        <v>527720</v>
      </c>
      <c r="S15" s="295">
        <f t="shared" ref="S15:T15" si="4">SUM(S13:S14)</f>
        <v>557647</v>
      </c>
      <c r="T15" s="295">
        <f t="shared" si="4"/>
        <v>567455</v>
      </c>
      <c r="U15" s="295">
        <f t="shared" ref="U15" si="5">SUM(U13:U14)</f>
        <v>564582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2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2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2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140485</v>
      </c>
    </row>
    <row r="20" spans="1:22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85107</v>
      </c>
    </row>
    <row r="21" spans="1:22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24947</v>
      </c>
    </row>
    <row r="22" spans="1:22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5974</v>
      </c>
    </row>
    <row r="23" spans="1:22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14133</v>
      </c>
    </row>
    <row r="24" spans="1:22">
      <c r="A24" s="52">
        <v>12</v>
      </c>
      <c r="B24" s="38" t="s">
        <v>75</v>
      </c>
      <c r="F24" s="296">
        <f>SUM(F19:F23)</f>
        <v>266142</v>
      </c>
      <c r="G24" s="296">
        <f t="shared" ref="G24:R24" si="6">SUM(G19:G23)</f>
        <v>193607</v>
      </c>
      <c r="H24" s="296">
        <f t="shared" si="6"/>
        <v>173216</v>
      </c>
      <c r="I24" s="296">
        <f t="shared" si="6"/>
        <v>200326</v>
      </c>
      <c r="J24" s="296">
        <f t="shared" si="6"/>
        <v>182749</v>
      </c>
      <c r="K24" s="296">
        <f t="shared" si="6"/>
        <v>184132</v>
      </c>
      <c r="L24" s="296">
        <f t="shared" si="6"/>
        <v>218266</v>
      </c>
      <c r="M24" s="296">
        <f t="shared" si="6"/>
        <v>198644</v>
      </c>
      <c r="N24" s="296">
        <f t="shared" si="6"/>
        <v>219777</v>
      </c>
      <c r="O24" s="296">
        <f t="shared" si="6"/>
        <v>219316</v>
      </c>
      <c r="P24" s="296">
        <f t="shared" si="6"/>
        <v>321388</v>
      </c>
      <c r="Q24" s="296">
        <f t="shared" si="6"/>
        <v>273183</v>
      </c>
      <c r="R24" s="296">
        <f t="shared" si="6"/>
        <v>262470</v>
      </c>
      <c r="S24" s="296">
        <f t="shared" ref="S24:T24" si="7">SUM(S19:S23)</f>
        <v>297764</v>
      </c>
      <c r="T24" s="296">
        <f t="shared" si="7"/>
        <v>281594</v>
      </c>
      <c r="U24" s="296">
        <f t="shared" ref="U24" si="8">SUM(U19:U23)</f>
        <v>270646</v>
      </c>
    </row>
    <row r="25" spans="1:22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08"/>
      <c r="T25" s="408"/>
      <c r="U25" s="408"/>
    </row>
    <row r="26" spans="1:22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24056</v>
      </c>
    </row>
    <row r="28" spans="1:22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25379</v>
      </c>
    </row>
    <row r="29" spans="1:22">
      <c r="A29" s="52">
        <v>15</v>
      </c>
      <c r="C29" s="849" t="s">
        <v>715</v>
      </c>
      <c r="D29" s="849"/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850">
        <f>'CBR Hist'!O32</f>
        <v>18216</v>
      </c>
      <c r="P29" s="850">
        <f>'CBR Hist'!P32</f>
        <v>20029</v>
      </c>
      <c r="Q29" s="850">
        <f>'CBR Hist'!Q32</f>
        <v>22459</v>
      </c>
      <c r="R29" s="850">
        <f>'CBR Hist'!R32</f>
        <v>22699</v>
      </c>
      <c r="S29" s="850">
        <f>'CBR Hist'!S32</f>
        <v>23809</v>
      </c>
      <c r="T29" s="850">
        <f>'CBR Hist'!T32</f>
        <v>25821</v>
      </c>
      <c r="U29" s="850">
        <f>'CBR Hist'!U32</f>
        <v>27448</v>
      </c>
      <c r="V29" s="38" t="s">
        <v>714</v>
      </c>
    </row>
    <row r="30" spans="1:22">
      <c r="A30" s="52">
        <v>16</v>
      </c>
      <c r="B30" s="38" t="s">
        <v>74</v>
      </c>
      <c r="F30" s="296">
        <f>SUM(F27:F29)</f>
        <v>30167</v>
      </c>
      <c r="G30" s="296">
        <f t="shared" ref="G30:R30" si="9">SUM(G27:G29)</f>
        <v>35200</v>
      </c>
      <c r="H30" s="296">
        <f t="shared" si="9"/>
        <v>36054</v>
      </c>
      <c r="I30" s="296">
        <f t="shared" si="9"/>
        <v>37209</v>
      </c>
      <c r="J30" s="296">
        <f t="shared" si="9"/>
        <v>39484</v>
      </c>
      <c r="K30" s="296">
        <f t="shared" si="9"/>
        <v>39650</v>
      </c>
      <c r="L30" s="296">
        <f t="shared" si="9"/>
        <v>42568</v>
      </c>
      <c r="M30" s="296">
        <f t="shared" si="9"/>
        <v>42052</v>
      </c>
      <c r="N30" s="296">
        <f t="shared" si="9"/>
        <v>50356</v>
      </c>
      <c r="O30" s="296">
        <f t="shared" si="9"/>
        <v>52292</v>
      </c>
      <c r="P30" s="296">
        <f t="shared" si="9"/>
        <v>56368</v>
      </c>
      <c r="Q30" s="296">
        <f t="shared" si="9"/>
        <v>60780</v>
      </c>
      <c r="R30" s="296">
        <f t="shared" si="9"/>
        <v>64600</v>
      </c>
      <c r="S30" s="296">
        <f t="shared" ref="S30:T30" si="10">SUM(S27:S29)</f>
        <v>66990</v>
      </c>
      <c r="T30" s="296">
        <f t="shared" si="10"/>
        <v>70914</v>
      </c>
      <c r="U30" s="296">
        <f t="shared" ref="U30" si="11">SUM(U27:U29)</f>
        <v>76883</v>
      </c>
    </row>
    <row r="31" spans="1:22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(K26/K28)*2</f>
        <v>0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12363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1454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49942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21503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296">
        <f>SUM(F37:F39)</f>
        <v>34353</v>
      </c>
      <c r="G40" s="296">
        <f t="shared" ref="G40:R40" si="12">SUM(G37:G39)</f>
        <v>29518</v>
      </c>
      <c r="H40" s="296">
        <f t="shared" si="12"/>
        <v>36911</v>
      </c>
      <c r="I40" s="296">
        <f t="shared" si="12"/>
        <v>36814</v>
      </c>
      <c r="J40" s="296">
        <f t="shared" si="12"/>
        <v>38002</v>
      </c>
      <c r="K40" s="296">
        <f t="shared" si="12"/>
        <v>39676</v>
      </c>
      <c r="L40" s="296">
        <f t="shared" si="12"/>
        <v>39607</v>
      </c>
      <c r="M40" s="296">
        <f t="shared" si="12"/>
        <v>42574</v>
      </c>
      <c r="N40" s="296">
        <f t="shared" si="12"/>
        <v>43166</v>
      </c>
      <c r="O40" s="296">
        <f t="shared" si="12"/>
        <v>46146</v>
      </c>
      <c r="P40" s="296">
        <f t="shared" si="12"/>
        <v>53941</v>
      </c>
      <c r="Q40" s="296">
        <f t="shared" si="12"/>
        <v>55685.252</v>
      </c>
      <c r="R40" s="296">
        <f t="shared" si="12"/>
        <v>61846.396000000001</v>
      </c>
      <c r="S40" s="296">
        <f t="shared" ref="S40:T40" si="13">SUM(S37:S39)</f>
        <v>58031</v>
      </c>
      <c r="T40" s="296">
        <f t="shared" si="13"/>
        <v>63157</v>
      </c>
      <c r="U40" s="296">
        <f t="shared" ref="U40" si="14">SUM(U37:U39)</f>
        <v>71445</v>
      </c>
    </row>
    <row r="41" spans="1:21">
      <c r="A41" s="52">
        <v>24</v>
      </c>
      <c r="B41" s="38" t="s">
        <v>66</v>
      </c>
      <c r="F41" s="296">
        <f>F24+F30+F32+F33+F34+F40</f>
        <v>343205</v>
      </c>
      <c r="G41" s="296">
        <f t="shared" ref="G41:R41" si="15">G24+G30+G32+G33+G34+G40</f>
        <v>270636</v>
      </c>
      <c r="H41" s="296">
        <f t="shared" si="15"/>
        <v>260183</v>
      </c>
      <c r="I41" s="296">
        <f t="shared" si="15"/>
        <v>288832</v>
      </c>
      <c r="J41" s="296">
        <f t="shared" si="15"/>
        <v>268539</v>
      </c>
      <c r="K41" s="296">
        <f t="shared" si="15"/>
        <v>271015</v>
      </c>
      <c r="L41" s="296">
        <f t="shared" si="15"/>
        <v>309354</v>
      </c>
      <c r="M41" s="296">
        <f t="shared" si="15"/>
        <v>298938</v>
      </c>
      <c r="N41" s="296">
        <f t="shared" si="15"/>
        <v>334636</v>
      </c>
      <c r="O41" s="296">
        <f t="shared" si="15"/>
        <v>347796</v>
      </c>
      <c r="P41" s="296">
        <f t="shared" si="15"/>
        <v>461966</v>
      </c>
      <c r="Q41" s="296">
        <f t="shared" si="15"/>
        <v>421218.95358799997</v>
      </c>
      <c r="R41" s="296">
        <f t="shared" si="15"/>
        <v>417744.18730200001</v>
      </c>
      <c r="S41" s="296">
        <f t="shared" ref="S41:T41" si="16">S24+S30+S32+S33+S34+S40</f>
        <v>435640</v>
      </c>
      <c r="T41" s="296">
        <f t="shared" si="16"/>
        <v>428214</v>
      </c>
      <c r="U41" s="296">
        <f t="shared" ref="U41" si="17">U24+U30+U32+U33+U34+U40</f>
        <v>432791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296">
        <f>F15-F41</f>
        <v>50049</v>
      </c>
      <c r="G43" s="296">
        <f t="shared" ref="G43:R43" si="18">G15-G41</f>
        <v>93786</v>
      </c>
      <c r="H43" s="296">
        <f t="shared" si="18"/>
        <v>78118</v>
      </c>
      <c r="I43" s="296">
        <f t="shared" si="18"/>
        <v>87772</v>
      </c>
      <c r="J43" s="296">
        <f t="shared" si="18"/>
        <v>66659</v>
      </c>
      <c r="K43" s="296">
        <f t="shared" si="18"/>
        <v>73891</v>
      </c>
      <c r="L43" s="296">
        <f t="shared" si="18"/>
        <v>58866</v>
      </c>
      <c r="M43" s="296">
        <f t="shared" si="18"/>
        <v>73260</v>
      </c>
      <c r="N43" s="296">
        <f t="shared" si="18"/>
        <v>89384</v>
      </c>
      <c r="O43" s="296">
        <f t="shared" si="18"/>
        <v>96579.549100000004</v>
      </c>
      <c r="P43" s="296">
        <f t="shared" si="18"/>
        <v>99828.970363199944</v>
      </c>
      <c r="Q43" s="296">
        <f t="shared" si="18"/>
        <v>97708.046412000025</v>
      </c>
      <c r="R43" s="296">
        <f t="shared" si="18"/>
        <v>109975.81269799999</v>
      </c>
      <c r="S43" s="296">
        <f t="shared" ref="S43:T43" si="19">S15-S41</f>
        <v>122007</v>
      </c>
      <c r="T43" s="296">
        <f t="shared" si="19"/>
        <v>139241</v>
      </c>
      <c r="U43" s="296">
        <f t="shared" ref="U43" si="20">U15-U41</f>
        <v>131791</v>
      </c>
    </row>
    <row r="44" spans="1:21" ht="6.75" customHeight="1">
      <c r="A44" s="52" t="s">
        <v>768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4968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1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29492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-109.32768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297">
        <f>F43-SUM(F46:F50)</f>
        <v>27317</v>
      </c>
      <c r="G51" s="297">
        <f t="shared" ref="G51:R51" si="21">G43-SUM(G46:G50)</f>
        <v>64507.354560008986</v>
      </c>
      <c r="H51" s="297">
        <f t="shared" si="21"/>
        <v>62115.506538557296</v>
      </c>
      <c r="I51" s="297">
        <f t="shared" si="21"/>
        <v>68288.619054480223</v>
      </c>
      <c r="J51" s="297">
        <f t="shared" si="21"/>
        <v>55448.254067891743</v>
      </c>
      <c r="K51" s="297">
        <f t="shared" si="21"/>
        <v>63263.523129622539</v>
      </c>
      <c r="L51" s="297">
        <f t="shared" si="21"/>
        <v>51307.480106379313</v>
      </c>
      <c r="M51" s="297">
        <f t="shared" si="21"/>
        <v>61693.483424999999</v>
      </c>
      <c r="N51" s="297">
        <f t="shared" si="21"/>
        <v>68967.120200000005</v>
      </c>
      <c r="O51" s="297">
        <f t="shared" si="21"/>
        <v>74500.549100000004</v>
      </c>
      <c r="P51" s="297">
        <f t="shared" si="21"/>
        <v>76825.970363199944</v>
      </c>
      <c r="Q51" s="297">
        <f t="shared" si="21"/>
        <v>74629.310202000022</v>
      </c>
      <c r="R51" s="297">
        <f t="shared" si="21"/>
        <v>82850.141576199996</v>
      </c>
      <c r="S51" s="297">
        <f t="shared" ref="S51:T51" si="22">S43-SUM(S46:S50)</f>
        <v>92256</v>
      </c>
      <c r="T51" s="297">
        <f t="shared" si="22"/>
        <v>101212.32768</v>
      </c>
      <c r="U51" s="297">
        <f t="shared" ref="U51" si="23">U43-SUM(U46:U50)</f>
        <v>97799</v>
      </c>
    </row>
    <row r="52" spans="1:21" ht="12.75" thickTop="1">
      <c r="A52" s="52"/>
      <c r="C52" s="357" t="s">
        <v>443</v>
      </c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111"/>
      <c r="T52" s="111"/>
      <c r="U52" s="111"/>
    </row>
    <row r="53" spans="1:21">
      <c r="A53" s="52"/>
      <c r="C53" s="353" t="s">
        <v>720</v>
      </c>
      <c r="D53" s="257"/>
      <c r="E53" s="25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50"/>
      <c r="B54" s="950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</row>
    <row r="55" spans="1:21" ht="15.75">
      <c r="A55" s="353" t="str">
        <f>A4</f>
        <v xml:space="preserve">AVISTA UTILITIES  </v>
      </c>
      <c r="E55" s="951" t="str">
        <f>E4</f>
        <v>Commission Basis Results of Operations</v>
      </c>
      <c r="F55" s="951"/>
      <c r="G55" s="951"/>
      <c r="H55" s="951"/>
      <c r="I55" s="951"/>
      <c r="J55" s="951"/>
      <c r="K55" s="951"/>
      <c r="L55" s="951"/>
      <c r="M55" s="951"/>
      <c r="N55" s="951"/>
      <c r="O55" s="951"/>
      <c r="P55" s="951"/>
      <c r="Q55" s="951"/>
      <c r="R55" s="951"/>
      <c r="S55" s="111"/>
      <c r="T55" s="111"/>
      <c r="U55" s="111"/>
    </row>
    <row r="56" spans="1:21">
      <c r="A56" s="353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53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53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490"/>
      <c r="U58" s="490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12.201499999999999</v>
      </c>
    </row>
    <row r="60" spans="1:21">
      <c r="A60" s="52" t="s">
        <v>439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144970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779441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401700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895055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212726</v>
      </c>
    </row>
    <row r="67" spans="1:21">
      <c r="A67" s="52">
        <v>37</v>
      </c>
      <c r="B67" s="38" t="s">
        <v>53</v>
      </c>
      <c r="F67" s="296">
        <f>SUM(F62:F66)</f>
        <v>1109606</v>
      </c>
      <c r="G67" s="296">
        <f t="shared" ref="G67:R67" si="27">SUM(G62:G66)</f>
        <v>1144909</v>
      </c>
      <c r="H67" s="296">
        <f t="shared" si="27"/>
        <v>1242220</v>
      </c>
      <c r="I67" s="296">
        <f t="shared" si="27"/>
        <v>1278396</v>
      </c>
      <c r="J67" s="296">
        <f t="shared" si="27"/>
        <v>1356075</v>
      </c>
      <c r="K67" s="296">
        <f t="shared" si="27"/>
        <v>1408964</v>
      </c>
      <c r="L67" s="296">
        <f t="shared" si="27"/>
        <v>1500806</v>
      </c>
      <c r="M67" s="296">
        <f t="shared" si="27"/>
        <v>1536175</v>
      </c>
      <c r="N67" s="296">
        <f t="shared" si="27"/>
        <v>1622175</v>
      </c>
      <c r="O67" s="296">
        <f t="shared" si="27"/>
        <v>1736780</v>
      </c>
      <c r="P67" s="296">
        <f t="shared" si="27"/>
        <v>1850288</v>
      </c>
      <c r="Q67" s="296">
        <f t="shared" si="27"/>
        <v>1955287</v>
      </c>
      <c r="R67" s="296">
        <f t="shared" si="27"/>
        <v>2043913</v>
      </c>
      <c r="S67" s="296">
        <f t="shared" ref="S67:T67" si="28">SUM(S62:S66)</f>
        <v>2165496</v>
      </c>
      <c r="T67" s="296">
        <f t="shared" si="28"/>
        <v>2260354</v>
      </c>
      <c r="U67" s="296">
        <f t="shared" ref="U67" si="29">SUM(U62:U66)</f>
        <v>2433892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24943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342899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129936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273578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11" t="s">
        <v>277</v>
      </c>
      <c r="N73" s="611" t="s">
        <v>277</v>
      </c>
      <c r="O73" s="611" t="s">
        <v>277</v>
      </c>
      <c r="P73" s="611" t="s">
        <v>277</v>
      </c>
      <c r="Q73" s="612">
        <f>'Reg Amorts'!P64</f>
        <v>56694</v>
      </c>
      <c r="R73" s="612">
        <f>'Reg Amorts'!Q64</f>
        <v>61871</v>
      </c>
      <c r="S73" s="612">
        <f>'Reg Amorts'!R64</f>
        <v>58357</v>
      </c>
      <c r="T73" s="612">
        <f>'Reg Amorts'!S64</f>
        <v>65720</v>
      </c>
      <c r="U73" s="612">
        <f>'Reg Amorts'!T64</f>
        <v>73050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844406</v>
      </c>
    </row>
    <row r="75" spans="1:21" ht="12.75" customHeight="1">
      <c r="A75" s="52">
        <v>44</v>
      </c>
      <c r="B75" s="38" t="s">
        <v>143</v>
      </c>
      <c r="F75" s="295">
        <f t="shared" ref="F75:R75" si="30">F67-F74</f>
        <v>754924</v>
      </c>
      <c r="G75" s="295">
        <f t="shared" si="30"/>
        <v>771819</v>
      </c>
      <c r="H75" s="295">
        <f t="shared" si="30"/>
        <v>850869</v>
      </c>
      <c r="I75" s="295">
        <f t="shared" si="30"/>
        <v>856006</v>
      </c>
      <c r="J75" s="295">
        <f t="shared" si="30"/>
        <v>908716</v>
      </c>
      <c r="K75" s="295">
        <f t="shared" si="30"/>
        <v>934058</v>
      </c>
      <c r="L75" s="295">
        <f t="shared" si="30"/>
        <v>994207</v>
      </c>
      <c r="M75" s="295">
        <f t="shared" si="30"/>
        <v>1009868</v>
      </c>
      <c r="N75" s="295">
        <f t="shared" si="30"/>
        <v>1064749</v>
      </c>
      <c r="O75" s="295">
        <f t="shared" si="30"/>
        <v>1150959</v>
      </c>
      <c r="P75" s="295">
        <f t="shared" si="30"/>
        <v>1220889</v>
      </c>
      <c r="Q75" s="295">
        <f>Q67-Q74</f>
        <v>1288304</v>
      </c>
      <c r="R75" s="295">
        <f t="shared" si="30"/>
        <v>1339779</v>
      </c>
      <c r="S75" s="295">
        <f t="shared" ref="S75:T75" si="31">S67-S74</f>
        <v>1416364</v>
      </c>
      <c r="T75" s="295">
        <f t="shared" si="31"/>
        <v>1472270</v>
      </c>
      <c r="U75" s="295">
        <f t="shared" ref="U75" si="32">U67-U74</f>
        <v>1589486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-317860</v>
      </c>
    </row>
    <row r="78" spans="1:21">
      <c r="A78" s="52">
        <v>46</v>
      </c>
      <c r="C78" s="257" t="s">
        <v>291</v>
      </c>
      <c r="D78" s="257"/>
      <c r="E78" s="257"/>
      <c r="F78" s="298">
        <f t="shared" ref="F78:P78" si="33">F75+F77</f>
        <v>649149</v>
      </c>
      <c r="G78" s="298">
        <f t="shared" si="33"/>
        <v>662278</v>
      </c>
      <c r="H78" s="298">
        <f t="shared" si="33"/>
        <v>739502</v>
      </c>
      <c r="I78" s="298">
        <f t="shared" si="33"/>
        <v>720602</v>
      </c>
      <c r="J78" s="298">
        <f t="shared" si="33"/>
        <v>757756</v>
      </c>
      <c r="K78" s="298">
        <f t="shared" si="33"/>
        <v>799091</v>
      </c>
      <c r="L78" s="298">
        <f t="shared" si="33"/>
        <v>855712</v>
      </c>
      <c r="M78" s="298">
        <f t="shared" si="33"/>
        <v>870835</v>
      </c>
      <c r="N78" s="298">
        <f t="shared" si="33"/>
        <v>917247</v>
      </c>
      <c r="O78" s="298">
        <f t="shared" si="33"/>
        <v>987243</v>
      </c>
      <c r="P78" s="298">
        <f t="shared" si="33"/>
        <v>1036064</v>
      </c>
      <c r="Q78" s="298">
        <f>Q75+Q77</f>
        <v>1087141</v>
      </c>
      <c r="R78" s="298">
        <f>R75+R77</f>
        <v>1131570</v>
      </c>
      <c r="S78" s="298">
        <f>S75+S77</f>
        <v>1195010</v>
      </c>
      <c r="T78" s="298">
        <f>T75+T77</f>
        <v>1214504</v>
      </c>
      <c r="U78" s="298">
        <f>U75+U77</f>
        <v>1271626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'Reg Amorts'!T103</f>
        <v>7458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59722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297">
        <f>'CBR Hist'!F78</f>
        <v>568492</v>
      </c>
      <c r="G82" s="297">
        <f>'CBR Hist'!G78</f>
        <v>597515</v>
      </c>
      <c r="H82" s="297">
        <f>'CBR Hist'!H78</f>
        <v>761858</v>
      </c>
      <c r="I82" s="297">
        <f>'CBR Hist'!I78</f>
        <v>742443</v>
      </c>
      <c r="J82" s="297">
        <f>'CBR Hist'!J78</f>
        <v>778011</v>
      </c>
      <c r="K82" s="297">
        <f>'CBR Hist'!K78</f>
        <v>819842</v>
      </c>
      <c r="L82" s="297">
        <f>'CBR Hist'!L78</f>
        <v>874511</v>
      </c>
      <c r="M82" s="297">
        <f>'CBR Hist'!M78</f>
        <v>891855</v>
      </c>
      <c r="N82" s="297">
        <f>'CBR Hist'!N78</f>
        <v>936840</v>
      </c>
      <c r="O82" s="297">
        <f>'CBR Hist'!O78</f>
        <v>1005019</v>
      </c>
      <c r="P82" s="297">
        <f>'CBR Hist'!P78</f>
        <v>1072028</v>
      </c>
      <c r="Q82" s="297">
        <f>'CBR Hist'!Q78</f>
        <v>1137863</v>
      </c>
      <c r="R82" s="297">
        <f>'CBR Hist'!R78</f>
        <v>1158975</v>
      </c>
      <c r="S82" s="297">
        <f>'CBR Hist'!S78</f>
        <v>1226052</v>
      </c>
      <c r="T82" s="297">
        <f>'CBR Hist'!T78</f>
        <v>1273157</v>
      </c>
      <c r="U82" s="297">
        <f>'CBR Hist'!U78</f>
        <v>1338806</v>
      </c>
    </row>
    <row r="83" spans="1:21" ht="12.75" thickTop="1">
      <c r="A83" s="52"/>
      <c r="F83" s="355">
        <f>F78+F79+F80-F82</f>
        <v>0</v>
      </c>
      <c r="G83" s="355">
        <f t="shared" ref="G83:P83" si="34">G78+G79+G80-G82</f>
        <v>0</v>
      </c>
      <c r="H83" s="355">
        <f t="shared" si="34"/>
        <v>0</v>
      </c>
      <c r="I83" s="355">
        <f t="shared" si="34"/>
        <v>0</v>
      </c>
      <c r="J83" s="355">
        <f t="shared" si="34"/>
        <v>0</v>
      </c>
      <c r="K83" s="355">
        <f t="shared" si="34"/>
        <v>0</v>
      </c>
      <c r="L83" s="355">
        <f t="shared" si="34"/>
        <v>0</v>
      </c>
      <c r="M83" s="355">
        <f t="shared" si="34"/>
        <v>0</v>
      </c>
      <c r="N83" s="355">
        <f t="shared" si="34"/>
        <v>0</v>
      </c>
      <c r="O83" s="355">
        <f t="shared" si="34"/>
        <v>0</v>
      </c>
      <c r="P83" s="355">
        <f t="shared" si="34"/>
        <v>0</v>
      </c>
      <c r="Q83" s="355">
        <f>Q78+Q79+Q80-Q82</f>
        <v>0</v>
      </c>
      <c r="R83" s="355">
        <f t="shared" ref="R83:S83" si="35">R78+R79+R80-R82</f>
        <v>0</v>
      </c>
      <c r="S83" s="355">
        <f t="shared" si="35"/>
        <v>0</v>
      </c>
      <c r="T83" s="355">
        <f>T78+T79+T80-T82</f>
        <v>0</v>
      </c>
      <c r="U83" s="355">
        <f>U78+U79+U80-U82</f>
        <v>0</v>
      </c>
    </row>
    <row r="84" spans="1:21">
      <c r="A84" s="52"/>
      <c r="C84" s="357" t="s">
        <v>442</v>
      </c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111"/>
      <c r="T84" s="111"/>
      <c r="U84" s="111"/>
    </row>
    <row r="85" spans="1:21">
      <c r="A85" s="360" t="s">
        <v>93</v>
      </c>
      <c r="B85" s="357"/>
      <c r="C85" s="357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111"/>
      <c r="T85" s="111"/>
      <c r="U85" s="111"/>
    </row>
    <row r="86" spans="1:21">
      <c r="A86" s="360" t="s">
        <v>133</v>
      </c>
      <c r="B86" s="357"/>
      <c r="C86" s="357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111"/>
      <c r="T86" s="111"/>
      <c r="U86" s="111"/>
    </row>
    <row r="87" spans="1:21" ht="4.5" customHeight="1">
      <c r="A87" s="52"/>
      <c r="C87" s="357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111"/>
      <c r="T87" s="111"/>
      <c r="U87" s="111"/>
    </row>
    <row r="88" spans="1:21" ht="15.75">
      <c r="A88" s="361" t="str">
        <f>A58</f>
        <v xml:space="preserve">(000'S OF DOLLARS)  </v>
      </c>
      <c r="E88" s="948" t="s">
        <v>452</v>
      </c>
      <c r="F88" s="948"/>
      <c r="G88" s="948"/>
      <c r="H88" s="948"/>
      <c r="I88" s="948"/>
      <c r="J88" s="948"/>
      <c r="K88" s="948"/>
      <c r="L88" s="948"/>
      <c r="M88" s="948"/>
      <c r="N88" s="948"/>
      <c r="O88" s="948"/>
      <c r="P88" s="948"/>
      <c r="Q88" s="948"/>
      <c r="R88" s="948"/>
      <c r="S88" s="111"/>
      <c r="T88" s="490"/>
      <c r="U88" s="490"/>
    </row>
    <row r="89" spans="1:21" ht="3" customHeight="1">
      <c r="A89" s="52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12.201499999999999</v>
      </c>
    </row>
    <row r="91" spans="1:21" ht="25.9" customHeight="1">
      <c r="A91" s="381" t="s">
        <v>454</v>
      </c>
      <c r="D91" s="38" t="s">
        <v>440</v>
      </c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84"/>
      <c r="T91" s="460"/>
      <c r="U91" s="613"/>
    </row>
    <row r="92" spans="1:21" ht="12" customHeight="1">
      <c r="A92" s="52">
        <v>1</v>
      </c>
      <c r="B92" s="38" t="s">
        <v>402</v>
      </c>
      <c r="E92" s="248" t="s">
        <v>418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140485</v>
      </c>
    </row>
    <row r="93" spans="1:21" ht="12" customHeight="1">
      <c r="A93" s="52">
        <v>2</v>
      </c>
      <c r="B93" s="38" t="s">
        <v>403</v>
      </c>
      <c r="E93" s="248" t="s">
        <v>419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85107</v>
      </c>
    </row>
    <row r="94" spans="1:21" ht="12" customHeight="1">
      <c r="A94" s="52">
        <v>3</v>
      </c>
      <c r="B94" s="38" t="s">
        <v>404</v>
      </c>
      <c r="E94" s="248" t="s">
        <v>420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24056</v>
      </c>
    </row>
    <row r="95" spans="1:21" ht="12" customHeight="1">
      <c r="A95" s="52">
        <v>4</v>
      </c>
      <c r="B95" s="38" t="s">
        <v>405</v>
      </c>
      <c r="E95" s="248" t="s">
        <v>421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0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12363</v>
      </c>
    </row>
    <row r="96" spans="1:21" ht="12" customHeight="1">
      <c r="A96" s="52">
        <v>5</v>
      </c>
      <c r="B96" s="38" t="s">
        <v>406</v>
      </c>
      <c r="E96" s="248" t="s">
        <v>422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1454</v>
      </c>
    </row>
    <row r="97" spans="1:21" ht="12" customHeight="1">
      <c r="A97" s="52">
        <v>6</v>
      </c>
      <c r="B97" s="38" t="s">
        <v>407</v>
      </c>
      <c r="E97" s="248" t="s">
        <v>423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408</v>
      </c>
      <c r="E98" s="248" t="s">
        <v>424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49942</v>
      </c>
    </row>
    <row r="99" spans="1:21" ht="12" customHeight="1">
      <c r="A99" s="52">
        <v>8</v>
      </c>
      <c r="B99" s="82" t="s">
        <v>409</v>
      </c>
      <c r="C99" s="52"/>
      <c r="D99" s="52"/>
      <c r="E99" s="52"/>
      <c r="F99" s="295">
        <f>SUM(F92:F98)</f>
        <v>312221</v>
      </c>
      <c r="G99" s="295">
        <f t="shared" ref="G99:R99" si="58">SUM(G92:G98)</f>
        <v>227289</v>
      </c>
      <c r="H99" s="295">
        <f t="shared" si="58"/>
        <v>206181</v>
      </c>
      <c r="I99" s="295">
        <f t="shared" si="58"/>
        <v>233496</v>
      </c>
      <c r="J99" s="295">
        <f t="shared" si="58"/>
        <v>204834</v>
      </c>
      <c r="K99" s="295">
        <f t="shared" si="58"/>
        <v>215383</v>
      </c>
      <c r="L99" s="295">
        <f t="shared" si="58"/>
        <v>240952</v>
      </c>
      <c r="M99" s="295">
        <f t="shared" si="58"/>
        <v>234605</v>
      </c>
      <c r="N99" s="295">
        <f t="shared" si="58"/>
        <v>264279</v>
      </c>
      <c r="O99" s="295">
        <f t="shared" si="58"/>
        <v>273806</v>
      </c>
      <c r="P99" s="295">
        <f t="shared" si="58"/>
        <v>382589</v>
      </c>
      <c r="Q99" s="295">
        <f t="shared" si="58"/>
        <v>332206.95358799997</v>
      </c>
      <c r="R99" s="295">
        <f t="shared" si="58"/>
        <v>332391.18730200001</v>
      </c>
      <c r="S99" s="295">
        <f t="shared" ref="S99:T99" si="59">SUM(S92:S98)</f>
        <v>329981</v>
      </c>
      <c r="T99" s="295">
        <f t="shared" si="59"/>
        <v>317008</v>
      </c>
      <c r="U99" s="295">
        <f t="shared" ref="U99" si="60">SUM(U92:U98)</f>
        <v>313407</v>
      </c>
    </row>
    <row r="100" spans="1:21">
      <c r="A100" s="52">
        <v>9</v>
      </c>
      <c r="B100" s="52"/>
      <c r="C100" s="82" t="s">
        <v>401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-175095</v>
      </c>
    </row>
    <row r="101" spans="1:21">
      <c r="A101" s="52">
        <v>10</v>
      </c>
      <c r="B101" s="52"/>
      <c r="C101" s="82" t="s">
        <v>398</v>
      </c>
      <c r="D101" s="52"/>
      <c r="E101" s="52"/>
      <c r="F101" s="147">
        <f>SUM(DSM!I34:I39)</f>
        <v>-3474.5792988576686</v>
      </c>
      <c r="G101" s="147">
        <f>SUM(DSM!J34:J39)</f>
        <v>-5120.5388795828658</v>
      </c>
      <c r="H101" s="147">
        <f>SUM(DSM!K34:K39)</f>
        <v>-6119.619189158554</v>
      </c>
      <c r="I101" s="147">
        <f>SUM(DSM!L34:L39)</f>
        <v>-6186.2245431302663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399</v>
      </c>
      <c r="D102" s="52"/>
      <c r="E102" s="52"/>
      <c r="F102" s="147">
        <f>SUM(ResX!I34:I39)</f>
        <v>152.65926523004069</v>
      </c>
      <c r="G102" s="147">
        <f>SUM(ResX!J34:J39)</f>
        <v>12.987594302195241</v>
      </c>
      <c r="H102" s="147">
        <f>SUM(ResX!K34:K39)</f>
        <v>68.900288416730689</v>
      </c>
      <c r="I102" s="147">
        <f>SUM(ResX!L34:L39)</f>
        <v>58.14149737402235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53" t="s">
        <v>400</v>
      </c>
      <c r="C104" s="52"/>
      <c r="D104" s="52"/>
      <c r="E104" s="52"/>
      <c r="F104" s="351">
        <f>SUM(F99:F102)</f>
        <v>74113.820866372378</v>
      </c>
      <c r="G104" s="351">
        <f t="shared" ref="G104:T104" si="61">SUM(G99:G103)</f>
        <v>65996.448714719329</v>
      </c>
      <c r="H104" s="351">
        <f t="shared" si="61"/>
        <v>75751.28109925818</v>
      </c>
      <c r="I104" s="351">
        <f t="shared" si="61"/>
        <v>73085.916954243745</v>
      </c>
      <c r="J104" s="351">
        <f t="shared" si="61"/>
        <v>82035</v>
      </c>
      <c r="K104" s="351">
        <f t="shared" si="61"/>
        <v>75673.326253093925</v>
      </c>
      <c r="L104" s="351">
        <f t="shared" si="61"/>
        <v>88828</v>
      </c>
      <c r="M104" s="351">
        <f t="shared" si="61"/>
        <v>92211.7999895299</v>
      </c>
      <c r="N104" s="351">
        <f t="shared" si="61"/>
        <v>99146.488212752593</v>
      </c>
      <c r="O104" s="351">
        <f t="shared" si="61"/>
        <v>108289.20367903885</v>
      </c>
      <c r="P104" s="351">
        <f t="shared" si="61"/>
        <v>113649.52340035603</v>
      </c>
      <c r="Q104" s="351">
        <f t="shared" si="61"/>
        <v>123418.7529832047</v>
      </c>
      <c r="R104" s="351">
        <f t="shared" si="61"/>
        <v>134594.49114962851</v>
      </c>
      <c r="S104" s="351">
        <f t="shared" si="61"/>
        <v>128510</v>
      </c>
      <c r="T104" s="351">
        <f t="shared" si="61"/>
        <v>130891</v>
      </c>
      <c r="U104" s="351">
        <f t="shared" ref="U104" si="62">SUM(U99:U103)</f>
        <v>138312</v>
      </c>
    </row>
    <row r="105" spans="1:21" ht="12.75" thickTop="1">
      <c r="A105" s="52"/>
      <c r="B105" s="52"/>
      <c r="C105" s="52"/>
      <c r="D105" s="52"/>
      <c r="E105" s="52"/>
      <c r="F105" s="147"/>
      <c r="G105" s="352"/>
      <c r="H105" s="352"/>
      <c r="I105" s="352"/>
      <c r="J105" s="352"/>
      <c r="K105" s="352"/>
      <c r="L105" s="352">
        <f t="shared" ref="L105:U105" si="63">(L104-K104)/K104</f>
        <v>0.17383501424147116</v>
      </c>
      <c r="M105" s="352">
        <f t="shared" si="63"/>
        <v>3.809384416546472E-2</v>
      </c>
      <c r="N105" s="352">
        <f t="shared" si="63"/>
        <v>7.5203913425506114E-2</v>
      </c>
      <c r="O105" s="352">
        <f t="shared" si="63"/>
        <v>9.2214213847569129E-2</v>
      </c>
      <c r="P105" s="352">
        <f t="shared" si="63"/>
        <v>4.9500038223614332E-2</v>
      </c>
      <c r="Q105" s="352">
        <f t="shared" si="63"/>
        <v>8.595926573694776E-2</v>
      </c>
      <c r="R105" s="352">
        <f t="shared" si="63"/>
        <v>9.0551378103331207E-2</v>
      </c>
      <c r="S105" s="352">
        <f t="shared" si="63"/>
        <v>-4.5206093486132248E-2</v>
      </c>
      <c r="T105" s="352">
        <f t="shared" si="63"/>
        <v>1.8527741031826316E-2</v>
      </c>
      <c r="U105" s="352">
        <f t="shared" si="63"/>
        <v>5.6696029520746268E-2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402</v>
      </c>
      <c r="C108" s="52"/>
      <c r="D108" s="52"/>
      <c r="E108" s="248" t="s">
        <v>425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24947</v>
      </c>
    </row>
    <row r="109" spans="1:21">
      <c r="A109" s="52">
        <v>14</v>
      </c>
      <c r="B109" s="82" t="s">
        <v>404</v>
      </c>
      <c r="C109" s="52"/>
      <c r="D109" s="52"/>
      <c r="E109" s="248" t="s">
        <v>426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25379</v>
      </c>
    </row>
    <row r="110" spans="1:21">
      <c r="A110" s="52">
        <v>15</v>
      </c>
      <c r="B110" s="38" t="s">
        <v>408</v>
      </c>
      <c r="C110" s="52"/>
      <c r="D110" s="52"/>
      <c r="E110" s="248" t="s">
        <v>427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21503</v>
      </c>
    </row>
    <row r="111" spans="1:21" ht="12.75" thickBot="1">
      <c r="A111" s="52">
        <v>16</v>
      </c>
      <c r="B111" s="353" t="s">
        <v>410</v>
      </c>
      <c r="C111" s="52"/>
      <c r="D111" s="52"/>
      <c r="E111" s="52"/>
      <c r="F111" s="351">
        <f>SUM(F108:F110)</f>
        <v>27904</v>
      </c>
      <c r="G111" s="351">
        <f t="shared" ref="G111:R111" si="73">SUM(G108:G110)</f>
        <v>28794</v>
      </c>
      <c r="H111" s="351">
        <f t="shared" si="73"/>
        <v>36190</v>
      </c>
      <c r="I111" s="351">
        <f t="shared" si="73"/>
        <v>36934</v>
      </c>
      <c r="J111" s="351">
        <f t="shared" si="73"/>
        <v>38451</v>
      </c>
      <c r="K111" s="351">
        <f t="shared" si="73"/>
        <v>39565</v>
      </c>
      <c r="L111" s="351">
        <f t="shared" si="73"/>
        <v>41812</v>
      </c>
      <c r="M111" s="351">
        <f t="shared" si="73"/>
        <v>42949</v>
      </c>
      <c r="N111" s="351">
        <f t="shared" si="73"/>
        <v>45874</v>
      </c>
      <c r="O111" s="351">
        <f t="shared" si="73"/>
        <v>48466</v>
      </c>
      <c r="P111" s="351">
        <f t="shared" si="73"/>
        <v>52270</v>
      </c>
      <c r="Q111" s="351">
        <f t="shared" si="73"/>
        <v>55304</v>
      </c>
      <c r="R111" s="351">
        <f t="shared" si="73"/>
        <v>58946</v>
      </c>
      <c r="S111" s="351">
        <f t="shared" ref="S111:T111" si="74">SUM(S108:S110)</f>
        <v>60308</v>
      </c>
      <c r="T111" s="351">
        <f t="shared" si="74"/>
        <v>64456</v>
      </c>
      <c r="U111" s="351">
        <f t="shared" ref="U111" si="75">SUM(U108:U110)</f>
        <v>71829</v>
      </c>
    </row>
    <row r="112" spans="1:21" ht="12.75" thickTop="1">
      <c r="A112" s="52"/>
      <c r="B112" s="52"/>
      <c r="C112" s="52"/>
      <c r="D112" s="52"/>
      <c r="E112" s="52"/>
      <c r="F112" s="147"/>
      <c r="G112" s="352">
        <f>(G111-F111)/F111</f>
        <v>3.1895068807339451E-2</v>
      </c>
      <c r="H112" s="352">
        <f t="shared" ref="H112:U112" si="76">(H111-G111)/G111</f>
        <v>0.25685906786135998</v>
      </c>
      <c r="I112" s="352">
        <f t="shared" si="76"/>
        <v>2.0558165239016303E-2</v>
      </c>
      <c r="J112" s="352">
        <f t="shared" si="76"/>
        <v>4.1073265825526617E-2</v>
      </c>
      <c r="K112" s="352">
        <f t="shared" si="76"/>
        <v>2.8971938311097241E-2</v>
      </c>
      <c r="L112" s="352">
        <f t="shared" si="76"/>
        <v>5.6792619739668898E-2</v>
      </c>
      <c r="M112" s="352">
        <f t="shared" si="76"/>
        <v>2.7193150291782264E-2</v>
      </c>
      <c r="N112" s="352">
        <f t="shared" si="76"/>
        <v>6.8104030361591655E-2</v>
      </c>
      <c r="O112" s="352">
        <f t="shared" si="76"/>
        <v>5.6502594061995905E-2</v>
      </c>
      <c r="P112" s="352">
        <f t="shared" si="76"/>
        <v>7.8488012214748479E-2</v>
      </c>
      <c r="Q112" s="352">
        <f t="shared" si="76"/>
        <v>5.8044767553089724E-2</v>
      </c>
      <c r="R112" s="352">
        <f t="shared" si="76"/>
        <v>6.5854187762187183E-2</v>
      </c>
      <c r="S112" s="352">
        <f t="shared" si="76"/>
        <v>2.3105893529671226E-2</v>
      </c>
      <c r="T112" s="352">
        <f t="shared" si="76"/>
        <v>6.8780261325197323E-2</v>
      </c>
      <c r="U112" s="352">
        <f t="shared" si="76"/>
        <v>0.11438810971825741</v>
      </c>
    </row>
    <row r="113" spans="1:22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2">
      <c r="A114" s="52"/>
      <c r="B114" s="52"/>
      <c r="C114" s="52"/>
      <c r="D114" s="82" t="s">
        <v>441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2">
      <c r="A115" s="52">
        <v>17</v>
      </c>
      <c r="B115" s="82" t="s">
        <v>327</v>
      </c>
      <c r="C115" s="52"/>
      <c r="D115" s="52"/>
      <c r="E115" s="248" t="s">
        <v>428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5974</v>
      </c>
    </row>
    <row r="116" spans="1:22">
      <c r="A116" s="52">
        <v>18</v>
      </c>
      <c r="B116" s="52"/>
      <c r="C116" s="82" t="s">
        <v>444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2" ht="12.75" thickBot="1">
      <c r="A117" s="52">
        <v>19</v>
      </c>
      <c r="B117" s="353" t="s">
        <v>328</v>
      </c>
      <c r="C117" s="52"/>
      <c r="D117" s="52"/>
      <c r="E117" s="52"/>
      <c r="F117" s="351">
        <f>SUM(F115:F116)</f>
        <v>-1320</v>
      </c>
      <c r="G117" s="351">
        <f t="shared" ref="G117:R117" si="80">SUM(G115:G116)</f>
        <v>-4634</v>
      </c>
      <c r="H117" s="351">
        <f t="shared" si="80"/>
        <v>1163</v>
      </c>
      <c r="I117" s="351">
        <f t="shared" si="80"/>
        <v>731</v>
      </c>
      <c r="J117" s="351">
        <f t="shared" si="80"/>
        <v>567</v>
      </c>
      <c r="K117" s="351">
        <f t="shared" si="80"/>
        <v>571</v>
      </c>
      <c r="L117" s="351">
        <f t="shared" si="80"/>
        <v>1168</v>
      </c>
      <c r="M117" s="351">
        <f t="shared" si="80"/>
        <v>2500</v>
      </c>
      <c r="N117" s="351">
        <f t="shared" si="80"/>
        <v>2500</v>
      </c>
      <c r="O117" s="351">
        <f t="shared" si="80"/>
        <v>2302</v>
      </c>
      <c r="P117" s="351">
        <f t="shared" si="80"/>
        <v>3365</v>
      </c>
      <c r="Q117" s="351">
        <f t="shared" si="80"/>
        <v>5013</v>
      </c>
      <c r="R117" s="351">
        <f t="shared" si="80"/>
        <v>583</v>
      </c>
      <c r="S117" s="351">
        <f t="shared" ref="S117:T117" si="81">SUM(S115:S116)</f>
        <v>8629</v>
      </c>
      <c r="T117" s="351">
        <f t="shared" si="81"/>
        <v>8101</v>
      </c>
      <c r="U117" s="351">
        <f t="shared" ref="U117" si="82">SUM(U115:U116)</f>
        <v>5974</v>
      </c>
    </row>
    <row r="118" spans="1:22" ht="6" customHeight="1" thickTop="1">
      <c r="A118" s="52"/>
      <c r="B118" s="52"/>
      <c r="C118" s="52"/>
      <c r="D118" s="52"/>
      <c r="E118" s="52"/>
      <c r="F118" s="147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</row>
    <row r="119" spans="1:22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2">
      <c r="A120" s="52"/>
      <c r="B120" s="82"/>
      <c r="C120" s="52"/>
      <c r="D120" s="82" t="s">
        <v>455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2">
      <c r="A121" s="52">
        <v>20</v>
      </c>
      <c r="B121" s="82" t="s">
        <v>402</v>
      </c>
      <c r="C121" s="52"/>
      <c r="D121" s="52"/>
      <c r="E121" s="248" t="s">
        <v>429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14133</v>
      </c>
    </row>
    <row r="122" spans="1:22">
      <c r="A122" s="52">
        <v>21</v>
      </c>
      <c r="B122" s="851" t="s">
        <v>719</v>
      </c>
      <c r="C122" s="852"/>
      <c r="D122" s="852"/>
      <c r="E122" s="248" t="s">
        <v>430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850">
        <f t="shared" ref="O122:R122" si="87">O29</f>
        <v>18216</v>
      </c>
      <c r="P122" s="850">
        <f t="shared" si="87"/>
        <v>20029</v>
      </c>
      <c r="Q122" s="850">
        <f t="shared" si="87"/>
        <v>22459</v>
      </c>
      <c r="R122" s="850">
        <f t="shared" si="87"/>
        <v>22699</v>
      </c>
      <c r="S122" s="850">
        <f t="shared" ref="S122:T122" si="88">S29</f>
        <v>23809</v>
      </c>
      <c r="T122" s="850">
        <f t="shared" si="88"/>
        <v>25821</v>
      </c>
      <c r="U122" s="850">
        <f t="shared" ref="U122" si="89">U29</f>
        <v>27448</v>
      </c>
      <c r="V122" s="38" t="s">
        <v>714</v>
      </c>
    </row>
    <row r="123" spans="1:22">
      <c r="A123" s="52">
        <v>22</v>
      </c>
      <c r="B123" s="38" t="s">
        <v>408</v>
      </c>
      <c r="C123" s="52"/>
      <c r="D123" s="52"/>
      <c r="E123" s="248" t="s">
        <v>431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2">
      <c r="A124" s="52">
        <v>23</v>
      </c>
      <c r="B124" s="82" t="s">
        <v>411</v>
      </c>
      <c r="C124" s="52"/>
      <c r="D124" s="52"/>
      <c r="E124" s="52"/>
      <c r="F124" s="295">
        <f>SUM(F121:F123)</f>
        <v>21044</v>
      </c>
      <c r="G124" s="295">
        <f t="shared" ref="G124:M124" si="94">SUM(G121:G123)</f>
        <v>20603</v>
      </c>
      <c r="H124" s="295">
        <f t="shared" si="94"/>
        <v>24161</v>
      </c>
      <c r="I124" s="295">
        <f t="shared" si="94"/>
        <v>24010</v>
      </c>
      <c r="J124" s="295">
        <f t="shared" si="94"/>
        <v>24687</v>
      </c>
      <c r="K124" s="295">
        <f t="shared" si="94"/>
        <v>24884</v>
      </c>
      <c r="L124" s="295">
        <f t="shared" si="94"/>
        <v>25422</v>
      </c>
      <c r="M124" s="295">
        <f t="shared" si="94"/>
        <v>24466</v>
      </c>
      <c r="N124" s="295">
        <f>SUM(N121:N123)</f>
        <v>25559</v>
      </c>
      <c r="O124" s="295">
        <f t="shared" ref="O124" si="95">SUM(O121:O123)</f>
        <v>27227</v>
      </c>
      <c r="P124" s="295">
        <f t="shared" ref="P124" si="96">SUM(P121:P123)</f>
        <v>29986</v>
      </c>
      <c r="Q124" s="295">
        <f t="shared" ref="Q124" si="97">SUM(Q121:Q123)</f>
        <v>33305</v>
      </c>
      <c r="R124" s="295">
        <f t="shared" ref="R124:S124" si="98">SUM(R121:R123)</f>
        <v>34151</v>
      </c>
      <c r="S124" s="295">
        <f t="shared" si="98"/>
        <v>36722</v>
      </c>
      <c r="T124" s="295">
        <f t="shared" ref="T124:U124" si="99">SUM(T121:T123)</f>
        <v>38649</v>
      </c>
      <c r="U124" s="295">
        <f t="shared" si="99"/>
        <v>41581</v>
      </c>
    </row>
    <row r="125" spans="1:22">
      <c r="A125" s="52">
        <v>24</v>
      </c>
      <c r="B125" s="52"/>
      <c r="C125" s="82" t="s">
        <v>412</v>
      </c>
      <c r="D125" s="52"/>
      <c r="E125" s="52"/>
      <c r="F125" s="147">
        <f>DSM!I31</f>
        <v>-139.02624613240303</v>
      </c>
      <c r="G125" s="147">
        <f>DSM!J31</f>
        <v>-204.8850342363674</v>
      </c>
      <c r="H125" s="147">
        <f>DSM!K31</f>
        <v>-244.86063216581232</v>
      </c>
      <c r="I125" s="147">
        <f>DSM!L31</f>
        <v>-247.52567202777536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2">
      <c r="A126" s="52">
        <v>25</v>
      </c>
      <c r="B126" s="52"/>
      <c r="C126" s="82" t="s">
        <v>413</v>
      </c>
      <c r="D126" s="52"/>
      <c r="E126" s="52"/>
      <c r="F126" s="147">
        <f>ResX!I31</f>
        <v>672.07459791685039</v>
      </c>
      <c r="G126" s="147">
        <f>ResX!J31</f>
        <v>57.177218856660659</v>
      </c>
      <c r="H126" s="147">
        <f>ResX!K31</f>
        <v>303.32999156160656</v>
      </c>
      <c r="I126" s="147">
        <f>ResX!L31</f>
        <v>255.96496492399149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2" ht="12.75" thickBot="1">
      <c r="A127" s="52">
        <v>26</v>
      </c>
      <c r="B127" s="353" t="s">
        <v>414</v>
      </c>
      <c r="C127" s="52"/>
      <c r="D127" s="52"/>
      <c r="E127" s="52"/>
      <c r="F127" s="351">
        <f>SUM(F124:F126)</f>
        <v>21577.048351784448</v>
      </c>
      <c r="G127" s="351">
        <f t="shared" ref="G127:R127" si="100">SUM(G124:G126)</f>
        <v>20455.292184620295</v>
      </c>
      <c r="H127" s="351">
        <f t="shared" si="100"/>
        <v>24219.469359395796</v>
      </c>
      <c r="I127" s="351">
        <f t="shared" si="100"/>
        <v>24018.439292896215</v>
      </c>
      <c r="J127" s="351">
        <f t="shared" si="100"/>
        <v>24687</v>
      </c>
      <c r="K127" s="351">
        <f t="shared" si="100"/>
        <v>24996.242027012875</v>
      </c>
      <c r="L127" s="351">
        <f t="shared" si="100"/>
        <v>25422</v>
      </c>
      <c r="M127" s="351">
        <f t="shared" si="100"/>
        <v>24422.193309601087</v>
      </c>
      <c r="N127" s="351">
        <f t="shared" si="100"/>
        <v>25215.167948905873</v>
      </c>
      <c r="O127" s="853">
        <f t="shared" si="100"/>
        <v>26626.424405821377</v>
      </c>
      <c r="P127" s="853">
        <f t="shared" si="100"/>
        <v>29451.477627473563</v>
      </c>
      <c r="Q127" s="853">
        <f t="shared" si="100"/>
        <v>32679.513135797297</v>
      </c>
      <c r="R127" s="853">
        <f t="shared" si="100"/>
        <v>33804.624334624648</v>
      </c>
      <c r="S127" s="853">
        <f t="shared" ref="S127:T127" si="101">SUM(S124:S126)</f>
        <v>36722</v>
      </c>
      <c r="T127" s="853">
        <f t="shared" si="101"/>
        <v>38649</v>
      </c>
      <c r="U127" s="853">
        <f t="shared" ref="U127" si="102">SUM(U124:U126)</f>
        <v>41581</v>
      </c>
    </row>
    <row r="128" spans="1:22" ht="12.75" thickTop="1">
      <c r="B128" s="353" t="s">
        <v>720</v>
      </c>
      <c r="C128" s="52"/>
      <c r="D128" s="52"/>
      <c r="E128" s="52"/>
      <c r="F128" s="147"/>
      <c r="G128" s="352">
        <f>(G127-F127)/F127</f>
        <v>-5.1988397526642326E-2</v>
      </c>
      <c r="H128" s="352">
        <f t="shared" ref="H128:U128" si="103">(H127-G127)/G127</f>
        <v>0.18401972168384229</v>
      </c>
      <c r="I128" s="352">
        <f t="shared" si="103"/>
        <v>-8.3003497523612239E-3</v>
      </c>
      <c r="J128" s="352">
        <f t="shared" si="103"/>
        <v>2.783531015279252E-2</v>
      </c>
      <c r="K128" s="352">
        <f t="shared" si="103"/>
        <v>1.2526513023570099E-2</v>
      </c>
      <c r="L128" s="352">
        <f t="shared" si="103"/>
        <v>1.7032879283494611E-2</v>
      </c>
      <c r="M128" s="352">
        <f t="shared" si="103"/>
        <v>-3.9328404153839702E-2</v>
      </c>
      <c r="N128" s="352">
        <f t="shared" si="103"/>
        <v>3.2469427673928221E-2</v>
      </c>
      <c r="O128" s="352">
        <f t="shared" si="103"/>
        <v>5.5968552728864154E-2</v>
      </c>
      <c r="P128" s="352">
        <f t="shared" si="103"/>
        <v>0.10609960911742022</v>
      </c>
      <c r="Q128" s="352">
        <f t="shared" si="103"/>
        <v>0.1096052140118256</v>
      </c>
      <c r="R128" s="352">
        <f t="shared" si="103"/>
        <v>3.4428640174412488E-2</v>
      </c>
      <c r="S128" s="352">
        <f t="shared" si="103"/>
        <v>8.6301082257175296E-2</v>
      </c>
      <c r="T128" s="352">
        <f t="shared" si="103"/>
        <v>5.2475355372801048E-2</v>
      </c>
      <c r="U128" s="352">
        <f t="shared" si="103"/>
        <v>7.5862247406142461E-2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53" t="s">
        <v>415</v>
      </c>
      <c r="C130" s="52"/>
      <c r="D130" s="52"/>
      <c r="E130" s="248" t="s">
        <v>432</v>
      </c>
      <c r="F130" s="351">
        <f>F78</f>
        <v>649149</v>
      </c>
      <c r="G130" s="351">
        <f t="shared" ref="G130:R130" si="104">G78</f>
        <v>662278</v>
      </c>
      <c r="H130" s="351">
        <f t="shared" si="104"/>
        <v>739502</v>
      </c>
      <c r="I130" s="351">
        <f t="shared" si="104"/>
        <v>720602</v>
      </c>
      <c r="J130" s="351">
        <f t="shared" si="104"/>
        <v>757756</v>
      </c>
      <c r="K130" s="351">
        <f t="shared" si="104"/>
        <v>799091</v>
      </c>
      <c r="L130" s="351">
        <f t="shared" si="104"/>
        <v>855712</v>
      </c>
      <c r="M130" s="351">
        <f t="shared" si="104"/>
        <v>870835</v>
      </c>
      <c r="N130" s="351">
        <f t="shared" si="104"/>
        <v>917247</v>
      </c>
      <c r="O130" s="351">
        <f t="shared" si="104"/>
        <v>987243</v>
      </c>
      <c r="P130" s="351">
        <f t="shared" si="104"/>
        <v>1036064</v>
      </c>
      <c r="Q130" s="351">
        <f t="shared" si="104"/>
        <v>1087141</v>
      </c>
      <c r="R130" s="351">
        <f t="shared" si="104"/>
        <v>1131570</v>
      </c>
      <c r="S130" s="351">
        <f t="shared" ref="S130:T130" si="105">S78</f>
        <v>1195010</v>
      </c>
      <c r="T130" s="351">
        <f t="shared" si="105"/>
        <v>1214504</v>
      </c>
      <c r="U130" s="351">
        <f t="shared" ref="U130" si="106">U78</f>
        <v>1271626</v>
      </c>
    </row>
    <row r="131" spans="1:21" ht="12.75" thickTop="1">
      <c r="A131" s="52"/>
      <c r="B131" s="52"/>
      <c r="C131" s="52"/>
      <c r="D131" s="52"/>
      <c r="E131" s="52"/>
      <c r="F131" s="147"/>
      <c r="G131" s="352">
        <f>(G130-F130)/F130</f>
        <v>2.0224940653070404E-2</v>
      </c>
      <c r="H131" s="352">
        <f t="shared" ref="H131:U131" si="107">(H130-G130)/G130</f>
        <v>0.11660360150873199</v>
      </c>
      <c r="I131" s="352">
        <f t="shared" si="107"/>
        <v>-2.5557740208951428E-2</v>
      </c>
      <c r="J131" s="352">
        <f t="shared" si="107"/>
        <v>5.1559668166338703E-2</v>
      </c>
      <c r="K131" s="352">
        <f t="shared" si="107"/>
        <v>5.4549221649185228E-2</v>
      </c>
      <c r="L131" s="352">
        <f t="shared" si="107"/>
        <v>7.0856760994680204E-2</v>
      </c>
      <c r="M131" s="352">
        <f t="shared" si="107"/>
        <v>1.7673002131558282E-2</v>
      </c>
      <c r="N131" s="352">
        <f t="shared" si="107"/>
        <v>5.3295974553158751E-2</v>
      </c>
      <c r="O131" s="352">
        <f t="shared" si="107"/>
        <v>7.6310960951630258E-2</v>
      </c>
      <c r="P131" s="352">
        <f t="shared" si="107"/>
        <v>4.9451857344139184E-2</v>
      </c>
      <c r="Q131" s="352">
        <f t="shared" si="107"/>
        <v>4.9299078049232482E-2</v>
      </c>
      <c r="R131" s="352">
        <f t="shared" si="107"/>
        <v>4.0867743926500798E-2</v>
      </c>
      <c r="S131" s="352">
        <f t="shared" si="107"/>
        <v>5.6063699108318529E-2</v>
      </c>
      <c r="T131" s="352">
        <f t="shared" si="107"/>
        <v>1.631283420222425E-2</v>
      </c>
      <c r="U131" s="352">
        <f t="shared" si="107"/>
        <v>4.7033192150869818E-2</v>
      </c>
    </row>
    <row r="132" spans="1:21" ht="4.5" customHeight="1">
      <c r="A132" s="52"/>
      <c r="B132" s="353"/>
      <c r="C132" s="52"/>
      <c r="D132" s="52"/>
      <c r="E132" s="248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53" t="s">
        <v>416</v>
      </c>
      <c r="C133" s="52"/>
      <c r="D133" s="52"/>
      <c r="E133" s="248" t="s">
        <v>433</v>
      </c>
      <c r="F133" s="351">
        <f>F82</f>
        <v>568492</v>
      </c>
      <c r="G133" s="351">
        <f t="shared" ref="G133:R133" si="108">G82</f>
        <v>597515</v>
      </c>
      <c r="H133" s="351">
        <f t="shared" si="108"/>
        <v>761858</v>
      </c>
      <c r="I133" s="351">
        <f t="shared" si="108"/>
        <v>742443</v>
      </c>
      <c r="J133" s="351">
        <f t="shared" si="108"/>
        <v>778011</v>
      </c>
      <c r="K133" s="351">
        <f t="shared" si="108"/>
        <v>819842</v>
      </c>
      <c r="L133" s="351">
        <f t="shared" si="108"/>
        <v>874511</v>
      </c>
      <c r="M133" s="351">
        <f t="shared" si="108"/>
        <v>891855</v>
      </c>
      <c r="N133" s="351">
        <f t="shared" si="108"/>
        <v>936840</v>
      </c>
      <c r="O133" s="351">
        <f t="shared" si="108"/>
        <v>1005019</v>
      </c>
      <c r="P133" s="351">
        <f t="shared" si="108"/>
        <v>1072028</v>
      </c>
      <c r="Q133" s="351">
        <f t="shared" si="108"/>
        <v>1137863</v>
      </c>
      <c r="R133" s="351">
        <f t="shared" si="108"/>
        <v>1158975</v>
      </c>
      <c r="S133" s="351">
        <f t="shared" ref="S133:T133" si="109">S82</f>
        <v>1226052</v>
      </c>
      <c r="T133" s="351">
        <f t="shared" si="109"/>
        <v>1273157</v>
      </c>
      <c r="U133" s="351">
        <f t="shared" ref="U133" si="110">U82</f>
        <v>1338806</v>
      </c>
    </row>
    <row r="134" spans="1:21" ht="12.75" thickTop="1">
      <c r="A134" s="52"/>
      <c r="B134" s="52"/>
      <c r="C134" s="52"/>
      <c r="D134" s="52"/>
      <c r="E134" s="52"/>
      <c r="F134" s="147"/>
      <c r="G134" s="352">
        <f>(G133-F133)/F133</f>
        <v>5.1052609359498465E-2</v>
      </c>
      <c r="H134" s="352">
        <f t="shared" ref="H134:U134" si="111">(H133-G133)/G133</f>
        <v>0.27504414115126818</v>
      </c>
      <c r="I134" s="352">
        <f t="shared" si="111"/>
        <v>-2.5483751565252316E-2</v>
      </c>
      <c r="J134" s="352">
        <f t="shared" si="111"/>
        <v>4.7906707989704263E-2</v>
      </c>
      <c r="K134" s="352">
        <f t="shared" si="111"/>
        <v>5.3766591989059281E-2</v>
      </c>
      <c r="L134" s="352">
        <f t="shared" si="111"/>
        <v>6.6682360747558678E-2</v>
      </c>
      <c r="M134" s="352">
        <f t="shared" si="111"/>
        <v>1.9832797986531901E-2</v>
      </c>
      <c r="N134" s="352">
        <f t="shared" si="111"/>
        <v>5.0439813646837209E-2</v>
      </c>
      <c r="O134" s="352">
        <f t="shared" si="111"/>
        <v>7.2775500619102512E-2</v>
      </c>
      <c r="P134" s="352">
        <f t="shared" si="111"/>
        <v>6.6674361380232611E-2</v>
      </c>
      <c r="Q134" s="352">
        <f t="shared" si="111"/>
        <v>6.1411642233225254E-2</v>
      </c>
      <c r="R134" s="352">
        <f t="shared" si="111"/>
        <v>1.855407900599633E-2</v>
      </c>
      <c r="S134" s="352">
        <f t="shared" si="111"/>
        <v>5.7876140555231992E-2</v>
      </c>
      <c r="T134" s="352">
        <f t="shared" si="111"/>
        <v>3.8420067011839629E-2</v>
      </c>
      <c r="U134" s="352">
        <f t="shared" si="111"/>
        <v>5.1563946944485246E-2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417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434</v>
      </c>
      <c r="C137" s="52"/>
      <c r="D137" s="52"/>
      <c r="E137" s="248" t="s">
        <v>435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16920</v>
      </c>
    </row>
    <row r="138" spans="1:21">
      <c r="A138" s="52">
        <v>30</v>
      </c>
      <c r="B138" s="82"/>
      <c r="C138" s="82" t="s">
        <v>591</v>
      </c>
      <c r="D138" s="52"/>
      <c r="E138" s="248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3422-4741-2372</f>
        <v>-3691</v>
      </c>
    </row>
    <row r="139" spans="1:21">
      <c r="A139" s="52">
        <v>31</v>
      </c>
      <c r="B139" s="82"/>
      <c r="C139" s="82" t="s">
        <v>436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-267.11410000000001</v>
      </c>
    </row>
    <row r="140" spans="1:21">
      <c r="A140" s="52">
        <v>32</v>
      </c>
      <c r="B140" s="82"/>
      <c r="C140" s="82" t="s">
        <v>437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-10511.5432</v>
      </c>
    </row>
    <row r="141" spans="1:21" ht="12.75" thickBot="1">
      <c r="A141" s="52">
        <v>33</v>
      </c>
      <c r="B141" s="353" t="s">
        <v>360</v>
      </c>
      <c r="C141" s="82"/>
      <c r="D141" s="52"/>
      <c r="E141" s="52"/>
      <c r="F141" s="351">
        <f>SUM(F137:F140)</f>
        <v>1750.2743999999993</v>
      </c>
      <c r="G141" s="351">
        <f t="shared" ref="G141:R141" si="115">SUM(G137:G140)</f>
        <v>2162</v>
      </c>
      <c r="H141" s="351">
        <f t="shared" si="115"/>
        <v>1866</v>
      </c>
      <c r="I141" s="351">
        <f t="shared" si="115"/>
        <v>2536</v>
      </c>
      <c r="J141" s="351">
        <f t="shared" si="115"/>
        <v>2779</v>
      </c>
      <c r="K141" s="351">
        <f t="shared" si="115"/>
        <v>3442.8862000000008</v>
      </c>
      <c r="L141" s="351">
        <f t="shared" si="115"/>
        <v>2956</v>
      </c>
      <c r="M141" s="351">
        <f t="shared" si="115"/>
        <v>3073</v>
      </c>
      <c r="N141" s="351">
        <f t="shared" si="115"/>
        <v>2875</v>
      </c>
      <c r="O141" s="351">
        <f t="shared" si="115"/>
        <v>2813.6201999999994</v>
      </c>
      <c r="P141" s="351">
        <f t="shared" si="115"/>
        <v>2813.1288000000004</v>
      </c>
      <c r="Q141" s="351">
        <f t="shared" si="115"/>
        <v>2812.3060000000005</v>
      </c>
      <c r="R141" s="351">
        <f t="shared" si="115"/>
        <v>3314.6805999999997</v>
      </c>
      <c r="S141" s="351">
        <f t="shared" ref="S141:T141" si="116">SUM(S137:S140)</f>
        <v>3464</v>
      </c>
      <c r="T141" s="351">
        <f t="shared" si="116"/>
        <v>3478.6275000000005</v>
      </c>
      <c r="U141" s="351">
        <f t="shared" ref="U141" si="117">SUM(U137:U140)</f>
        <v>2450.3426999999992</v>
      </c>
    </row>
    <row r="142" spans="1:21" ht="12.75" thickTop="1">
      <c r="A142" s="52"/>
      <c r="F142" s="69"/>
      <c r="G142" s="352">
        <f>(G141-F141)/F141</f>
        <v>0.23523488659835329</v>
      </c>
      <c r="H142" s="352">
        <f t="shared" ref="H142:U142" si="118">(H141-G141)/G141</f>
        <v>-0.13691026827012026</v>
      </c>
      <c r="I142" s="352">
        <f t="shared" si="118"/>
        <v>0.35905680600214362</v>
      </c>
      <c r="J142" s="352">
        <f t="shared" si="118"/>
        <v>9.5820189274447951E-2</v>
      </c>
      <c r="K142" s="352">
        <f t="shared" si="118"/>
        <v>0.23889391867578294</v>
      </c>
      <c r="L142" s="352">
        <f t="shared" si="118"/>
        <v>-0.14141803467102709</v>
      </c>
      <c r="M142" s="352">
        <f t="shared" si="118"/>
        <v>3.9580514208389712E-2</v>
      </c>
      <c r="N142" s="352">
        <f t="shared" si="118"/>
        <v>-6.4432150992515452E-2</v>
      </c>
      <c r="O142" s="352">
        <f t="shared" si="118"/>
        <v>-2.1349495652174127E-2</v>
      </c>
      <c r="P142" s="352">
        <f t="shared" si="118"/>
        <v>-1.7465043789455863E-4</v>
      </c>
      <c r="Q142" s="352">
        <f t="shared" si="118"/>
        <v>-2.9248571910390862E-4</v>
      </c>
      <c r="R142" s="352">
        <f t="shared" si="118"/>
        <v>0.17863440180407078</v>
      </c>
      <c r="S142" s="352">
        <f t="shared" si="118"/>
        <v>4.5047899939439209E-2</v>
      </c>
      <c r="T142" s="352">
        <f t="shared" si="118"/>
        <v>4.222719399538253E-3</v>
      </c>
      <c r="U142" s="352">
        <f t="shared" si="118"/>
        <v>-0.29560072183641423</v>
      </c>
    </row>
    <row r="143" spans="1:21" ht="4.5" hidden="1" customHeight="1">
      <c r="A143" s="52"/>
      <c r="F143" s="69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111"/>
      <c r="T143" s="111"/>
      <c r="U143" s="111"/>
    </row>
    <row r="144" spans="1:21" ht="4.9000000000000004" customHeight="1">
      <c r="A144" s="52"/>
      <c r="F144" s="69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111"/>
      <c r="T144" s="111"/>
      <c r="U144" s="111"/>
    </row>
    <row r="145" spans="7:17"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7:17"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7:17"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7:17"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7:17"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7:17"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7:17"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7:17"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7:17"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7:17"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7:17"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7:17"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7:17"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7:17"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7:17"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7:17"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7:17"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7:17"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7:17"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7:17"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7:17"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7:17"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7:17"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7:17"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7:17"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7:17"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7:17"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7:17"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7:17"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7:17"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7:17"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7:17"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7:17"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7:17"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7:17"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7:17"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7:17"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7:17"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7:17"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7:17"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7:17"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7:17"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7:17"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7:17"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7:17"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7:17"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7:17"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7:17"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7:17"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7:17"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7:17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7:17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7:17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7:17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7:17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7:17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7:17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7:17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7:17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7:17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7:17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7:17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7:17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7:17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</sheetData>
  <mergeCells count="7">
    <mergeCell ref="F7:P7"/>
    <mergeCell ref="E88:R88"/>
    <mergeCell ref="A1:R1"/>
    <mergeCell ref="A2:R2"/>
    <mergeCell ref="A54:R54"/>
    <mergeCell ref="E4:R4"/>
    <mergeCell ref="E55:R55"/>
  </mergeCells>
  <phoneticPr fontId="61" type="noConversion"/>
  <printOptions horizontalCentered="1"/>
  <pageMargins left="0.7" right="0.7" top="0.75" bottom="0.75" header="0.3" footer="0.3"/>
  <pageSetup scale="76" fitToHeight="3" orientation="landscape" r:id="rId1"/>
  <headerFooter scaleWithDoc="0">
    <oddHeader>&amp;CBench Request 10.4 - Attachment B&amp;RRevised Exhibit No. __(EMA-9)</oddHeader>
    <oddFooter xml:space="preserve">&amp;CWA 2018 Electric </oddFooter>
  </headerFooter>
  <rowBreaks count="2" manualBreakCount="2">
    <brk id="53" max="20" man="1"/>
    <brk id="84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="115" zoomScaleNormal="115" zoomScaleSheetLayoutView="115" workbookViewId="0">
      <selection sqref="A1:R1"/>
    </sheetView>
  </sheetViews>
  <sheetFormatPr defaultRowHeight="12.75"/>
  <cols>
    <col min="1" max="1" width="30.8554687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53" t="s">
        <v>672</v>
      </c>
      <c r="B1" s="953"/>
      <c r="C1" s="953"/>
      <c r="D1" s="953"/>
      <c r="E1" s="953"/>
      <c r="F1" s="953"/>
      <c r="I1" s="547"/>
      <c r="J1" s="789">
        <v>12.201499999999999</v>
      </c>
    </row>
    <row r="2" spans="1:10">
      <c r="A2" s="439"/>
      <c r="B2" s="614">
        <v>2007</v>
      </c>
      <c r="C2" s="614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0">
      <c r="A3" s="439" t="s">
        <v>569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1087141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184">
        <f>'Cost Trends'!U78</f>
        <v>1271626</v>
      </c>
    </row>
    <row r="4" spans="1:10">
      <c r="A4" s="439"/>
      <c r="B4" s="439"/>
      <c r="C4" s="439"/>
      <c r="D4" s="439"/>
      <c r="E4" s="439"/>
      <c r="F4" s="439"/>
      <c r="G4" s="439"/>
      <c r="I4" s="440" t="s">
        <v>583</v>
      </c>
      <c r="J4" s="802" t="s">
        <v>510</v>
      </c>
    </row>
    <row r="5" spans="1:10">
      <c r="A5" s="439"/>
      <c r="B5" s="439"/>
      <c r="C5" s="439"/>
      <c r="D5" s="439"/>
      <c r="E5" s="439"/>
      <c r="F5" s="439"/>
      <c r="G5" s="439"/>
    </row>
    <row r="6" spans="1:10">
      <c r="A6" s="439" t="s">
        <v>575</v>
      </c>
      <c r="B6" s="2">
        <v>50100</v>
      </c>
      <c r="C6" s="439"/>
      <c r="D6" s="439"/>
      <c r="E6" s="439"/>
      <c r="F6" s="439"/>
      <c r="G6" s="439"/>
    </row>
    <row r="7" spans="1:10" ht="13.5" thickBot="1">
      <c r="A7" s="439" t="s">
        <v>573</v>
      </c>
      <c r="B7" s="544">
        <f>B6/J3</f>
        <v>3.9398376566694926E-2</v>
      </c>
      <c r="C7" s="540"/>
      <c r="D7" s="540"/>
      <c r="E7" s="540"/>
      <c r="F7" s="540"/>
      <c r="G7" s="540"/>
    </row>
    <row r="8" spans="1:10" ht="13.5" thickBot="1">
      <c r="A8" s="440" t="s">
        <v>704</v>
      </c>
      <c r="B8" s="801">
        <f>B7*2.5</f>
        <v>9.8495941416737315E-2</v>
      </c>
      <c r="C8" s="439" t="s">
        <v>574</v>
      </c>
      <c r="D8" s="439"/>
      <c r="E8" s="546"/>
      <c r="F8" s="439"/>
      <c r="G8" s="439"/>
    </row>
    <row r="9" spans="1:10">
      <c r="A9" s="439"/>
      <c r="B9" s="439"/>
      <c r="C9" s="439"/>
      <c r="D9" s="439"/>
      <c r="E9" s="439"/>
      <c r="F9" s="439"/>
      <c r="G9" s="439"/>
    </row>
    <row r="10" spans="1:10">
      <c r="A10" s="439"/>
      <c r="B10" s="439"/>
      <c r="C10" s="439"/>
      <c r="D10" s="439"/>
      <c r="E10" s="439"/>
      <c r="F10" s="439"/>
      <c r="G10" s="439"/>
    </row>
    <row r="11" spans="1:10">
      <c r="A11" s="439"/>
      <c r="B11" s="439"/>
      <c r="C11" s="439"/>
      <c r="D11" s="439"/>
      <c r="E11" s="439"/>
      <c r="F11" s="439"/>
      <c r="G11" s="439"/>
    </row>
    <row r="12" spans="1:10">
      <c r="A12" s="439"/>
      <c r="B12" s="439"/>
      <c r="C12" s="439"/>
      <c r="D12" s="439"/>
      <c r="E12" s="439"/>
      <c r="F12" s="439"/>
      <c r="G12" s="439"/>
    </row>
    <row r="13" spans="1:10">
      <c r="A13" s="439"/>
      <c r="B13" s="439"/>
      <c r="C13" s="439"/>
      <c r="D13" s="439"/>
      <c r="E13" s="439"/>
      <c r="F13" s="439"/>
      <c r="G13" s="439"/>
    </row>
    <row r="14" spans="1:10">
      <c r="A14" s="439"/>
      <c r="B14" s="439"/>
      <c r="C14" s="439"/>
      <c r="D14" s="439"/>
      <c r="E14" s="439"/>
      <c r="F14" s="439"/>
      <c r="G14" s="439"/>
    </row>
    <row r="15" spans="1:10">
      <c r="A15" s="439"/>
      <c r="B15" s="439"/>
      <c r="C15" s="439"/>
      <c r="D15" s="439"/>
      <c r="E15" s="439"/>
      <c r="F15" s="439"/>
      <c r="G15" s="439"/>
    </row>
    <row r="16" spans="1:10">
      <c r="A16" s="439"/>
      <c r="B16" s="439"/>
      <c r="C16" s="439"/>
      <c r="D16" s="439"/>
      <c r="E16" s="439"/>
      <c r="F16" s="439"/>
      <c r="G16" s="439"/>
    </row>
    <row r="17" spans="1:11">
      <c r="A17" s="439"/>
      <c r="B17" s="439"/>
      <c r="C17" s="439"/>
      <c r="D17" s="439"/>
      <c r="E17" s="439"/>
      <c r="F17" s="439"/>
      <c r="G17" s="439"/>
    </row>
    <row r="18" spans="1:11">
      <c r="A18" s="439"/>
      <c r="B18" s="439"/>
      <c r="C18" s="439"/>
      <c r="D18" s="439"/>
      <c r="E18" s="439"/>
      <c r="F18" s="439"/>
      <c r="G18" s="439"/>
    </row>
    <row r="19" spans="1:11">
      <c r="A19" s="439"/>
      <c r="B19" s="439"/>
      <c r="C19" s="439"/>
      <c r="D19" s="439"/>
      <c r="E19" s="439"/>
      <c r="F19" s="439"/>
      <c r="G19" s="439"/>
    </row>
    <row r="20" spans="1:11">
      <c r="A20" s="439"/>
      <c r="B20" s="439"/>
      <c r="C20" s="439"/>
      <c r="D20" s="439"/>
      <c r="E20" s="439"/>
      <c r="F20" s="439"/>
      <c r="G20" s="439"/>
    </row>
    <row r="21" spans="1:11">
      <c r="A21" s="439"/>
      <c r="B21" s="439"/>
      <c r="C21" s="439"/>
      <c r="D21" s="439"/>
      <c r="E21" s="439"/>
      <c r="F21" s="439"/>
      <c r="G21" s="439"/>
    </row>
    <row r="22" spans="1:11">
      <c r="A22" s="439"/>
      <c r="B22" s="439"/>
      <c r="C22" s="439"/>
      <c r="D22" s="439"/>
      <c r="E22" s="439"/>
      <c r="F22" s="439"/>
      <c r="G22" s="439"/>
    </row>
    <row r="23" spans="1:11">
      <c r="A23" s="439"/>
      <c r="B23" s="439"/>
      <c r="C23" s="439"/>
      <c r="D23" s="439"/>
      <c r="E23" s="439"/>
      <c r="F23" s="439"/>
      <c r="G23" s="439"/>
    </row>
    <row r="24" spans="1:11">
      <c r="A24" s="439"/>
      <c r="B24" s="439"/>
      <c r="C24" s="439"/>
      <c r="D24" s="439"/>
      <c r="E24" s="439"/>
      <c r="F24" s="439"/>
      <c r="G24" s="439"/>
    </row>
    <row r="25" spans="1:11">
      <c r="A25" s="439"/>
      <c r="B25" s="439"/>
      <c r="C25" s="439"/>
      <c r="D25" s="439"/>
      <c r="E25" s="439"/>
      <c r="F25" s="439"/>
      <c r="G25" s="439"/>
    </row>
    <row r="26" spans="1:11">
      <c r="A26" s="439"/>
      <c r="B26" s="439"/>
      <c r="C26" s="439"/>
      <c r="D26" s="439"/>
      <c r="E26" s="439"/>
      <c r="F26" s="439"/>
      <c r="G26" s="439"/>
    </row>
    <row r="27" spans="1:11">
      <c r="A27" s="439"/>
      <c r="B27" s="439"/>
      <c r="C27" s="439"/>
      <c r="D27" s="439"/>
      <c r="E27" s="439"/>
      <c r="F27" s="439"/>
      <c r="G27" s="439"/>
    </row>
    <row r="28" spans="1:11">
      <c r="A28" s="439"/>
      <c r="B28" s="439"/>
      <c r="C28" s="439"/>
      <c r="D28" s="439"/>
      <c r="E28" s="439"/>
      <c r="F28" s="439"/>
      <c r="G28" s="439"/>
    </row>
    <row r="29" spans="1:11">
      <c r="A29" s="439"/>
      <c r="B29" s="439"/>
      <c r="C29" s="439"/>
      <c r="D29" s="439"/>
      <c r="E29" s="439"/>
      <c r="F29" s="439"/>
      <c r="G29" s="439"/>
    </row>
    <row r="32" spans="1:11">
      <c r="K32" t="e">
        <f>(K26/K28)*2</f>
        <v>#DIV/0!</v>
      </c>
    </row>
    <row r="44" spans="1:1">
      <c r="A44" t="s">
        <v>768</v>
      </c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&amp;CBench Request 10.4 - Attachment B&amp;RRevised Exhibit No. __(EMA-9)</oddHeader>
    <oddFooter>&amp;CWA 2018 Electric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sqref="A1:R1"/>
    </sheetView>
  </sheetViews>
  <sheetFormatPr defaultRowHeight="12.75"/>
  <cols>
    <col min="1" max="1" width="33.140625" customWidth="1"/>
    <col min="2" max="9" width="10.28515625" bestFit="1" customWidth="1"/>
    <col min="10" max="10" width="10.28515625" style="439" bestFit="1" customWidth="1"/>
  </cols>
  <sheetData>
    <row r="1" spans="1:12">
      <c r="A1" s="953" t="s">
        <v>672</v>
      </c>
      <c r="B1" s="953"/>
      <c r="C1" s="953"/>
      <c r="D1" s="953"/>
      <c r="E1" s="953"/>
      <c r="F1" s="953"/>
      <c r="J1" s="789">
        <v>12.201499999999999</v>
      </c>
    </row>
    <row r="2" spans="1:12">
      <c r="A2" s="439"/>
      <c r="B2" s="614">
        <v>2007</v>
      </c>
      <c r="C2" s="614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2">
      <c r="A3" s="439" t="s">
        <v>567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</f>
        <v>71829</v>
      </c>
    </row>
    <row r="4" spans="1:12">
      <c r="A4" s="439"/>
      <c r="B4" s="439"/>
      <c r="C4" s="439"/>
      <c r="D4" s="439"/>
      <c r="E4" s="439"/>
      <c r="F4" s="439"/>
      <c r="G4" s="439"/>
      <c r="J4" s="802" t="s">
        <v>510</v>
      </c>
    </row>
    <row r="5" spans="1:12">
      <c r="A5" s="439"/>
      <c r="B5" s="439"/>
      <c r="C5" s="439"/>
      <c r="D5" s="439"/>
      <c r="E5" s="439"/>
      <c r="F5" s="439"/>
      <c r="G5" s="439"/>
    </row>
    <row r="6" spans="1:12">
      <c r="A6" s="439" t="s">
        <v>575</v>
      </c>
      <c r="B6" s="792">
        <v>3360.4</v>
      </c>
      <c r="C6" s="439"/>
      <c r="D6" s="439"/>
      <c r="E6" s="439"/>
      <c r="F6" s="439"/>
      <c r="G6" s="439"/>
    </row>
    <row r="7" spans="1:12" ht="13.5" thickBot="1">
      <c r="A7" s="439" t="s">
        <v>573</v>
      </c>
      <c r="B7" s="544">
        <f>B6/J3</f>
        <v>4.6783332637235657E-2</v>
      </c>
      <c r="C7" s="540"/>
      <c r="D7" s="540"/>
      <c r="E7" s="540"/>
      <c r="F7" s="540"/>
      <c r="G7" s="540"/>
    </row>
    <row r="8" spans="1:12" ht="13.5" thickBot="1">
      <c r="A8" s="440" t="s">
        <v>704</v>
      </c>
      <c r="B8" s="801">
        <f>B7*2.5</f>
        <v>0.11695833159308915</v>
      </c>
      <c r="C8" s="439" t="s">
        <v>574</v>
      </c>
      <c r="D8" s="439"/>
      <c r="E8" s="546"/>
      <c r="F8" s="439"/>
      <c r="G8" s="439"/>
    </row>
    <row r="15" spans="1:12">
      <c r="K15">
        <v>-2149</v>
      </c>
      <c r="L15" s="440" t="s">
        <v>681</v>
      </c>
    </row>
    <row r="18" spans="1:25">
      <c r="Y18">
        <v>27986</v>
      </c>
    </row>
    <row r="19" spans="1:25">
      <c r="Y19">
        <v>4831</v>
      </c>
    </row>
    <row r="30" spans="1:25">
      <c r="A30" s="378"/>
      <c r="B30" s="378"/>
      <c r="C30" s="378"/>
      <c r="D30" s="378"/>
      <c r="E30" s="378"/>
      <c r="F30" s="378"/>
      <c r="G30" s="378"/>
      <c r="H30" s="378"/>
    </row>
    <row r="32" spans="1:25">
      <c r="K32" t="e">
        <f>(K26/K28)*2</f>
        <v>#DIV/0!</v>
      </c>
    </row>
    <row r="44" spans="1:1">
      <c r="A44" t="s">
        <v>768</v>
      </c>
    </row>
    <row r="49" spans="20:21">
      <c r="U49">
        <f>P49+R49+S49+T49</f>
        <v>0</v>
      </c>
    </row>
    <row r="50" spans="20:21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scale="99" orientation="landscape" r:id="rId1"/>
  <headerFooter scaleWithDoc="0">
    <oddHeader>&amp;CBench Request 10.4 - Attachment B&amp;RRevised Exhibit No. __(EMA-9)</oddHeader>
    <oddFooter>&amp;CWA 2018 Electric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sqref="A1:R1"/>
    </sheetView>
  </sheetViews>
  <sheetFormatPr defaultRowHeight="12.75"/>
  <cols>
    <col min="1" max="1" width="29.5703125" customWidth="1"/>
    <col min="2" max="8" width="10.28515625" bestFit="1" customWidth="1"/>
    <col min="9" max="9" width="9.5703125" customWidth="1"/>
    <col min="10" max="10" width="11.28515625" style="439" customWidth="1"/>
  </cols>
  <sheetData>
    <row r="1" spans="1:10">
      <c r="A1" s="953" t="s">
        <v>672</v>
      </c>
      <c r="B1" s="953"/>
      <c r="C1" s="953"/>
      <c r="D1" s="953"/>
      <c r="E1" s="953"/>
      <c r="F1" s="953"/>
      <c r="J1" s="789">
        <v>12.201499999999999</v>
      </c>
    </row>
    <row r="2" spans="1:10">
      <c r="A2" s="439"/>
      <c r="B2" s="614">
        <v>2007</v>
      </c>
      <c r="C2" s="614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0">
      <c r="A3" s="439" t="s">
        <v>568</v>
      </c>
      <c r="B3" s="184">
        <f>'Cost Trends'!M127</f>
        <v>24422.193309601087</v>
      </c>
      <c r="C3" s="184">
        <f>'Cost Trends'!N127</f>
        <v>25215.167948905873</v>
      </c>
      <c r="D3" s="854">
        <f>'Cost Trends'!O127</f>
        <v>26626.424405821377</v>
      </c>
      <c r="E3" s="854">
        <f>'Cost Trends'!P127</f>
        <v>29451.477627473563</v>
      </c>
      <c r="F3" s="854">
        <f>'Cost Trends'!Q127</f>
        <v>32679.513135797297</v>
      </c>
      <c r="G3" s="854">
        <f>'Cost Trends'!R127</f>
        <v>33804.624334624648</v>
      </c>
      <c r="H3" s="854">
        <f>'Cost Trends'!S127</f>
        <v>36722</v>
      </c>
      <c r="I3" s="854">
        <f>'Cost Trends'!T127</f>
        <v>38649</v>
      </c>
      <c r="J3" s="854">
        <f>'Cost Trends'!U127</f>
        <v>41581</v>
      </c>
    </row>
    <row r="4" spans="1:10">
      <c r="A4" s="439"/>
      <c r="B4" s="439"/>
      <c r="C4" s="439"/>
      <c r="D4" s="439"/>
      <c r="E4" s="439"/>
      <c r="F4" s="439"/>
      <c r="G4" s="439"/>
      <c r="H4" s="439"/>
      <c r="J4" s="802" t="s">
        <v>718</v>
      </c>
    </row>
    <row r="5" spans="1:10">
      <c r="A5" s="439"/>
      <c r="B5" s="439"/>
      <c r="C5" s="439"/>
      <c r="D5" s="439"/>
      <c r="E5" s="439"/>
      <c r="F5" s="439"/>
      <c r="G5" s="439"/>
      <c r="H5" s="439"/>
    </row>
    <row r="6" spans="1:10">
      <c r="A6" s="439" t="s">
        <v>575</v>
      </c>
      <c r="B6" s="855">
        <v>2224.6999999999998</v>
      </c>
      <c r="C6" s="439"/>
      <c r="D6" s="439"/>
      <c r="E6" s="439"/>
      <c r="F6" s="439"/>
      <c r="G6" s="439"/>
      <c r="H6" s="439"/>
    </row>
    <row r="7" spans="1:10" ht="13.5" thickBot="1">
      <c r="A7" s="439" t="s">
        <v>573</v>
      </c>
      <c r="B7" s="856">
        <f>B6/J3</f>
        <v>5.3502801760419418E-2</v>
      </c>
      <c r="C7" s="540"/>
      <c r="D7" s="540"/>
      <c r="E7" s="540"/>
      <c r="F7" s="540"/>
      <c r="G7" s="540"/>
      <c r="H7" s="439"/>
    </row>
    <row r="8" spans="1:10" ht="13.5" thickBot="1">
      <c r="A8" s="440" t="s">
        <v>704</v>
      </c>
      <c r="B8" s="568">
        <f>B7*2.5</f>
        <v>0.13375700440104854</v>
      </c>
      <c r="C8" s="439" t="s">
        <v>574</v>
      </c>
      <c r="D8" s="439"/>
      <c r="E8" s="546"/>
      <c r="F8" s="439"/>
      <c r="G8" s="439"/>
      <c r="H8" s="439"/>
    </row>
    <row r="9" spans="1:10">
      <c r="A9" s="439"/>
      <c r="B9" s="439"/>
      <c r="C9" s="439"/>
      <c r="D9" s="439"/>
      <c r="E9" s="439"/>
      <c r="F9" s="439"/>
      <c r="G9" s="439"/>
      <c r="H9" s="439"/>
    </row>
    <row r="10" spans="1:10">
      <c r="A10" s="439"/>
      <c r="B10" s="439"/>
      <c r="C10" s="439"/>
      <c r="D10" s="439"/>
      <c r="E10" s="439"/>
      <c r="F10" s="439"/>
      <c r="G10" s="439"/>
      <c r="H10" s="439"/>
    </row>
    <row r="11" spans="1:10">
      <c r="A11" s="439"/>
      <c r="B11" s="439"/>
      <c r="C11" s="439"/>
      <c r="D11" s="439"/>
      <c r="E11" s="439"/>
      <c r="F11" s="439"/>
      <c r="G11" s="439"/>
      <c r="H11" s="439"/>
    </row>
    <row r="12" spans="1:10">
      <c r="A12" s="439"/>
      <c r="B12" s="439"/>
      <c r="C12" s="439"/>
      <c r="D12" s="439"/>
      <c r="E12" s="439"/>
      <c r="F12" s="439"/>
      <c r="G12" s="439"/>
      <c r="H12" s="439"/>
    </row>
    <row r="13" spans="1:10">
      <c r="A13" s="439"/>
      <c r="B13" s="439"/>
      <c r="C13" s="439"/>
      <c r="D13" s="439"/>
      <c r="E13" s="439"/>
      <c r="F13" s="439"/>
      <c r="G13" s="439"/>
      <c r="H13" s="439"/>
    </row>
    <row r="14" spans="1:10">
      <c r="A14" s="439"/>
      <c r="B14" s="439"/>
      <c r="C14" s="439"/>
      <c r="D14" s="439"/>
      <c r="E14" s="439"/>
      <c r="F14" s="439"/>
      <c r="G14" s="439"/>
      <c r="H14" s="439"/>
    </row>
    <row r="15" spans="1:10">
      <c r="A15" s="439"/>
      <c r="B15" s="439"/>
      <c r="C15" s="439"/>
      <c r="D15" s="439"/>
      <c r="E15" s="439"/>
      <c r="F15" s="439"/>
      <c r="G15" s="439"/>
      <c r="H15" s="439"/>
    </row>
    <row r="16" spans="1:10">
      <c r="A16" s="439"/>
      <c r="B16" s="439"/>
      <c r="C16" s="439"/>
      <c r="D16" s="439"/>
      <c r="E16" s="439"/>
      <c r="F16" s="439"/>
      <c r="G16" s="439"/>
      <c r="H16" s="439"/>
    </row>
    <row r="17" spans="1:25">
      <c r="A17" s="439"/>
      <c r="B17" s="439"/>
      <c r="C17" s="439"/>
      <c r="D17" s="439"/>
      <c r="E17" s="439"/>
      <c r="F17" s="439"/>
      <c r="G17" s="439"/>
      <c r="H17" s="439"/>
    </row>
    <row r="18" spans="1:25">
      <c r="A18" s="439"/>
      <c r="B18" s="439"/>
      <c r="C18" s="439"/>
      <c r="D18" s="439"/>
      <c r="E18" s="439"/>
      <c r="F18" s="439"/>
      <c r="G18" s="439"/>
      <c r="H18" s="439"/>
      <c r="Y18">
        <v>27986</v>
      </c>
    </row>
    <row r="19" spans="1:25">
      <c r="A19" s="439"/>
      <c r="B19" s="439"/>
      <c r="C19" s="439"/>
      <c r="D19" s="439"/>
      <c r="E19" s="439"/>
      <c r="F19" s="439"/>
      <c r="G19" s="439"/>
      <c r="H19" s="439"/>
      <c r="Y19">
        <v>4831</v>
      </c>
    </row>
    <row r="20" spans="1:25">
      <c r="A20" s="439"/>
      <c r="B20" s="439"/>
      <c r="C20" s="439"/>
      <c r="D20" s="439"/>
      <c r="E20" s="439"/>
      <c r="F20" s="439"/>
      <c r="G20" s="439"/>
      <c r="H20" s="439"/>
    </row>
    <row r="21" spans="1:25">
      <c r="A21" s="439"/>
      <c r="B21" s="439"/>
      <c r="C21" s="439"/>
      <c r="D21" s="439"/>
      <c r="E21" s="439"/>
      <c r="F21" s="439"/>
      <c r="G21" s="439"/>
      <c r="H21" s="439"/>
    </row>
    <row r="22" spans="1:25">
      <c r="A22" s="439"/>
      <c r="B22" s="439"/>
      <c r="C22" s="439"/>
      <c r="D22" s="439"/>
      <c r="E22" s="439"/>
      <c r="F22" s="439"/>
      <c r="G22" s="439"/>
      <c r="H22" s="439"/>
    </row>
    <row r="23" spans="1:25">
      <c r="A23" s="439"/>
      <c r="B23" s="439"/>
      <c r="C23" s="439"/>
      <c r="D23" s="439"/>
      <c r="E23" s="439"/>
      <c r="F23" s="439"/>
      <c r="G23" s="439"/>
      <c r="H23" s="439"/>
    </row>
    <row r="24" spans="1:25">
      <c r="A24" s="439"/>
      <c r="B24" s="439"/>
      <c r="C24" s="439"/>
      <c r="D24" s="439"/>
      <c r="E24" s="439"/>
      <c r="F24" s="439"/>
      <c r="G24" s="439"/>
      <c r="H24" s="439"/>
    </row>
    <row r="25" spans="1:25">
      <c r="A25" s="439"/>
      <c r="B25" s="439"/>
      <c r="C25" s="439"/>
      <c r="D25" s="439"/>
      <c r="E25" s="439"/>
      <c r="F25" s="439"/>
      <c r="G25" s="439"/>
      <c r="H25" s="439"/>
    </row>
    <row r="26" spans="1:25">
      <c r="A26" s="439"/>
      <c r="B26" s="439"/>
      <c r="C26" s="439"/>
      <c r="D26" s="439"/>
      <c r="E26" s="439"/>
      <c r="F26" s="439"/>
      <c r="G26" s="439"/>
      <c r="H26" s="439"/>
    </row>
    <row r="27" spans="1:25">
      <c r="A27" s="439"/>
      <c r="B27" s="439"/>
      <c r="C27" s="439"/>
      <c r="D27" s="439"/>
      <c r="E27" s="439"/>
      <c r="F27" s="439"/>
      <c r="G27" s="439"/>
      <c r="H27" s="439"/>
    </row>
    <row r="28" spans="1:25">
      <c r="A28" s="439"/>
      <c r="B28" s="439"/>
      <c r="C28" s="439"/>
      <c r="D28" s="439"/>
      <c r="E28" s="439"/>
      <c r="F28" s="439"/>
      <c r="G28" s="439"/>
      <c r="H28" s="439"/>
    </row>
    <row r="29" spans="1:25">
      <c r="A29" s="439"/>
      <c r="B29" s="439"/>
      <c r="C29" s="439"/>
      <c r="D29" s="439"/>
      <c r="E29" s="439"/>
      <c r="F29" s="439"/>
      <c r="G29" s="439"/>
      <c r="H29" s="439"/>
    </row>
    <row r="31" spans="1:25">
      <c r="A31" s="378" t="s">
        <v>728</v>
      </c>
      <c r="B31" s="378"/>
      <c r="C31" s="378"/>
      <c r="D31" s="378"/>
      <c r="E31" s="378"/>
      <c r="F31" s="378"/>
      <c r="G31" s="378"/>
      <c r="H31" s="378"/>
    </row>
    <row r="44" spans="1:1">
      <c r="A44" t="s">
        <v>768</v>
      </c>
    </row>
    <row r="50" spans="20:20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&amp;CBench Request 10.4 - Attachment B&amp;RRevised Exhibit No. __(EMA-9)</oddHeader>
    <oddFooter>&amp;CWA 2018 Electric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view="pageBreakPreview" zoomScale="115" zoomScaleNormal="115" zoomScaleSheetLayoutView="115" workbookViewId="0">
      <selection sqref="A1:R1"/>
    </sheetView>
  </sheetViews>
  <sheetFormatPr defaultColWidth="9.140625" defaultRowHeight="12.75"/>
  <cols>
    <col min="1" max="1" width="33.140625" style="439" customWidth="1"/>
    <col min="2" max="2" width="10.28515625" style="439" bestFit="1" customWidth="1"/>
    <col min="3" max="3" width="11.5703125" style="439" bestFit="1" customWidth="1"/>
    <col min="4" max="10" width="10.28515625" style="439" bestFit="1" customWidth="1"/>
    <col min="11" max="11" width="9.140625" style="439"/>
    <col min="12" max="12" width="25.5703125" style="439" customWidth="1"/>
    <col min="13" max="21" width="10.28515625" style="439" bestFit="1" customWidth="1"/>
    <col min="22" max="16384" width="9.140625" style="439"/>
  </cols>
  <sheetData>
    <row r="1" spans="1:10">
      <c r="A1" s="953" t="s">
        <v>669</v>
      </c>
      <c r="B1" s="953"/>
      <c r="C1" s="953"/>
      <c r="D1" s="953"/>
      <c r="J1" s="789">
        <v>12.201499999999999</v>
      </c>
    </row>
    <row r="2" spans="1:10">
      <c r="B2" s="614">
        <v>2007</v>
      </c>
      <c r="C2" s="614">
        <v>2008</v>
      </c>
      <c r="D2" s="614">
        <v>2009</v>
      </c>
      <c r="E2" s="614">
        <v>2010</v>
      </c>
      <c r="F2" s="614">
        <v>2011</v>
      </c>
      <c r="G2" s="614">
        <v>2012</v>
      </c>
      <c r="H2" s="614">
        <v>2013</v>
      </c>
      <c r="I2" s="614">
        <v>2014</v>
      </c>
      <c r="J2" s="614">
        <v>2015</v>
      </c>
    </row>
    <row r="3" spans="1:10">
      <c r="A3" s="439" t="s">
        <v>400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Trends'!U104-2303</f>
        <v>136009</v>
      </c>
    </row>
    <row r="4" spans="1:10">
      <c r="H4" s="546"/>
      <c r="I4" s="546"/>
      <c r="J4" s="802" t="s">
        <v>510</v>
      </c>
    </row>
    <row r="5" spans="1:10">
      <c r="C5" s="788"/>
      <c r="H5" s="182"/>
      <c r="I5" s="409"/>
      <c r="J5" s="809" t="s">
        <v>699</v>
      </c>
    </row>
    <row r="6" spans="1:10">
      <c r="A6" s="439" t="s">
        <v>575</v>
      </c>
      <c r="B6" s="792">
        <v>5530.1</v>
      </c>
      <c r="H6" s="182"/>
      <c r="I6" s="182"/>
      <c r="J6" s="182"/>
    </row>
    <row r="7" spans="1:10" ht="13.5" thickBot="1">
      <c r="A7" s="439" t="s">
        <v>573</v>
      </c>
      <c r="B7" s="544">
        <f>B6/J3</f>
        <v>4.0659809277327236E-2</v>
      </c>
      <c r="C7" s="540"/>
      <c r="D7" s="540"/>
      <c r="E7" s="540"/>
      <c r="F7" s="540"/>
      <c r="G7" s="540"/>
    </row>
    <row r="8" spans="1:10" ht="13.5" thickBot="1">
      <c r="A8" s="440" t="s">
        <v>704</v>
      </c>
      <c r="B8" s="568">
        <f>B7*2.5</f>
        <v>0.10164952319331809</v>
      </c>
      <c r="C8" s="439" t="s">
        <v>574</v>
      </c>
      <c r="E8" s="546"/>
    </row>
    <row r="18" spans="1:25">
      <c r="Y18" s="439">
        <v>27986</v>
      </c>
    </row>
    <row r="19" spans="1:25">
      <c r="Y19" s="439">
        <v>4831</v>
      </c>
    </row>
    <row r="30" spans="1:25">
      <c r="A30" s="808" t="s">
        <v>712</v>
      </c>
    </row>
    <row r="44" spans="1:1">
      <c r="A44" s="439" t="s">
        <v>768</v>
      </c>
    </row>
  </sheetData>
  <mergeCells count="1">
    <mergeCell ref="A1:D1"/>
  </mergeCells>
  <printOptions horizontalCentered="1"/>
  <pageMargins left="0.7" right="0.7" top="0.75" bottom="0.75" header="0.3" footer="0.3"/>
  <pageSetup scale="98" orientation="landscape" r:id="rId1"/>
  <headerFooter scaleWithDoc="0">
    <oddHeader>&amp;CBench Request 10.4 - Attachment B&amp;RRevised Exhibit No. __(EMA-9)</oddHeader>
    <oddFooter>&amp;CWA 2018 Electric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workbookViewId="0">
      <selection sqref="A1:R1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382"/>
      <c r="B1" s="940" t="s">
        <v>457</v>
      </c>
      <c r="C1" s="940"/>
      <c r="D1" s="940"/>
      <c r="E1" s="940"/>
      <c r="F1" s="940"/>
      <c r="G1" s="940"/>
      <c r="H1" s="940"/>
      <c r="I1" s="940"/>
      <c r="J1" s="940"/>
      <c r="K1" s="382"/>
      <c r="L1" s="382"/>
      <c r="M1" s="382"/>
      <c r="N1" s="382"/>
      <c r="P1" s="39"/>
      <c r="Q1" s="82"/>
    </row>
    <row r="2" spans="1:30" ht="21" thickBot="1">
      <c r="A2" s="798"/>
      <c r="B2" s="954" t="s">
        <v>705</v>
      </c>
      <c r="C2" s="954"/>
      <c r="D2" s="954"/>
      <c r="E2" s="954"/>
      <c r="F2" s="954"/>
      <c r="G2" s="954"/>
      <c r="H2" s="954"/>
      <c r="I2" s="954"/>
      <c r="J2" s="954"/>
    </row>
    <row r="3" spans="1:30">
      <c r="A3" s="798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0" t="s">
        <v>3</v>
      </c>
      <c r="B4" s="206"/>
      <c r="C4" s="206"/>
      <c r="D4" s="206"/>
      <c r="E4" s="207" t="s">
        <v>229</v>
      </c>
      <c r="F4" s="207" t="s">
        <v>30</v>
      </c>
      <c r="G4" s="208" t="s">
        <v>112</v>
      </c>
      <c r="H4" s="207" t="s">
        <v>47</v>
      </c>
      <c r="I4" s="208"/>
      <c r="J4" s="209" t="s">
        <v>124</v>
      </c>
      <c r="U4" s="346"/>
      <c r="V4" s="345"/>
      <c r="W4" s="140"/>
    </row>
    <row r="5" spans="1:30" ht="14.45" customHeight="1">
      <c r="A5" s="240"/>
      <c r="B5" s="210" t="s">
        <v>98</v>
      </c>
      <c r="C5" s="210"/>
      <c r="D5" s="210" t="s">
        <v>99</v>
      </c>
      <c r="E5" s="207" t="s">
        <v>594</v>
      </c>
      <c r="F5" s="207" t="s">
        <v>706</v>
      </c>
      <c r="G5" s="207" t="s">
        <v>118</v>
      </c>
      <c r="H5" s="207" t="s">
        <v>594</v>
      </c>
      <c r="I5" s="208" t="s">
        <v>469</v>
      </c>
      <c r="J5" s="212"/>
      <c r="U5" s="346"/>
      <c r="V5" s="346"/>
      <c r="W5" s="140"/>
      <c r="AB5" s="140"/>
    </row>
    <row r="6" spans="1:30">
      <c r="A6" s="799"/>
      <c r="B6" s="213"/>
      <c r="C6" s="213"/>
      <c r="D6" s="213"/>
      <c r="E6" s="214" t="s">
        <v>120</v>
      </c>
      <c r="F6" s="214" t="s">
        <v>121</v>
      </c>
      <c r="G6" s="214" t="s">
        <v>395</v>
      </c>
      <c r="H6" s="214" t="s">
        <v>122</v>
      </c>
      <c r="I6" s="215" t="s">
        <v>123</v>
      </c>
      <c r="J6" s="214" t="s">
        <v>252</v>
      </c>
      <c r="K6" s="134" t="s">
        <v>255</v>
      </c>
      <c r="L6" s="134" t="s">
        <v>132</v>
      </c>
      <c r="M6" s="135" t="s">
        <v>256</v>
      </c>
      <c r="U6" s="344"/>
      <c r="V6" s="142"/>
      <c r="W6" s="142"/>
      <c r="X6" s="142"/>
      <c r="Y6" s="142"/>
      <c r="Z6" s="140"/>
    </row>
    <row r="7" spans="1:30">
      <c r="A7" s="799">
        <v>1</v>
      </c>
      <c r="B7" s="216" t="s">
        <v>100</v>
      </c>
      <c r="C7" s="216" t="s">
        <v>119</v>
      </c>
      <c r="D7" s="217" t="s">
        <v>101</v>
      </c>
      <c r="E7" s="617">
        <f>'09.2015 Rev Model'!D25</f>
        <v>2481909</v>
      </c>
      <c r="F7" s="617">
        <f>'2017-18 Forecast Billing Determ'!D6</f>
        <v>2541558</v>
      </c>
      <c r="G7" s="219">
        <f>(F7-E7)/E7</f>
        <v>2.4033516136167766E-2</v>
      </c>
      <c r="H7" s="617">
        <f>'09.2015 Rev Model'!D111</f>
        <v>21096226.5</v>
      </c>
      <c r="I7" s="219">
        <f>H7/$H$25</f>
        <v>4.2613131965131314E-2</v>
      </c>
      <c r="J7" s="219">
        <f>I7*G7</f>
        <v>1.0241433946966299E-3</v>
      </c>
      <c r="K7" s="129">
        <f>E7/$E$27</f>
        <v>0.85443324934426212</v>
      </c>
      <c r="L7" s="130">
        <f>I7-K7</f>
        <v>-0.81182011737913085</v>
      </c>
      <c r="M7" s="133">
        <f>L7*G7</f>
        <v>-1.9510891890696949E-2</v>
      </c>
      <c r="N7" s="127"/>
      <c r="O7" s="137" t="s">
        <v>253</v>
      </c>
      <c r="P7" s="126" t="s">
        <v>254</v>
      </c>
      <c r="Q7" s="127"/>
      <c r="T7" s="278"/>
      <c r="U7" s="343"/>
      <c r="V7" s="143"/>
      <c r="W7" s="141"/>
      <c r="X7" s="141"/>
      <c r="Y7" s="141"/>
      <c r="AB7" s="141"/>
      <c r="AC7" s="141"/>
    </row>
    <row r="8" spans="1:30">
      <c r="A8" s="799">
        <v>2</v>
      </c>
      <c r="B8" s="216" t="s">
        <v>102</v>
      </c>
      <c r="C8" s="216" t="s">
        <v>119</v>
      </c>
      <c r="D8" s="217" t="s">
        <v>103</v>
      </c>
      <c r="E8" s="617">
        <f>'09.2015 Rev Model'!E25</f>
        <v>369248</v>
      </c>
      <c r="F8" s="617">
        <f>'2017-18 Forecast Billing Determ'!D7+'2017-18 Forecast Billing Determ'!D8</f>
        <v>380481.74680508953</v>
      </c>
      <c r="G8" s="219">
        <f t="shared" ref="G8:G22" si="0">(F8-E8)/E8</f>
        <v>3.0423311175929255E-2</v>
      </c>
      <c r="H8" s="617">
        <f>'09.2015 Rev Model'!E111</f>
        <v>6646464</v>
      </c>
      <c r="I8" s="219">
        <f>H8/$H$25</f>
        <v>1.3425464859011376E-2</v>
      </c>
      <c r="J8" s="219">
        <f>I8*G8</f>
        <v>4.0844709508720627E-4</v>
      </c>
      <c r="K8" s="129">
        <f>E8/$E$27</f>
        <v>0.12711899124982831</v>
      </c>
      <c r="L8" s="130">
        <f>I8-K8</f>
        <v>-0.11369352639081694</v>
      </c>
      <c r="M8" s="133">
        <f>L8*G8</f>
        <v>-3.4589335320765486E-3</v>
      </c>
      <c r="N8" s="127"/>
      <c r="O8" s="127"/>
      <c r="P8" s="127"/>
      <c r="T8" s="278"/>
      <c r="U8" s="343"/>
      <c r="V8" s="143"/>
      <c r="W8" s="141"/>
      <c r="X8" s="141"/>
      <c r="Y8" s="141"/>
      <c r="AB8" s="141"/>
      <c r="AC8" s="141"/>
    </row>
    <row r="9" spans="1:30">
      <c r="A9" s="799">
        <v>3</v>
      </c>
      <c r="B9" s="216" t="s">
        <v>104</v>
      </c>
      <c r="C9" s="216" t="s">
        <v>359</v>
      </c>
      <c r="D9" s="217" t="s">
        <v>105</v>
      </c>
      <c r="E9" s="617">
        <f>'09.2015 Rev Model'!F25</f>
        <v>24164</v>
      </c>
      <c r="F9" s="617">
        <f>'2017-18 Forecast Billing Determ'!D9+'2017-18 Forecast Billing Determ'!D10</f>
        <v>24311.489303562837</v>
      </c>
      <c r="G9" s="219">
        <f t="shared" si="0"/>
        <v>6.1036791740952433E-3</v>
      </c>
      <c r="H9" s="617">
        <f>'09.2015 Rev Model'!F117</f>
        <v>12082000</v>
      </c>
      <c r="I9" s="219">
        <f t="shared" ref="I9:I22" si="1">H9/$H$25</f>
        <v>2.4404926653717744E-2</v>
      </c>
      <c r="J9" s="219">
        <f>I9*G9</f>
        <v>1.4895984256161891E-4</v>
      </c>
      <c r="K9" s="129"/>
      <c r="L9" s="127"/>
      <c r="M9" s="127"/>
      <c r="N9" s="127"/>
      <c r="O9" s="127"/>
      <c r="P9" s="127"/>
      <c r="T9" s="278"/>
      <c r="U9" s="343"/>
      <c r="V9" s="143"/>
      <c r="W9" s="141"/>
      <c r="X9" s="141"/>
      <c r="Y9" s="141"/>
      <c r="AB9" s="141"/>
      <c r="AC9" s="141"/>
    </row>
    <row r="10" spans="1:30">
      <c r="A10" s="799">
        <v>4</v>
      </c>
      <c r="B10" s="216" t="s">
        <v>106</v>
      </c>
      <c r="C10" s="216" t="s">
        <v>359</v>
      </c>
      <c r="D10" s="217" t="s">
        <v>107</v>
      </c>
      <c r="E10" s="617">
        <f>'09.2015 Rev Model'!G25</f>
        <v>252</v>
      </c>
      <c r="F10" s="617">
        <f>'2017-18 Forecast Billing Determ'!D11</f>
        <v>253.69131118641843</v>
      </c>
      <c r="G10" s="219">
        <f t="shared" si="0"/>
        <v>6.7115523270572684E-3</v>
      </c>
      <c r="H10" s="617">
        <f>'09.2015 Rev Model'!G117</f>
        <v>5292000</v>
      </c>
      <c r="I10" s="219">
        <f t="shared" si="1"/>
        <v>1.0689527549368838E-2</v>
      </c>
      <c r="J10" s="219">
        <f>I10*G10</f>
        <v>7.1743323499109208E-5</v>
      </c>
      <c r="K10" s="129"/>
      <c r="L10" s="127"/>
      <c r="M10" s="127"/>
      <c r="N10" s="127"/>
      <c r="O10" s="127"/>
      <c r="P10" s="127"/>
      <c r="T10" s="278"/>
      <c r="U10" s="343"/>
      <c r="V10" s="143"/>
      <c r="W10" s="141"/>
      <c r="X10" s="141"/>
      <c r="Y10" s="141"/>
      <c r="AB10" s="141"/>
      <c r="AC10" s="141"/>
    </row>
    <row r="11" spans="1:30">
      <c r="A11" s="799">
        <v>5</v>
      </c>
      <c r="B11" s="216" t="s">
        <v>108</v>
      </c>
      <c r="C11" s="216" t="s">
        <v>119</v>
      </c>
      <c r="D11" s="217" t="s">
        <v>109</v>
      </c>
      <c r="E11" s="617">
        <f>'09.2015 Rev Model'!H25</f>
        <v>29169.999999999996</v>
      </c>
      <c r="F11" s="617">
        <f>'2017-18 Forecast Billing Determ'!D13+'2017-18 Forecast Billing Determ'!D14</f>
        <v>29690.883554065047</v>
      </c>
      <c r="G11" s="219">
        <f t="shared" si="0"/>
        <v>1.7856823930923922E-2</v>
      </c>
      <c r="H11" s="617">
        <f>'09.2015 Rev Model'!H111</f>
        <v>525059.99999999988</v>
      </c>
      <c r="I11" s="219">
        <f t="shared" si="1"/>
        <v>1.0605901993710508E-3</v>
      </c>
      <c r="J11" s="220">
        <f>I11*G11</f>
        <v>1.8938772453032356E-5</v>
      </c>
      <c r="K11" s="129">
        <f>E11/$E$28</f>
        <v>5.1287347367457841E-6</v>
      </c>
      <c r="L11" s="130">
        <f>I11-K11</f>
        <v>1.0554614646343051E-3</v>
      </c>
      <c r="M11" s="133">
        <f>L11*G11</f>
        <v>1.8847189539849874E-5</v>
      </c>
      <c r="N11" s="128">
        <f>SUM(M7:M11)</f>
        <v>-2.2950978233233645E-2</v>
      </c>
      <c r="O11" s="128">
        <f>SUM(I7:I11)</f>
        <v>9.2193641226600315E-2</v>
      </c>
      <c r="P11" s="131">
        <f>N11*O11</f>
        <v>-2.1159342530342557E-3</v>
      </c>
      <c r="T11" s="278"/>
      <c r="U11" s="343"/>
      <c r="V11" s="143"/>
      <c r="W11" s="141"/>
      <c r="X11" s="141"/>
      <c r="Y11" s="141"/>
      <c r="AB11" s="141"/>
      <c r="AC11" s="141"/>
    </row>
    <row r="12" spans="1:30">
      <c r="A12" s="799">
        <v>6</v>
      </c>
      <c r="B12" s="221" t="s">
        <v>110</v>
      </c>
      <c r="C12" s="221" t="s">
        <v>119</v>
      </c>
      <c r="D12" s="221" t="s">
        <v>111</v>
      </c>
      <c r="E12" s="618"/>
      <c r="F12" s="618"/>
      <c r="G12" s="222"/>
      <c r="H12" s="617"/>
      <c r="I12" s="219"/>
      <c r="J12" s="220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799">
        <v>7</v>
      </c>
      <c r="B13" s="216" t="s">
        <v>100</v>
      </c>
      <c r="C13" s="216" t="s">
        <v>113</v>
      </c>
      <c r="D13" s="217" t="s">
        <v>101</v>
      </c>
      <c r="E13" s="617">
        <f>'09.2015 Rev Model'!D23</f>
        <v>2375997614</v>
      </c>
      <c r="F13" s="617">
        <f>'2017-18 Forecast Billing Determ'!D69</f>
        <v>2475322184.7001238</v>
      </c>
      <c r="G13" s="219">
        <f t="shared" si="0"/>
        <v>4.1803312475937437E-2</v>
      </c>
      <c r="H13" s="619">
        <f>'09.2015 Rev Model'!D152-H7-H19</f>
        <v>189973890.14000005</v>
      </c>
      <c r="I13" s="698">
        <f t="shared" si="1"/>
        <v>0.38373604163119795</v>
      </c>
      <c r="J13" s="698">
        <f t="shared" ref="J13:J18" si="2">I13*G13</f>
        <v>1.6041437656588307E-2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-1.422030837141123E-3</v>
      </c>
      <c r="N13" s="127"/>
      <c r="O13" s="127"/>
      <c r="P13" s="127"/>
      <c r="U13" s="343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799">
        <v>8</v>
      </c>
      <c r="B14" s="216" t="s">
        <v>102</v>
      </c>
      <c r="C14" s="216" t="s">
        <v>113</v>
      </c>
      <c r="D14" s="217" t="s">
        <v>103</v>
      </c>
      <c r="E14" s="617">
        <f>'09.2015 Rev Model'!E23</f>
        <v>596483095</v>
      </c>
      <c r="F14" s="617">
        <f>'2017-18 Forecast Billing Determ'!D70+'2017-18 Forecast Billing Determ'!D71</f>
        <v>597923946.92225575</v>
      </c>
      <c r="G14" s="219">
        <f t="shared" si="0"/>
        <v>2.4155788057258431E-3</v>
      </c>
      <c r="H14" s="617">
        <f>'09.2015 Rev Model'!E152-H8-H20</f>
        <v>61874874.780000001</v>
      </c>
      <c r="I14" s="219">
        <f t="shared" si="1"/>
        <v>0.12498359383495032</v>
      </c>
      <c r="J14" s="219">
        <f t="shared" si="2"/>
        <v>3.0190772033115315E-4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4.8573908052098457E-5</v>
      </c>
      <c r="N14" s="127"/>
      <c r="O14" s="127"/>
      <c r="P14" s="127"/>
      <c r="U14" s="343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799">
        <v>9</v>
      </c>
      <c r="B15" s="216" t="s">
        <v>104</v>
      </c>
      <c r="C15" s="216" t="s">
        <v>113</v>
      </c>
      <c r="D15" s="217" t="s">
        <v>105</v>
      </c>
      <c r="E15" s="617">
        <f>'09.2015 Rev Model'!F23</f>
        <v>1425928125</v>
      </c>
      <c r="F15" s="617">
        <f>'2017-18 Forecast Billing Determ'!D72+'2017-18 Forecast Billing Determ'!D73</f>
        <v>1432860628.5946941</v>
      </c>
      <c r="G15" s="219">
        <f t="shared" si="0"/>
        <v>4.8617482698815112E-3</v>
      </c>
      <c r="H15" s="617">
        <f>'09.2015 Rev Model'!F152-H9-H21</f>
        <v>99936476.840000018</v>
      </c>
      <c r="I15" s="219">
        <f t="shared" si="1"/>
        <v>0.20186578276040079</v>
      </c>
      <c r="J15" s="219">
        <f t="shared" si="2"/>
        <v>9.8142062008365564E-4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-2.3746768978000026E-4</v>
      </c>
      <c r="N15" s="127"/>
      <c r="O15" s="127"/>
      <c r="P15" s="127"/>
      <c r="U15" s="343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799">
        <v>10</v>
      </c>
      <c r="B16" s="216" t="s">
        <v>106</v>
      </c>
      <c r="C16" s="216" t="s">
        <v>113</v>
      </c>
      <c r="D16" s="217" t="s">
        <v>107</v>
      </c>
      <c r="E16" s="617">
        <f>'09.2015 Rev Model'!G23</f>
        <v>1108671541</v>
      </c>
      <c r="F16" s="617">
        <f>'2017-18 Forecast Billing Determ'!D74</f>
        <v>1156202202.2462847</v>
      </c>
      <c r="G16" s="219">
        <f t="shared" si="0"/>
        <v>4.2871724842339684E-2</v>
      </c>
      <c r="H16" s="617">
        <f>'09.2015 Rev Model'!G152-H10-H22</f>
        <v>52632199.86999999</v>
      </c>
      <c r="I16" s="219">
        <f t="shared" si="1"/>
        <v>0.1063139362234036</v>
      </c>
      <c r="J16" s="219">
        <f t="shared" si="2"/>
        <v>4.5578618206758093E-3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-3.7990855017210764E-3</v>
      </c>
      <c r="N16" s="127"/>
      <c r="O16" s="127"/>
      <c r="P16" s="127"/>
      <c r="U16" s="343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799">
        <v>11</v>
      </c>
      <c r="B17" s="216" t="s">
        <v>108</v>
      </c>
      <c r="C17" s="216" t="s">
        <v>113</v>
      </c>
      <c r="D17" s="217" t="s">
        <v>109</v>
      </c>
      <c r="E17" s="617">
        <f>'09.2015 Rev Model'!H23</f>
        <v>154884909.26666999</v>
      </c>
      <c r="F17" s="617">
        <f>'2017-18 Forecast Billing Determ'!D76+'2017-18 Forecast Billing Determ'!D77</f>
        <v>133241503.33816938</v>
      </c>
      <c r="G17" s="219">
        <f t="shared" si="0"/>
        <v>-0.13973863581013246</v>
      </c>
      <c r="H17" s="617">
        <f>'09.2015 Rev Model'!H152-H11-H23</f>
        <v>11985355.1</v>
      </c>
      <c r="I17" s="219">
        <f>H17/$H$25</f>
        <v>2.4209709661832633E-2</v>
      </c>
      <c r="J17" s="220">
        <f t="shared" si="2"/>
        <v>-3.3830318015038753E-3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4.2236030706625533E-4</v>
      </c>
      <c r="N17" s="127"/>
      <c r="O17" s="127"/>
      <c r="P17" s="127"/>
      <c r="U17" s="343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799">
        <v>12</v>
      </c>
      <c r="B18" s="221" t="s">
        <v>110</v>
      </c>
      <c r="C18" s="221" t="s">
        <v>113</v>
      </c>
      <c r="D18" s="221" t="s">
        <v>111</v>
      </c>
      <c r="E18" s="618">
        <f>'09.2015 Rev Model'!I23</f>
        <v>25597340.293740001</v>
      </c>
      <c r="F18" s="618">
        <f>'2017-18 Forecast Billing Determ'!D78</f>
        <v>24397324.476858344</v>
      </c>
      <c r="G18" s="222">
        <v>0</v>
      </c>
      <c r="H18" s="618">
        <f>'09.2015 Rev Model'!I152-H12</f>
        <v>6952992.1202784004</v>
      </c>
      <c r="I18" s="220">
        <f t="shared" si="1"/>
        <v>1.40446335639192E-2</v>
      </c>
      <c r="J18" s="220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-4.9876498135238458E-3</v>
      </c>
      <c r="O18" s="128">
        <f>SUM(I13:I18)</f>
        <v>0.85515369767570448</v>
      </c>
      <c r="P18" s="131">
        <f>N18*O18</f>
        <v>-4.2652071807464543E-3</v>
      </c>
      <c r="U18" s="343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799">
        <v>13</v>
      </c>
      <c r="B19" s="216" t="s">
        <v>100</v>
      </c>
      <c r="C19" s="216" t="s">
        <v>114</v>
      </c>
      <c r="D19" s="217" t="s">
        <v>101</v>
      </c>
      <c r="E19" s="617"/>
      <c r="F19" s="223"/>
      <c r="G19" s="219"/>
      <c r="H19" s="617"/>
      <c r="I19" s="698"/>
      <c r="J19" s="698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/>
      <c r="Z19" s="143"/>
      <c r="AA19" s="143"/>
      <c r="AB19" s="141"/>
      <c r="AC19" s="141"/>
    </row>
    <row r="20" spans="1:30">
      <c r="A20" s="799">
        <v>14</v>
      </c>
      <c r="B20" s="216" t="s">
        <v>102</v>
      </c>
      <c r="C20" s="216" t="s">
        <v>114</v>
      </c>
      <c r="D20" s="217" t="s">
        <v>103</v>
      </c>
      <c r="E20" s="617">
        <f>'09.2015 Rev Model'!E27</f>
        <v>407826</v>
      </c>
      <c r="F20" s="617">
        <f>'2017-18 Forecast Billing Determ'!D42+'2017-18 Forecast Billing Determ'!D43</f>
        <v>402284</v>
      </c>
      <c r="G20" s="219">
        <f t="shared" si="0"/>
        <v>-1.3589128697042365E-2</v>
      </c>
      <c r="H20" s="617">
        <f>'09.2015 Rev Model'!E118+'09.2015 Rev Model'!E119</f>
        <v>2453871</v>
      </c>
      <c r="I20" s="219">
        <f t="shared" si="1"/>
        <v>4.956674538378167E-3</v>
      </c>
      <c r="J20" s="219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43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799">
        <v>15</v>
      </c>
      <c r="B21" s="216" t="s">
        <v>104</v>
      </c>
      <c r="C21" s="216" t="s">
        <v>114</v>
      </c>
      <c r="D21" s="217" t="s">
        <v>105</v>
      </c>
      <c r="E21" s="617">
        <f>'09.2015 Rev Model'!F27</f>
        <v>2838029.5333333332</v>
      </c>
      <c r="F21" s="617">
        <f>'2017-18 Forecast Billing Determ'!D44+'2017-18 Forecast Billing Determ'!D45</f>
        <v>2748136</v>
      </c>
      <c r="G21" s="219">
        <f t="shared" si="0"/>
        <v>-3.1674629272709191E-2</v>
      </c>
      <c r="H21" s="617">
        <f>'09.2015 Rev Model'!F118+'09.2015 Rev Model'!F119+'09.2015 Rev Model'!F120</f>
        <v>17086327.099999998</v>
      </c>
      <c r="I21" s="219">
        <f t="shared" si="1"/>
        <v>3.4513371929889895E-2</v>
      </c>
      <c r="J21" s="219">
        <f>I21*G21</f>
        <v>-1.0931982608303901E-3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1.871099329785586E-2</v>
      </c>
      <c r="N21" s="127"/>
      <c r="O21" s="127"/>
      <c r="P21" s="127"/>
      <c r="U21" s="541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799">
        <v>16</v>
      </c>
      <c r="B22" s="216" t="s">
        <v>106</v>
      </c>
      <c r="C22" s="216" t="s">
        <v>114</v>
      </c>
      <c r="D22" s="217" t="s">
        <v>107</v>
      </c>
      <c r="E22" s="617">
        <f>'09.2015 Rev Model'!G27</f>
        <v>1293261</v>
      </c>
      <c r="F22" s="617">
        <f>'2017-18 Forecast Billing Determ'!D46</f>
        <v>1290752</v>
      </c>
      <c r="G22" s="219">
        <f t="shared" si="0"/>
        <v>-1.9400569567937175E-3</v>
      </c>
      <c r="H22" s="617">
        <f>'09.2015 Rev Model'!G118+'09.2015 Rev Model'!G120</f>
        <v>6526237.5999999996</v>
      </c>
      <c r="I22" s="219">
        <f t="shared" si="1"/>
        <v>1.3182614629426825E-2</v>
      </c>
      <c r="J22" s="219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2.0391754557964454E-2</v>
      </c>
      <c r="O22" s="128">
        <f>SUM(I20:I22)</f>
        <v>5.265266109769489E-2</v>
      </c>
      <c r="P22" s="131">
        <f>N22*O22</f>
        <v>1.0736801419278775E-3</v>
      </c>
      <c r="U22" s="343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799">
        <v>17</v>
      </c>
      <c r="B23" s="216" t="s">
        <v>108</v>
      </c>
      <c r="C23" s="216" t="s">
        <v>114</v>
      </c>
      <c r="D23" s="217" t="s">
        <v>109</v>
      </c>
      <c r="E23" s="617"/>
      <c r="F23" s="224"/>
      <c r="G23" s="225"/>
      <c r="H23" s="617"/>
      <c r="I23" s="219"/>
      <c r="J23" s="219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799">
        <v>18</v>
      </c>
      <c r="B24" s="226" t="s">
        <v>110</v>
      </c>
      <c r="C24" s="226" t="s">
        <v>114</v>
      </c>
      <c r="D24" s="226" t="s">
        <v>111</v>
      </c>
      <c r="E24" s="620"/>
      <c r="F24" s="227"/>
      <c r="G24" s="228"/>
      <c r="H24" s="620"/>
      <c r="I24" s="229"/>
      <c r="J24" s="220"/>
      <c r="M24" s="383"/>
      <c r="N24" s="127"/>
      <c r="O24" s="128">
        <f>O11+O18+O22</f>
        <v>0.99999999999999967</v>
      </c>
      <c r="P24" s="128">
        <f>P11+P18+P22</f>
        <v>-5.307461291852833E-3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799">
        <v>19</v>
      </c>
      <c r="B25" s="206" t="s">
        <v>8</v>
      </c>
      <c r="C25" s="206"/>
      <c r="D25" s="206"/>
      <c r="E25" s="617"/>
      <c r="F25" s="621"/>
      <c r="G25" s="209"/>
      <c r="H25" s="622">
        <f>SUM(H7:H24)</f>
        <v>495063975.0502786</v>
      </c>
      <c r="I25" s="219">
        <f>SUM(I7:I24)</f>
        <v>0.99999999999999956</v>
      </c>
      <c r="J25" s="700">
        <f>SUM(J7:J24)</f>
        <v>1.8985698272210333E-2</v>
      </c>
      <c r="K25" s="136"/>
      <c r="L25" s="136"/>
      <c r="M25" s="136"/>
      <c r="P25" s="128">
        <f>J25-P24</f>
        <v>2.4293159564063166E-2</v>
      </c>
      <c r="V25" s="230"/>
    </row>
    <row r="26" spans="1:30" ht="16.5" thickTop="1" thickBot="1">
      <c r="A26" s="799"/>
      <c r="B26" s="206"/>
      <c r="C26" s="206"/>
      <c r="D26" s="206"/>
      <c r="E26" s="617"/>
      <c r="F26" s="621"/>
      <c r="G26" s="231"/>
      <c r="H26" s="622"/>
      <c r="I26" s="218"/>
      <c r="J26" s="230"/>
    </row>
    <row r="27" spans="1:30">
      <c r="A27" s="799"/>
      <c r="B27" s="305" t="s">
        <v>129</v>
      </c>
      <c r="C27" s="306"/>
      <c r="D27" s="306"/>
      <c r="E27" s="623">
        <f>SUM(E7:E12)</f>
        <v>2904743</v>
      </c>
      <c r="F27" s="623">
        <f>SUM(F7:F12)</f>
        <v>2976295.8109739041</v>
      </c>
      <c r="G27" s="307">
        <f>(F27-E27)/E27</f>
        <v>2.4633095242472085E-2</v>
      </c>
      <c r="H27" s="624"/>
      <c r="I27" s="307"/>
      <c r="J27" s="308"/>
    </row>
    <row r="28" spans="1:30">
      <c r="A28" s="799"/>
      <c r="B28" s="309" t="s">
        <v>130</v>
      </c>
      <c r="C28" s="211"/>
      <c r="D28" s="211"/>
      <c r="E28" s="625">
        <f>SUM(E13:E18)</f>
        <v>5687562624.5604105</v>
      </c>
      <c r="F28" s="625">
        <f>SUM(F13:F18)</f>
        <v>5819947790.2783852</v>
      </c>
      <c r="G28" s="219">
        <f>(F28-E28)/E28</f>
        <v>2.3276256360905856E-2</v>
      </c>
      <c r="H28" s="626"/>
      <c r="I28" s="220"/>
      <c r="J28" s="310"/>
    </row>
    <row r="29" spans="1:30">
      <c r="A29" s="799"/>
      <c r="B29" s="309" t="s">
        <v>131</v>
      </c>
      <c r="C29" s="211"/>
      <c r="D29" s="211"/>
      <c r="E29" s="625">
        <f>SUM(E19:E24)</f>
        <v>4539116.5333333332</v>
      </c>
      <c r="F29" s="625">
        <f>SUM(F19:F24)</f>
        <v>4441172</v>
      </c>
      <c r="G29" s="219">
        <f>(F29-E29)/E29</f>
        <v>-2.157788473022677E-2</v>
      </c>
      <c r="H29" s="626"/>
      <c r="I29" s="220"/>
      <c r="J29" s="310"/>
    </row>
    <row r="30" spans="1:30" ht="15.75" thickBot="1">
      <c r="A30" s="799"/>
      <c r="B30" s="311"/>
      <c r="C30" s="312"/>
      <c r="D30" s="312"/>
      <c r="E30" s="627"/>
      <c r="F30" s="627"/>
      <c r="G30" s="313"/>
      <c r="H30" s="627"/>
      <c r="I30" s="313"/>
      <c r="J30" s="314"/>
    </row>
    <row r="31" spans="1:30">
      <c r="A31" s="142"/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30">
      <c r="A32" s="142"/>
      <c r="B32" s="232"/>
      <c r="C32" s="232"/>
      <c r="D32" s="232"/>
      <c r="E32" s="212"/>
      <c r="F32" s="212"/>
      <c r="G32" s="232"/>
      <c r="H32" s="315"/>
      <c r="I32" s="316"/>
      <c r="J32" s="220"/>
      <c r="K32" s="64" t="e">
        <f>(K26/K28)*2</f>
        <v>#DIV/0!</v>
      </c>
      <c r="Z32" s="144"/>
      <c r="AD32" s="144"/>
    </row>
    <row r="44" spans="1:1">
      <c r="A44" s="64" t="s">
        <v>768</v>
      </c>
    </row>
  </sheetData>
  <mergeCells count="2">
    <mergeCell ref="B2:J2"/>
    <mergeCell ref="B1:J1"/>
  </mergeCells>
  <phoneticPr fontId="55" type="noConversion"/>
  <printOptions horizontalCentered="1"/>
  <pageMargins left="0.7" right="0.7" top="0.75" bottom="0.75" header="0.3" footer="0.3"/>
  <pageSetup scale="77" orientation="landscape" r:id="rId1"/>
  <headerFooter scaleWithDoc="0">
    <oddHeader>&amp;CBench Request 10.4 - Attachment B&amp;RRevised Exhibit No. __(EMA-9)</oddHeader>
    <oddFooter>&amp;CWA 2018 Electric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6"/>
  <sheetViews>
    <sheetView tabSelected="1" view="pageBreakPreview" topLeftCell="A19" zoomScale="115" zoomScaleNormal="100" zoomScaleSheetLayoutView="115" workbookViewId="0">
      <selection sqref="A1:R1"/>
    </sheetView>
  </sheetViews>
  <sheetFormatPr defaultColWidth="9.140625" defaultRowHeight="12.75"/>
  <cols>
    <col min="1" max="1" width="22.140625" style="616" customWidth="1"/>
    <col min="2" max="2" width="9.140625" style="616"/>
    <col min="3" max="3" width="11.28515625" style="616" customWidth="1"/>
    <col min="4" max="4" width="9.85546875" style="616" customWidth="1"/>
    <col min="5" max="5" width="8" style="13" customWidth="1"/>
    <col min="6" max="6" width="12.140625" style="13" customWidth="1"/>
    <col min="7" max="7" width="3.7109375" style="13" customWidth="1"/>
    <col min="8" max="8" width="2.85546875" style="13" customWidth="1"/>
    <col min="9" max="9" width="22.140625" style="616" customWidth="1"/>
    <col min="10" max="10" width="9.140625" style="616"/>
    <col min="11" max="11" width="11.28515625" style="616" customWidth="1"/>
    <col min="12" max="12" width="9.85546875" style="616" customWidth="1"/>
    <col min="13" max="13" width="8" style="616" customWidth="1"/>
    <col min="14" max="14" width="12.140625" style="616" customWidth="1"/>
    <col min="15" max="15" width="3.7109375" style="616" customWidth="1"/>
    <col min="16" max="16" width="11.42578125" style="616" bestFit="1" customWidth="1"/>
    <col min="17" max="17" width="2.85546875" style="616" customWidth="1"/>
    <col min="18" max="18" width="12.140625" style="616" customWidth="1"/>
    <col min="19" max="16384" width="9.140625" style="13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 t="s">
        <v>6</v>
      </c>
      <c r="J1" s="53"/>
      <c r="K1" s="53"/>
      <c r="L1" s="53"/>
      <c r="M1" s="53"/>
      <c r="N1" s="53"/>
      <c r="O1" s="53"/>
      <c r="P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 t="s">
        <v>125</v>
      </c>
      <c r="J2" s="53"/>
      <c r="K2" s="53"/>
      <c r="L2" s="53"/>
      <c r="M2" s="53"/>
      <c r="N2" s="53"/>
      <c r="O2" s="53"/>
      <c r="P2" s="603" t="s">
        <v>732</v>
      </c>
      <c r="Q2" s="791"/>
      <c r="R2" s="603" t="s">
        <v>732</v>
      </c>
    </row>
    <row r="3" spans="1:18">
      <c r="A3" s="54" t="s">
        <v>737</v>
      </c>
      <c r="B3" s="53"/>
      <c r="C3" s="53"/>
      <c r="D3" s="53"/>
      <c r="E3" s="53"/>
      <c r="F3" s="53"/>
      <c r="G3" s="53"/>
      <c r="H3" s="53"/>
      <c r="I3" s="54" t="s">
        <v>589</v>
      </c>
      <c r="J3" s="53"/>
      <c r="K3" s="53"/>
      <c r="L3" s="53"/>
      <c r="M3" s="53"/>
      <c r="N3" s="53"/>
      <c r="O3" s="53"/>
      <c r="P3" s="603" t="s">
        <v>733</v>
      </c>
      <c r="Q3" s="791"/>
      <c r="R3" s="603" t="s">
        <v>733</v>
      </c>
    </row>
    <row r="4" spans="1:18" ht="15">
      <c r="A4" s="955" t="s">
        <v>730</v>
      </c>
      <c r="B4" s="955"/>
      <c r="C4" s="955"/>
      <c r="D4" s="955"/>
      <c r="E4" s="955"/>
      <c r="F4" s="955"/>
      <c r="G4" s="70"/>
      <c r="I4" s="955" t="s">
        <v>731</v>
      </c>
      <c r="J4" s="955"/>
      <c r="K4" s="955"/>
      <c r="L4" s="955"/>
      <c r="M4" s="955"/>
      <c r="N4" s="955"/>
      <c r="O4" s="70"/>
      <c r="P4" s="603" t="s">
        <v>734</v>
      </c>
      <c r="Q4" s="791"/>
      <c r="R4" s="603" t="s">
        <v>734</v>
      </c>
    </row>
    <row r="5" spans="1:18">
      <c r="C5" s="602"/>
      <c r="D5" s="603" t="s">
        <v>708</v>
      </c>
      <c r="E5" s="602"/>
      <c r="F5" s="602" t="s">
        <v>744</v>
      </c>
      <c r="G5" s="889" t="s">
        <v>699</v>
      </c>
      <c r="H5" s="111"/>
      <c r="K5" s="602"/>
      <c r="L5" s="603" t="s">
        <v>708</v>
      </c>
      <c r="M5" s="602"/>
      <c r="O5" s="70"/>
      <c r="P5" s="603" t="s">
        <v>735</v>
      </c>
      <c r="R5" s="603" t="s">
        <v>735</v>
      </c>
    </row>
    <row r="6" spans="1:18">
      <c r="D6" s="794" t="s">
        <v>88</v>
      </c>
      <c r="E6" s="55"/>
      <c r="F6" s="55" t="s">
        <v>8</v>
      </c>
      <c r="G6" s="70"/>
      <c r="L6" s="866" t="s">
        <v>88</v>
      </c>
      <c r="M6" s="866"/>
      <c r="N6" s="866" t="s">
        <v>8</v>
      </c>
      <c r="O6" s="70"/>
      <c r="P6" s="867" t="s">
        <v>88</v>
      </c>
      <c r="R6" s="867" t="s">
        <v>8</v>
      </c>
    </row>
    <row r="7" spans="1:18">
      <c r="D7" s="794" t="s">
        <v>87</v>
      </c>
      <c r="E7" s="55"/>
      <c r="F7" s="55" t="s">
        <v>5</v>
      </c>
      <c r="G7" s="70"/>
      <c r="L7" s="866" t="s">
        <v>87</v>
      </c>
      <c r="M7" s="866"/>
      <c r="N7" s="866" t="s">
        <v>5</v>
      </c>
      <c r="O7" s="70"/>
      <c r="P7" s="867" t="s">
        <v>87</v>
      </c>
      <c r="R7" s="867" t="s">
        <v>5</v>
      </c>
    </row>
    <row r="8" spans="1:18">
      <c r="D8" s="56" t="s">
        <v>97</v>
      </c>
      <c r="E8" s="56"/>
      <c r="F8" s="56" t="s">
        <v>126</v>
      </c>
      <c r="G8" s="71"/>
      <c r="L8" s="56" t="s">
        <v>97</v>
      </c>
      <c r="M8" s="56"/>
      <c r="N8" s="56" t="s">
        <v>126</v>
      </c>
      <c r="O8" s="71"/>
      <c r="P8" s="868" t="s">
        <v>97</v>
      </c>
      <c r="R8" s="868" t="s">
        <v>126</v>
      </c>
    </row>
    <row r="9" spans="1:18">
      <c r="A9" s="616" t="s">
        <v>9</v>
      </c>
      <c r="E9" s="1"/>
      <c r="F9" s="858">
        <v>0.65629999999999999</v>
      </c>
      <c r="G9" s="889" t="s">
        <v>717</v>
      </c>
      <c r="H9" s="183"/>
      <c r="I9" s="616" t="s">
        <v>9</v>
      </c>
      <c r="M9" s="1"/>
      <c r="N9" s="858">
        <v>0.65629999999999999</v>
      </c>
      <c r="O9" s="889" t="s">
        <v>717</v>
      </c>
      <c r="Q9" s="889" t="s">
        <v>717</v>
      </c>
      <c r="R9" s="183">
        <v>0.65629999999999999</v>
      </c>
    </row>
    <row r="10" spans="1:18">
      <c r="G10" s="70"/>
      <c r="O10" s="70"/>
    </row>
    <row r="11" spans="1:18">
      <c r="A11" s="616" t="s">
        <v>10</v>
      </c>
      <c r="D11" s="522">
        <v>54067</v>
      </c>
      <c r="E11" s="57"/>
      <c r="F11" s="522">
        <f>F$9*D11</f>
        <v>35484.172099999996</v>
      </c>
      <c r="G11" s="63"/>
      <c r="H11" s="57"/>
      <c r="I11" s="616" t="s">
        <v>10</v>
      </c>
      <c r="L11" s="57">
        <v>57362</v>
      </c>
      <c r="M11" s="57"/>
      <c r="N11" s="57">
        <f>N$9*L11</f>
        <v>37646.6806</v>
      </c>
      <c r="O11" s="63"/>
      <c r="P11" s="57">
        <f>D11-L11</f>
        <v>-3295</v>
      </c>
      <c r="R11" s="57">
        <f>R$9*P11</f>
        <v>-2162.5084999999999</v>
      </c>
    </row>
    <row r="12" spans="1:18">
      <c r="A12" s="616" t="s">
        <v>11</v>
      </c>
      <c r="D12" s="58">
        <v>466</v>
      </c>
      <c r="E12" s="58"/>
      <c r="F12" s="58">
        <f>F$9*D12</f>
        <v>305.83580000000001</v>
      </c>
      <c r="G12" s="60"/>
      <c r="H12" s="57"/>
      <c r="I12" s="616" t="s">
        <v>11</v>
      </c>
      <c r="L12" s="58">
        <v>466</v>
      </c>
      <c r="M12" s="58"/>
      <c r="N12" s="58">
        <f>N$9*L12</f>
        <v>305.83580000000001</v>
      </c>
      <c r="O12" s="60"/>
      <c r="P12" s="57"/>
      <c r="R12" s="58">
        <f>R$9*P12</f>
        <v>0</v>
      </c>
    </row>
    <row r="13" spans="1:18">
      <c r="A13" s="616" t="s">
        <v>12</v>
      </c>
      <c r="D13" s="58">
        <v>0</v>
      </c>
      <c r="E13" s="58"/>
      <c r="F13" s="58">
        <f>F$9*D13</f>
        <v>0</v>
      </c>
      <c r="G13" s="60"/>
      <c r="H13" s="57"/>
      <c r="I13" s="616" t="s">
        <v>12</v>
      </c>
      <c r="L13" s="58">
        <v>0</v>
      </c>
      <c r="M13" s="58"/>
      <c r="N13" s="58">
        <f>N$9*L13</f>
        <v>0</v>
      </c>
      <c r="O13" s="60"/>
      <c r="P13" s="57"/>
      <c r="R13" s="58">
        <f>R$9*P13</f>
        <v>0</v>
      </c>
    </row>
    <row r="14" spans="1:18" s="317" customFormat="1">
      <c r="A14" s="616" t="s">
        <v>378</v>
      </c>
      <c r="B14" s="616"/>
      <c r="C14" s="616" t="s">
        <v>97</v>
      </c>
      <c r="D14" s="520">
        <f>16428-D15-D16-300+1394</f>
        <v>17522</v>
      </c>
      <c r="E14" s="58"/>
      <c r="F14" s="520">
        <f>F$9*D14</f>
        <v>11499.688599999999</v>
      </c>
      <c r="G14" s="60"/>
      <c r="H14" s="489"/>
      <c r="I14" s="616" t="s">
        <v>378</v>
      </c>
      <c r="J14" s="616"/>
      <c r="K14" s="616" t="s">
        <v>97</v>
      </c>
      <c r="L14" s="245">
        <f>16428-L15-L16-300</f>
        <v>16128</v>
      </c>
      <c r="M14" s="58"/>
      <c r="N14" s="58">
        <f>N$9*L14</f>
        <v>10584.806399999999</v>
      </c>
      <c r="O14" s="60"/>
      <c r="P14" s="57">
        <f>D14-L14</f>
        <v>1394</v>
      </c>
      <c r="Q14" s="889" t="s">
        <v>753</v>
      </c>
      <c r="R14" s="57">
        <f>R$9*P14</f>
        <v>914.88220000000001</v>
      </c>
    </row>
    <row r="15" spans="1:18" s="447" customFormat="1">
      <c r="A15" s="616" t="s">
        <v>378</v>
      </c>
      <c r="B15" s="616"/>
      <c r="C15" s="616" t="s">
        <v>471</v>
      </c>
      <c r="D15" s="245">
        <v>0</v>
      </c>
      <c r="E15" s="58"/>
      <c r="F15" s="60">
        <f>D15</f>
        <v>0</v>
      </c>
      <c r="G15" s="60"/>
      <c r="H15" s="490"/>
      <c r="I15" s="616" t="s">
        <v>378</v>
      </c>
      <c r="J15" s="616"/>
      <c r="K15" s="616" t="s">
        <v>471</v>
      </c>
      <c r="L15" s="245">
        <v>0</v>
      </c>
      <c r="M15" s="58"/>
      <c r="N15" s="60">
        <f>L15</f>
        <v>0</v>
      </c>
      <c r="O15" s="60"/>
      <c r="P15" s="57"/>
      <c r="Q15" s="616"/>
      <c r="R15" s="60">
        <f>P15</f>
        <v>0</v>
      </c>
    </row>
    <row r="16" spans="1:18" s="447" customFormat="1">
      <c r="A16" s="616" t="s">
        <v>378</v>
      </c>
      <c r="B16" s="616"/>
      <c r="C16" s="616" t="s">
        <v>472</v>
      </c>
      <c r="D16" s="245">
        <v>0</v>
      </c>
      <c r="E16" s="58"/>
      <c r="F16" s="60">
        <v>0</v>
      </c>
      <c r="G16" s="60"/>
      <c r="H16" s="490"/>
      <c r="I16" s="616" t="s">
        <v>378</v>
      </c>
      <c r="J16" s="616"/>
      <c r="K16" s="616" t="s">
        <v>472</v>
      </c>
      <c r="L16" s="245">
        <v>0</v>
      </c>
      <c r="M16" s="58"/>
      <c r="N16" s="60">
        <v>0</v>
      </c>
      <c r="O16" s="60"/>
      <c r="P16" s="57"/>
      <c r="Q16" s="616"/>
      <c r="R16" s="60">
        <v>0</v>
      </c>
    </row>
    <row r="17" spans="1:18">
      <c r="A17" s="616" t="s">
        <v>13</v>
      </c>
      <c r="D17" s="58">
        <v>0</v>
      </c>
      <c r="E17" s="58"/>
      <c r="F17" s="58">
        <f>F$9*D17</f>
        <v>0</v>
      </c>
      <c r="G17" s="60"/>
      <c r="H17" s="57"/>
      <c r="I17" s="616" t="s">
        <v>13</v>
      </c>
      <c r="L17" s="58">
        <v>0</v>
      </c>
      <c r="M17" s="58"/>
      <c r="N17" s="58">
        <f>N$9*L17</f>
        <v>0</v>
      </c>
      <c r="O17" s="60"/>
      <c r="P17" s="57"/>
      <c r="R17" s="58">
        <f>R$9*P17</f>
        <v>0</v>
      </c>
    </row>
    <row r="18" spans="1:18">
      <c r="A18" s="616" t="s">
        <v>127</v>
      </c>
      <c r="D18" s="59">
        <v>0</v>
      </c>
      <c r="E18" s="60"/>
      <c r="F18" s="59">
        <f>D18</f>
        <v>0</v>
      </c>
      <c r="G18" s="60"/>
      <c r="H18" s="57"/>
      <c r="I18" s="616" t="s">
        <v>127</v>
      </c>
      <c r="L18" s="59">
        <v>0</v>
      </c>
      <c r="M18" s="60"/>
      <c r="N18" s="59">
        <f>L18</f>
        <v>0</v>
      </c>
      <c r="O18" s="60"/>
      <c r="P18" s="883"/>
      <c r="R18" s="59">
        <f>P18</f>
        <v>0</v>
      </c>
    </row>
    <row r="19" spans="1:18">
      <c r="A19" s="616" t="s">
        <v>14</v>
      </c>
      <c r="D19" s="58">
        <f>SUM(D11:D18)</f>
        <v>72055</v>
      </c>
      <c r="E19" s="60"/>
      <c r="F19" s="58">
        <f>SUM(F11:F18)</f>
        <v>47289.696499999998</v>
      </c>
      <c r="G19" s="60"/>
      <c r="H19" s="57"/>
      <c r="I19" s="616" t="s">
        <v>14</v>
      </c>
      <c r="L19" s="58">
        <f>SUM(L11:L18)</f>
        <v>73956</v>
      </c>
      <c r="M19" s="60"/>
      <c r="N19" s="58">
        <f>SUM(N11:N18)</f>
        <v>48537.322800000002</v>
      </c>
      <c r="O19" s="60"/>
      <c r="P19" s="58">
        <f>SUM(P11:P18)</f>
        <v>-1901</v>
      </c>
      <c r="R19" s="58">
        <f>SUM(R11:R18)</f>
        <v>-1247.6262999999999</v>
      </c>
    </row>
    <row r="20" spans="1:18">
      <c r="D20" s="58"/>
      <c r="E20" s="60"/>
      <c r="F20" s="58"/>
      <c r="G20" s="60"/>
      <c r="H20" s="57"/>
      <c r="L20" s="58"/>
      <c r="M20" s="60"/>
      <c r="N20" s="58"/>
      <c r="O20" s="60"/>
      <c r="P20" s="58"/>
      <c r="R20" s="58"/>
    </row>
    <row r="21" spans="1:18">
      <c r="D21" s="58"/>
      <c r="E21" s="60"/>
      <c r="F21" s="58"/>
      <c r="G21" s="60"/>
      <c r="H21" s="57"/>
      <c r="L21" s="58"/>
      <c r="M21" s="60"/>
      <c r="N21" s="58"/>
      <c r="O21" s="60"/>
      <c r="P21" s="58"/>
      <c r="R21" s="58"/>
    </row>
    <row r="22" spans="1:18">
      <c r="A22" s="616" t="s">
        <v>15</v>
      </c>
      <c r="D22" s="520">
        <v>29156</v>
      </c>
      <c r="E22" s="60"/>
      <c r="F22" s="520">
        <f t="shared" ref="F22:F30" si="0">F$9*D22</f>
        <v>19135.0828</v>
      </c>
      <c r="G22" s="60"/>
      <c r="H22" s="57"/>
      <c r="I22" s="616" t="s">
        <v>15</v>
      </c>
      <c r="L22" s="58">
        <v>29255</v>
      </c>
      <c r="M22" s="60"/>
      <c r="N22" s="58">
        <f t="shared" ref="N22:N30" si="1">N$9*L22</f>
        <v>19200.056499999999</v>
      </c>
      <c r="O22" s="60"/>
      <c r="P22" s="57">
        <f>D22-L22</f>
        <v>-99</v>
      </c>
      <c r="R22" s="58">
        <f t="shared" ref="R22:R26" si="2">R$9*P22</f>
        <v>-64.973699999999994</v>
      </c>
    </row>
    <row r="23" spans="1:18">
      <c r="A23" s="616" t="s">
        <v>16</v>
      </c>
      <c r="D23" s="58">
        <v>0</v>
      </c>
      <c r="E23" s="60"/>
      <c r="F23" s="58">
        <f t="shared" si="0"/>
        <v>0</v>
      </c>
      <c r="G23" s="60"/>
      <c r="H23" s="57"/>
      <c r="I23" s="616" t="s">
        <v>16</v>
      </c>
      <c r="L23" s="58">
        <v>0</v>
      </c>
      <c r="M23" s="60"/>
      <c r="N23" s="58">
        <f t="shared" si="1"/>
        <v>0</v>
      </c>
      <c r="O23" s="60"/>
      <c r="P23" s="58"/>
      <c r="R23" s="58">
        <f t="shared" si="2"/>
        <v>0</v>
      </c>
    </row>
    <row r="24" spans="1:18">
      <c r="A24" s="616" t="s">
        <v>17</v>
      </c>
      <c r="D24" s="520">
        <v>74567</v>
      </c>
      <c r="E24" s="60"/>
      <c r="F24" s="520">
        <f t="shared" si="0"/>
        <v>48938.322099999998</v>
      </c>
      <c r="G24" s="60"/>
      <c r="H24" s="57"/>
      <c r="I24" s="616" t="s">
        <v>17</v>
      </c>
      <c r="L24" s="58">
        <v>78650</v>
      </c>
      <c r="M24" s="60"/>
      <c r="N24" s="58">
        <f t="shared" si="1"/>
        <v>51617.995000000003</v>
      </c>
      <c r="O24" s="60"/>
      <c r="P24" s="57">
        <f>D24-L24</f>
        <v>-4083</v>
      </c>
      <c r="R24" s="58">
        <f t="shared" si="2"/>
        <v>-2679.6729</v>
      </c>
    </row>
    <row r="25" spans="1:18">
      <c r="A25" s="616" t="s">
        <v>18</v>
      </c>
      <c r="D25" s="58">
        <v>1029</v>
      </c>
      <c r="E25" s="60"/>
      <c r="F25" s="58">
        <f t="shared" si="0"/>
        <v>675.33270000000005</v>
      </c>
      <c r="G25" s="60"/>
      <c r="H25" s="57"/>
      <c r="I25" s="616" t="s">
        <v>18</v>
      </c>
      <c r="L25" s="58">
        <v>1029</v>
      </c>
      <c r="M25" s="60"/>
      <c r="N25" s="58">
        <f t="shared" si="1"/>
        <v>675.33270000000005</v>
      </c>
      <c r="O25" s="60"/>
      <c r="P25" s="58"/>
      <c r="R25" s="58">
        <f t="shared" si="2"/>
        <v>0</v>
      </c>
    </row>
    <row r="26" spans="1:18">
      <c r="A26" s="616" t="s">
        <v>19</v>
      </c>
      <c r="D26" s="520">
        <v>111421</v>
      </c>
      <c r="E26" s="60"/>
      <c r="F26" s="520">
        <f t="shared" si="0"/>
        <v>73125.602299999999</v>
      </c>
      <c r="G26" s="60"/>
      <c r="H26" s="57"/>
      <c r="I26" s="616" t="s">
        <v>19</v>
      </c>
      <c r="L26" s="58">
        <v>111447</v>
      </c>
      <c r="M26" s="60"/>
      <c r="N26" s="58">
        <f t="shared" si="1"/>
        <v>73142.666100000002</v>
      </c>
      <c r="O26" s="60"/>
      <c r="P26" s="57">
        <f>D26-L26</f>
        <v>-26</v>
      </c>
      <c r="R26" s="58">
        <f t="shared" si="2"/>
        <v>-17.063800000000001</v>
      </c>
    </row>
    <row r="27" spans="1:18">
      <c r="A27" s="616" t="s">
        <v>20</v>
      </c>
      <c r="D27" s="58">
        <v>0</v>
      </c>
      <c r="E27" s="60"/>
      <c r="F27" s="245">
        <v>0</v>
      </c>
      <c r="G27" s="60"/>
      <c r="I27" s="616" t="s">
        <v>20</v>
      </c>
      <c r="L27" s="58">
        <v>0</v>
      </c>
      <c r="M27" s="60"/>
      <c r="N27" s="245">
        <v>0</v>
      </c>
      <c r="O27" s="60"/>
      <c r="P27" s="58"/>
      <c r="R27" s="245">
        <v>0</v>
      </c>
    </row>
    <row r="28" spans="1:18">
      <c r="A28" s="616" t="s">
        <v>21</v>
      </c>
      <c r="D28" s="58">
        <v>0</v>
      </c>
      <c r="E28" s="60"/>
      <c r="F28" s="58">
        <f t="shared" si="0"/>
        <v>0</v>
      </c>
      <c r="G28" s="60"/>
      <c r="H28" s="57"/>
      <c r="I28" s="616" t="s">
        <v>21</v>
      </c>
      <c r="L28" s="58">
        <v>0</v>
      </c>
      <c r="M28" s="60"/>
      <c r="N28" s="58">
        <f t="shared" si="1"/>
        <v>0</v>
      </c>
      <c r="O28" s="60"/>
      <c r="P28" s="58"/>
      <c r="R28" s="58">
        <f t="shared" ref="R28:R30" si="3">R$9*P28</f>
        <v>0</v>
      </c>
    </row>
    <row r="29" spans="1:18">
      <c r="A29" s="616" t="s">
        <v>22</v>
      </c>
      <c r="D29" s="58">
        <v>0</v>
      </c>
      <c r="E29" s="60"/>
      <c r="F29" s="58">
        <f t="shared" si="0"/>
        <v>0</v>
      </c>
      <c r="G29" s="60"/>
      <c r="H29" s="57"/>
      <c r="I29" s="616" t="s">
        <v>22</v>
      </c>
      <c r="L29" s="58">
        <v>0</v>
      </c>
      <c r="M29" s="60"/>
      <c r="N29" s="58">
        <f t="shared" si="1"/>
        <v>0</v>
      </c>
      <c r="O29" s="60"/>
      <c r="P29" s="58"/>
      <c r="R29" s="58">
        <f t="shared" si="3"/>
        <v>0</v>
      </c>
    </row>
    <row r="30" spans="1:18">
      <c r="A30" s="616" t="s">
        <v>23</v>
      </c>
      <c r="D30" s="58">
        <v>407</v>
      </c>
      <c r="E30" s="60"/>
      <c r="F30" s="58">
        <f t="shared" si="0"/>
        <v>267.11410000000001</v>
      </c>
      <c r="G30" s="60"/>
      <c r="H30" s="57"/>
      <c r="I30" s="616" t="s">
        <v>23</v>
      </c>
      <c r="L30" s="58">
        <v>407</v>
      </c>
      <c r="M30" s="60"/>
      <c r="N30" s="58">
        <f t="shared" si="1"/>
        <v>267.11410000000001</v>
      </c>
      <c r="O30" s="60"/>
      <c r="P30" s="58"/>
      <c r="R30" s="58">
        <f t="shared" si="3"/>
        <v>0</v>
      </c>
    </row>
    <row r="31" spans="1:18">
      <c r="A31" s="616" t="s">
        <v>564</v>
      </c>
      <c r="D31" s="58">
        <v>0</v>
      </c>
      <c r="E31" s="60"/>
      <c r="F31" s="245">
        <v>0</v>
      </c>
      <c r="G31" s="60"/>
      <c r="H31" s="601"/>
      <c r="I31" s="616" t="s">
        <v>564</v>
      </c>
      <c r="L31" s="58">
        <v>0</v>
      </c>
      <c r="M31" s="60"/>
      <c r="N31" s="245">
        <v>0</v>
      </c>
      <c r="O31" s="60"/>
      <c r="P31" s="58"/>
      <c r="R31" s="245">
        <v>0</v>
      </c>
    </row>
    <row r="32" spans="1:18">
      <c r="A32" s="616" t="s">
        <v>24</v>
      </c>
      <c r="D32" s="520">
        <v>17595</v>
      </c>
      <c r="E32" s="60"/>
      <c r="F32" s="520">
        <f>F$9*D32</f>
        <v>11547.5985</v>
      </c>
      <c r="G32" s="60"/>
      <c r="H32" s="57"/>
      <c r="I32" s="616" t="s">
        <v>24</v>
      </c>
      <c r="L32" s="58">
        <v>18169</v>
      </c>
      <c r="M32" s="60"/>
      <c r="N32" s="58">
        <f>N$9*L32</f>
        <v>11924.314699999999</v>
      </c>
      <c r="O32" s="60"/>
      <c r="P32" s="57">
        <f>D32-L32</f>
        <v>-574</v>
      </c>
      <c r="R32" s="58">
        <f>R$9*P32</f>
        <v>-376.71620000000001</v>
      </c>
    </row>
    <row r="33" spans="1:19">
      <c r="A33" s="616" t="s">
        <v>25</v>
      </c>
      <c r="D33" s="61">
        <f>SUM(D22:D32)</f>
        <v>234175</v>
      </c>
      <c r="E33" s="60"/>
      <c r="F33" s="61">
        <f>SUM(F22:F32)</f>
        <v>153689.05249999999</v>
      </c>
      <c r="G33" s="60"/>
      <c r="H33" s="57"/>
      <c r="I33" s="616" t="s">
        <v>25</v>
      </c>
      <c r="L33" s="61">
        <f>SUM(L22:L32)</f>
        <v>238957</v>
      </c>
      <c r="M33" s="60"/>
      <c r="N33" s="61">
        <f>SUM(N22:N32)</f>
        <v>156827.4791</v>
      </c>
      <c r="O33" s="60"/>
      <c r="P33" s="61">
        <f>SUM(P22:P32)</f>
        <v>-4782</v>
      </c>
      <c r="R33" s="61">
        <f>SUM(R22:R32)</f>
        <v>-3138.4265999999998</v>
      </c>
    </row>
    <row r="34" spans="1:19">
      <c r="G34" s="70"/>
      <c r="H34" s="57"/>
      <c r="O34" s="70"/>
    </row>
    <row r="35" spans="1:19">
      <c r="A35" s="616" t="s">
        <v>26</v>
      </c>
      <c r="D35" s="58">
        <f>D19-D33</f>
        <v>-162120</v>
      </c>
      <c r="E35" s="58"/>
      <c r="F35" s="58">
        <f>F19-F33</f>
        <v>-106399.356</v>
      </c>
      <c r="G35" s="60"/>
      <c r="H35" s="57"/>
      <c r="I35" s="616" t="s">
        <v>26</v>
      </c>
      <c r="L35" s="58">
        <f>L19-L33</f>
        <v>-165001</v>
      </c>
      <c r="M35" s="58"/>
      <c r="N35" s="58">
        <f>N19-N33</f>
        <v>-108290.1563</v>
      </c>
      <c r="O35" s="60"/>
      <c r="P35" s="877">
        <f>P19-P33</f>
        <v>2881</v>
      </c>
      <c r="R35" s="877">
        <f>R19-R33</f>
        <v>1890.8002999999999</v>
      </c>
    </row>
    <row r="36" spans="1:19">
      <c r="E36" s="58"/>
      <c r="F36" s="58"/>
      <c r="G36" s="58"/>
      <c r="M36" s="58"/>
      <c r="N36" s="58"/>
      <c r="O36" s="58"/>
      <c r="R36" s="58"/>
    </row>
    <row r="37" spans="1:19">
      <c r="A37" s="616" t="s">
        <v>27</v>
      </c>
      <c r="C37" s="62">
        <v>0.35</v>
      </c>
      <c r="E37" s="63"/>
      <c r="F37" s="59">
        <f>C37*F35</f>
        <v>-37239.774599999997</v>
      </c>
      <c r="G37" s="57"/>
      <c r="I37" s="616" t="s">
        <v>27</v>
      </c>
      <c r="K37" s="62">
        <v>0.35</v>
      </c>
      <c r="M37" s="63"/>
      <c r="N37" s="59">
        <f>K37*N35</f>
        <v>-37901.554704999995</v>
      </c>
      <c r="O37" s="57"/>
      <c r="R37" s="59">
        <f>K37*R35</f>
        <v>661.78010499999993</v>
      </c>
    </row>
    <row r="38" spans="1:19">
      <c r="E38" s="63"/>
      <c r="F38" s="57"/>
      <c r="G38" s="57"/>
      <c r="M38" s="63"/>
      <c r="N38" s="57"/>
      <c r="O38" s="57"/>
      <c r="R38" s="57"/>
    </row>
    <row r="39" spans="1:19">
      <c r="A39" s="616" t="s">
        <v>28</v>
      </c>
      <c r="E39" s="58"/>
      <c r="F39" s="57">
        <f>F35-F37-1</f>
        <v>-69160.581399999995</v>
      </c>
      <c r="G39" s="58"/>
      <c r="I39" s="616" t="s">
        <v>28</v>
      </c>
      <c r="M39" s="58"/>
      <c r="N39" s="57">
        <f>N35-N37-1</f>
        <v>-70389.601595000015</v>
      </c>
      <c r="O39" s="58"/>
      <c r="R39" s="522">
        <f>R35-R37</f>
        <v>1229.0201950000001</v>
      </c>
    </row>
    <row r="40" spans="1:19">
      <c r="E40" s="58"/>
      <c r="F40" s="58"/>
      <c r="G40" s="58"/>
      <c r="M40" s="58"/>
      <c r="N40" s="58"/>
      <c r="O40" s="58"/>
      <c r="R40" s="58"/>
    </row>
    <row r="41" spans="1:19">
      <c r="A41" s="869" t="s">
        <v>738</v>
      </c>
      <c r="I41" s="73"/>
      <c r="O41" s="870" t="s">
        <v>739</v>
      </c>
      <c r="P41" s="616">
        <v>0.61931000000000003</v>
      </c>
      <c r="R41" s="915">
        <f>R39/P41*-1</f>
        <v>-1984.4991926498847</v>
      </c>
    </row>
    <row r="42" spans="1:19" ht="15.75" thickBot="1">
      <c r="A42" s="73"/>
      <c r="I42" s="881" t="s">
        <v>748</v>
      </c>
      <c r="N42" s="869" t="s">
        <v>741</v>
      </c>
      <c r="O42" s="869"/>
      <c r="P42" s="869"/>
      <c r="Q42" s="869"/>
      <c r="R42" s="873">
        <v>-492</v>
      </c>
    </row>
    <row r="43" spans="1:19" s="16" customFormat="1" ht="13.5" thickBot="1">
      <c r="D43" s="245"/>
      <c r="E43" s="320"/>
      <c r="F43" s="245"/>
      <c r="G43" s="320"/>
      <c r="H43" s="601"/>
      <c r="L43" s="245"/>
      <c r="M43" s="320"/>
      <c r="N43" s="874" t="s">
        <v>742</v>
      </c>
      <c r="O43" s="875"/>
      <c r="P43" s="875"/>
      <c r="Q43" s="876"/>
      <c r="R43" s="888">
        <f>R41-R42-1</f>
        <v>-1493.4991926498847</v>
      </c>
    </row>
    <row r="44" spans="1:19" s="16" customFormat="1">
      <c r="A44" s="960" t="s">
        <v>769</v>
      </c>
      <c r="B44" s="960"/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</row>
    <row r="45" spans="1:19" s="16" customFormat="1">
      <c r="A45" s="884" t="s">
        <v>751</v>
      </c>
      <c r="B45" s="884"/>
      <c r="C45" s="884"/>
      <c r="D45" s="885"/>
      <c r="E45" s="886"/>
      <c r="F45" s="885"/>
      <c r="G45" s="886"/>
      <c r="H45" s="887"/>
      <c r="I45" s="884"/>
      <c r="J45" s="884"/>
      <c r="K45" s="884"/>
      <c r="L45" s="884"/>
      <c r="M45" s="885"/>
      <c r="N45" s="886"/>
      <c r="O45" s="885"/>
      <c r="P45" s="884"/>
      <c r="Q45" s="885"/>
      <c r="R45" s="884"/>
      <c r="S45" s="885"/>
    </row>
    <row r="46" spans="1:19">
      <c r="A46" s="884" t="s">
        <v>752</v>
      </c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</row>
  </sheetData>
  <mergeCells count="3">
    <mergeCell ref="A4:F4"/>
    <mergeCell ref="I4:N4"/>
    <mergeCell ref="A44:S44"/>
  </mergeCells>
  <phoneticPr fontId="55" type="noConversion"/>
  <pageMargins left="1.05" right="0.34" top="0.75" bottom="0.77" header="0.5" footer="0.52"/>
  <pageSetup scale="68" orientation="landscape" r:id="rId1"/>
  <headerFooter scaleWithDoc="0" alignWithMargins="0">
    <oddHeader>&amp;CBench Request 10.4 - Attachment B&amp;R Revised Exhibit No. EMA-9</oddHeader>
    <oddFooter>&amp;C &amp;A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6"/>
  <sheetViews>
    <sheetView tabSelected="1" view="pageBreakPreview" topLeftCell="A28" zoomScaleNormal="100" zoomScaleSheetLayoutView="100" workbookViewId="0">
      <selection sqref="A1:R1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85546875" style="112" customWidth="1"/>
    <col min="10" max="10" width="10.28515625" style="112" customWidth="1"/>
    <col min="11" max="12" width="9.140625" style="112"/>
    <col min="13" max="13" width="4.5703125" style="112" customWidth="1"/>
    <col min="14" max="16384" width="9.140625" style="112"/>
  </cols>
  <sheetData>
    <row r="1" spans="1:10" ht="42" customHeight="1">
      <c r="A1" s="956" t="s">
        <v>246</v>
      </c>
      <c r="B1" s="956"/>
      <c r="C1" s="956"/>
      <c r="D1" s="956"/>
      <c r="E1" s="956"/>
      <c r="F1" s="956"/>
      <c r="G1" s="958" t="s">
        <v>743</v>
      </c>
      <c r="H1" s="958"/>
      <c r="I1" s="958"/>
    </row>
    <row r="2" spans="1:10">
      <c r="A2" s="957" t="s">
        <v>92</v>
      </c>
      <c r="B2" s="957"/>
      <c r="C2" s="957"/>
      <c r="D2" s="957"/>
      <c r="E2" s="957"/>
      <c r="F2" s="957"/>
      <c r="G2" s="958"/>
      <c r="H2" s="958"/>
      <c r="I2" s="958"/>
    </row>
    <row r="3" spans="1:10">
      <c r="A3" s="114"/>
      <c r="B3" s="114"/>
      <c r="C3" s="114"/>
      <c r="D3" s="880" t="s">
        <v>746</v>
      </c>
      <c r="E3" s="602" t="s">
        <v>745</v>
      </c>
      <c r="F3" s="114"/>
      <c r="G3" s="958"/>
      <c r="H3" s="958"/>
      <c r="I3" s="958"/>
    </row>
    <row r="4" spans="1:10">
      <c r="E4" s="114" t="s">
        <v>47</v>
      </c>
      <c r="G4" s="878" t="s">
        <v>88</v>
      </c>
      <c r="H4" s="878" t="s">
        <v>88</v>
      </c>
      <c r="I4" s="419" t="s">
        <v>484</v>
      </c>
      <c r="J4" s="419"/>
    </row>
    <row r="5" spans="1:10">
      <c r="E5" s="123" t="s">
        <v>118</v>
      </c>
      <c r="G5" s="878" t="s">
        <v>248</v>
      </c>
      <c r="H5" s="878" t="s">
        <v>248</v>
      </c>
      <c r="I5" s="419" t="s">
        <v>88</v>
      </c>
      <c r="J5" s="419" t="s">
        <v>485</v>
      </c>
    </row>
    <row r="6" spans="1:10">
      <c r="A6" s="114" t="s">
        <v>3</v>
      </c>
      <c r="E6" s="114" t="s">
        <v>247</v>
      </c>
      <c r="G6" s="878" t="s">
        <v>481</v>
      </c>
      <c r="H6" s="878" t="s">
        <v>483</v>
      </c>
      <c r="I6" s="419" t="s">
        <v>87</v>
      </c>
      <c r="J6" s="419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879" t="s">
        <v>482</v>
      </c>
      <c r="H7" s="879" t="s">
        <v>482</v>
      </c>
      <c r="I7" s="431" t="s">
        <v>274</v>
      </c>
      <c r="J7" s="431" t="s">
        <v>118</v>
      </c>
    </row>
    <row r="8" spans="1:10">
      <c r="A8" s="114"/>
      <c r="E8" s="891" t="s">
        <v>699</v>
      </c>
      <c r="F8" s="154"/>
      <c r="G8" s="154"/>
      <c r="H8" s="154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02">
        <f>I10+J10</f>
        <v>9381.5170014369251</v>
      </c>
      <c r="F10" s="154"/>
      <c r="G10" s="154"/>
      <c r="H10" s="155"/>
      <c r="I10" s="154"/>
      <c r="J10" s="118">
        <f>'Attrition 12.2015 to 2018'!P7*'Attrition 12.2015 to 2018'!M7</f>
        <v>9381.5170014369251</v>
      </c>
    </row>
    <row r="11" spans="1:10">
      <c r="A11" s="114">
        <v>2</v>
      </c>
      <c r="B11" s="112" t="s">
        <v>83</v>
      </c>
      <c r="E11" s="118">
        <f>I11+J11</f>
        <v>17.618727996611188</v>
      </c>
      <c r="F11" s="154"/>
      <c r="G11" s="154"/>
      <c r="H11" s="154"/>
      <c r="I11" s="154"/>
      <c r="J11" s="118">
        <f>'Attrition 12.2015 to 2018'!P8*'Attrition 12.2015 to 2018'!M8</f>
        <v>17.618727996611188</v>
      </c>
    </row>
    <row r="12" spans="1:10">
      <c r="A12" s="114">
        <v>3</v>
      </c>
      <c r="B12" s="112" t="s">
        <v>82</v>
      </c>
      <c r="E12" s="118">
        <f>I12+J12</f>
        <v>-3033</v>
      </c>
      <c r="F12" s="154"/>
      <c r="G12" s="118">
        <f>ROUND('PF Power Supply 09.2015 load'!F11,0)</f>
        <v>35484</v>
      </c>
      <c r="H12" s="118">
        <f>ROUND('PF Power Supply 2018 load'!F11,0)</f>
        <v>32451</v>
      </c>
      <c r="I12" s="402">
        <f>H12-G12</f>
        <v>-3033</v>
      </c>
    </row>
    <row r="13" spans="1:10">
      <c r="A13" s="114">
        <v>4</v>
      </c>
      <c r="B13" s="112" t="s">
        <v>81</v>
      </c>
      <c r="E13" s="424">
        <f>SUM(E10:E12)</f>
        <v>6366.1357294335357</v>
      </c>
      <c r="F13" s="154"/>
      <c r="G13" s="424">
        <f>SUM(G10:G12)</f>
        <v>35484</v>
      </c>
      <c r="H13" s="424">
        <f>SUM(H10:H12)</f>
        <v>32451</v>
      </c>
      <c r="I13" s="424">
        <f>SUM(I10:I12)</f>
        <v>-3033</v>
      </c>
      <c r="J13" s="424">
        <f>SUM(J10:J12)</f>
        <v>9399.1357294335357</v>
      </c>
    </row>
    <row r="14" spans="1:10">
      <c r="A14" s="114">
        <v>5</v>
      </c>
      <c r="B14" s="112" t="s">
        <v>80</v>
      </c>
      <c r="E14" s="118">
        <f>I14+J14</f>
        <v>-1</v>
      </c>
      <c r="F14" s="154"/>
      <c r="G14" s="119">
        <f>ROUND('PF Power Supply 09.2015 load'!F19-'incremental load expense'!G13,0)</f>
        <v>11806</v>
      </c>
      <c r="H14" s="119">
        <f>ROUND('PF Power Supply 2018 load'!F19-H12,0)</f>
        <v>11805</v>
      </c>
      <c r="I14" s="402">
        <f>H14-G14</f>
        <v>-1</v>
      </c>
      <c r="J14" s="118">
        <f>'Attrition 12.2015 to 2018'!P11*'Attrition 12.2015 to 2018'!M11</f>
        <v>0</v>
      </c>
    </row>
    <row r="15" spans="1:10">
      <c r="A15" s="114">
        <v>6</v>
      </c>
      <c r="B15" s="112" t="s">
        <v>79</v>
      </c>
      <c r="E15" s="424">
        <f>E13+E14</f>
        <v>6365.1357294335357</v>
      </c>
      <c r="F15" s="154"/>
      <c r="G15" s="118">
        <f>G13+G14</f>
        <v>47290</v>
      </c>
      <c r="H15" s="118">
        <f>H13+H14</f>
        <v>44256</v>
      </c>
      <c r="I15" s="424">
        <f>I13+I14</f>
        <v>-3034</v>
      </c>
      <c r="J15" s="424">
        <f>J13+J14</f>
        <v>9399.1357294335357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1</v>
      </c>
      <c r="F19" s="154"/>
      <c r="G19" s="118">
        <f>ROUND('PF Power Supply 09.2015 load'!F33-'incremental load expense'!G20,0)-1</f>
        <v>80562</v>
      </c>
      <c r="H19" s="118">
        <f>ROUND('PF Power Supply 2018 load'!F33-H20,0)</f>
        <v>80563</v>
      </c>
      <c r="I19" s="402">
        <f>H19-G19</f>
        <v>1</v>
      </c>
      <c r="J19" s="118"/>
    </row>
    <row r="20" spans="1:10">
      <c r="A20" s="114">
        <v>8</v>
      </c>
      <c r="C20" s="112" t="s">
        <v>76</v>
      </c>
      <c r="E20" s="118">
        <f>I20+J20</f>
        <v>1109</v>
      </c>
      <c r="F20" s="154"/>
      <c r="G20" s="118">
        <f>ROUND('PF Power Supply 09.2015 load'!F26,0)</f>
        <v>73126</v>
      </c>
      <c r="H20" s="118">
        <f>ROUND('PF Power Supply 2018 load'!F26,0)</f>
        <v>74235</v>
      </c>
      <c r="I20" s="402">
        <f>H20-G20</f>
        <v>1109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1110</v>
      </c>
      <c r="F24" s="154"/>
      <c r="G24" s="118">
        <f>SUM(G19:G23)</f>
        <v>153688</v>
      </c>
      <c r="H24" s="118">
        <f>SUM(H19:H23)</f>
        <v>154798</v>
      </c>
      <c r="I24" s="118">
        <f>SUM(I19:I23)</f>
        <v>1110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19">
        <f>ROR!L16</f>
        <v>3.8473E-2</v>
      </c>
      <c r="E29" s="118">
        <f>I29+J29</f>
        <v>360.93510359628283</v>
      </c>
      <c r="G29" s="119"/>
      <c r="H29" s="119"/>
      <c r="I29" s="119"/>
      <c r="J29" s="119">
        <f>J10*D29</f>
        <v>360.93510359628283</v>
      </c>
    </row>
    <row r="30" spans="1:10">
      <c r="A30" s="114">
        <v>16</v>
      </c>
      <c r="B30" s="112" t="s">
        <v>74</v>
      </c>
      <c r="E30" s="424">
        <f>SUM(E27:E29)</f>
        <v>360.93510359628283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360.93510359628283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19">
        <f>ROR!L12</f>
        <v>6.7390000000000002E-3</v>
      </c>
      <c r="E32" s="118">
        <f>I32+J32</f>
        <v>63.222043072683441</v>
      </c>
      <c r="G32" s="118"/>
      <c r="H32" s="118"/>
      <c r="I32" s="118"/>
      <c r="J32" s="118">
        <f>J10*D32</f>
        <v>63.222043072683441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19">
        <f>ROR!L14</f>
        <v>2E-3</v>
      </c>
      <c r="E37" s="118">
        <f>I37+J37</f>
        <v>18.763034002873852</v>
      </c>
      <c r="G37" s="118"/>
      <c r="H37" s="118"/>
      <c r="I37" s="118"/>
      <c r="J37" s="118">
        <f>J10*D37</f>
        <v>18.763034002873852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18.763034002873852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18.763034002873852</v>
      </c>
    </row>
    <row r="41" spans="1:10">
      <c r="A41" s="114">
        <v>24</v>
      </c>
      <c r="B41" s="112" t="s">
        <v>66</v>
      </c>
      <c r="E41" s="120">
        <f>E24+E30+E32+E33+E34+E40</f>
        <v>1552.9201806718399</v>
      </c>
      <c r="G41" s="120">
        <f>G24+G30+G32+G33+G34+G40</f>
        <v>153688</v>
      </c>
      <c r="H41" s="120">
        <f>H24+H30+H32+H33+H34+H40</f>
        <v>154798</v>
      </c>
      <c r="I41" s="120">
        <f>I24+I30+I32+I33+I34+I40</f>
        <v>1110</v>
      </c>
      <c r="J41" s="120">
        <f>J24+J30+J32+J33+J34+J40</f>
        <v>442.92018067184011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4812.2155487616956</v>
      </c>
      <c r="G43" s="118">
        <f>G15-G41</f>
        <v>-106398</v>
      </c>
      <c r="H43" s="118">
        <f>H15-H41</f>
        <v>-110542</v>
      </c>
      <c r="I43" s="118">
        <f>I15-I41</f>
        <v>-4144</v>
      </c>
      <c r="J43" s="118">
        <f>J15-J41</f>
        <v>8956.2155487616965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1684</v>
      </c>
      <c r="G46" s="118">
        <f>ROUND(0.35*G43,0)</f>
        <v>-37239</v>
      </c>
      <c r="H46" s="118">
        <f>ROUND(0.35*H43,0)</f>
        <v>-38690</v>
      </c>
      <c r="I46" s="118">
        <f>ROUND(0.35*I43,0)</f>
        <v>-1450</v>
      </c>
      <c r="J46" s="118">
        <f>ROUND(0.35*J43,0)</f>
        <v>3135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3128.2155487616956</v>
      </c>
      <c r="G51" s="118">
        <f>G43-G46-G47-G48-G49</f>
        <v>-69159</v>
      </c>
      <c r="H51" s="118">
        <f>H43-H46-H47-H48-H49</f>
        <v>-71852</v>
      </c>
      <c r="I51" s="118">
        <f>I43-I46-I47-I48-I49</f>
        <v>-2694</v>
      </c>
      <c r="J51" s="118">
        <f>J43-J46-J47-J48-J49</f>
        <v>5821.2155487616965</v>
      </c>
    </row>
    <row r="52" spans="1:10">
      <c r="A52" s="114"/>
    </row>
    <row r="53" spans="1:10">
      <c r="B53" s="112" t="s">
        <v>659</v>
      </c>
    </row>
    <row r="55" spans="1:10">
      <c r="E55" s="882" t="s">
        <v>750</v>
      </c>
    </row>
    <row r="56" spans="1:10" ht="27" customHeight="1">
      <c r="A56" s="959" t="s">
        <v>754</v>
      </c>
      <c r="B56" s="959"/>
      <c r="C56" s="959"/>
      <c r="D56" s="959"/>
      <c r="E56" s="959"/>
      <c r="F56" s="959"/>
      <c r="G56" s="959"/>
      <c r="H56" s="959"/>
      <c r="I56" s="959"/>
      <c r="J56" s="959"/>
    </row>
  </sheetData>
  <sheetProtection selectLockedCells="1"/>
  <mergeCells count="4">
    <mergeCell ref="A1:F1"/>
    <mergeCell ref="A2:F2"/>
    <mergeCell ref="G1:I3"/>
    <mergeCell ref="A56:J56"/>
  </mergeCells>
  <phoneticPr fontId="57" type="noConversion"/>
  <pageMargins left="1.05" right="0.34" top="0.75" bottom="0.77" header="0.5" footer="0.52"/>
  <pageSetup scale="68" orientation="landscape" r:id="rId1"/>
  <headerFooter scaleWithDoc="0" alignWithMargins="0">
    <oddHeader>&amp;CBench Request 10.4 - Attachment B&amp;R Revised Exhibit No. EMA-9</oddHeader>
    <oddFooter>&amp;C 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0"/>
  <sheetViews>
    <sheetView tabSelected="1" view="pageBreakPreview" topLeftCell="A16" zoomScaleNormal="100" zoomScaleSheetLayoutView="100" workbookViewId="0">
      <selection sqref="A1:R1"/>
    </sheetView>
  </sheetViews>
  <sheetFormatPr defaultColWidth="9.140625" defaultRowHeight="12.75"/>
  <cols>
    <col min="1" max="1" width="22.140625" style="616" customWidth="1"/>
    <col min="2" max="2" width="10.42578125" style="616" customWidth="1"/>
    <col min="3" max="3" width="10.28515625" style="616" customWidth="1"/>
    <col min="4" max="4" width="9.85546875" style="616" customWidth="1"/>
    <col min="5" max="5" width="8" style="616" customWidth="1"/>
    <col min="6" max="6" width="12.140625" style="418" customWidth="1"/>
    <col min="7" max="7" width="3.7109375" style="418" customWidth="1"/>
    <col min="8" max="8" width="4.85546875" style="418" customWidth="1"/>
    <col min="9" max="9" width="22.140625" style="616" customWidth="1"/>
    <col min="10" max="10" width="10.42578125" style="616" customWidth="1"/>
    <col min="11" max="11" width="10.28515625" style="616" customWidth="1"/>
    <col min="12" max="12" width="9.85546875" style="616" customWidth="1"/>
    <col min="13" max="13" width="8" style="616" customWidth="1"/>
    <col min="14" max="14" width="12.140625" style="616" customWidth="1"/>
    <col min="15" max="15" width="3.140625" style="418" customWidth="1"/>
    <col min="16" max="16" width="13" style="616" customWidth="1"/>
    <col min="17" max="17" width="3.5703125" style="616" customWidth="1"/>
    <col min="18" max="18" width="12.140625" style="616" customWidth="1"/>
    <col min="19" max="16384" width="9.140625" style="418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 t="s">
        <v>6</v>
      </c>
      <c r="J1" s="53"/>
      <c r="K1" s="53"/>
      <c r="L1" s="53"/>
      <c r="M1" s="53"/>
      <c r="N1" s="53"/>
      <c r="P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 t="s">
        <v>125</v>
      </c>
      <c r="J2" s="53"/>
      <c r="K2" s="53"/>
      <c r="L2" s="53"/>
      <c r="M2" s="53"/>
      <c r="N2" s="53"/>
      <c r="P2" s="603" t="s">
        <v>732</v>
      </c>
      <c r="Q2" s="791"/>
      <c r="R2" s="603" t="s">
        <v>732</v>
      </c>
    </row>
    <row r="3" spans="1:18">
      <c r="A3" s="54" t="s">
        <v>736</v>
      </c>
      <c r="B3" s="53"/>
      <c r="C3" s="53"/>
      <c r="D3" s="53"/>
      <c r="E3" s="53"/>
      <c r="F3" s="53"/>
      <c r="G3" s="53"/>
      <c r="H3" s="53"/>
      <c r="I3" s="54" t="s">
        <v>707</v>
      </c>
      <c r="J3" s="53"/>
      <c r="K3" s="53"/>
      <c r="L3" s="53"/>
      <c r="M3" s="53"/>
      <c r="N3" s="53"/>
      <c r="P3" s="603" t="s">
        <v>733</v>
      </c>
      <c r="Q3" s="791"/>
      <c r="R3" s="603" t="s">
        <v>733</v>
      </c>
    </row>
    <row r="4" spans="1:18" ht="15">
      <c r="A4" s="955" t="s">
        <v>730</v>
      </c>
      <c r="B4" s="955"/>
      <c r="C4" s="955"/>
      <c r="D4" s="955"/>
      <c r="E4" s="955"/>
      <c r="F4" s="955"/>
      <c r="G4" s="70"/>
      <c r="I4" s="955" t="s">
        <v>731</v>
      </c>
      <c r="J4" s="955"/>
      <c r="K4" s="955"/>
      <c r="L4" s="955"/>
      <c r="M4" s="955"/>
      <c r="N4" s="955"/>
      <c r="P4" s="603" t="s">
        <v>734</v>
      </c>
      <c r="Q4" s="791"/>
      <c r="R4" s="603" t="s">
        <v>734</v>
      </c>
    </row>
    <row r="5" spans="1:18">
      <c r="D5" s="616" t="s">
        <v>549</v>
      </c>
      <c r="G5" s="70"/>
      <c r="H5" s="488"/>
      <c r="L5" s="616" t="s">
        <v>549</v>
      </c>
      <c r="P5" s="603" t="s">
        <v>735</v>
      </c>
      <c r="R5" s="603" t="s">
        <v>735</v>
      </c>
    </row>
    <row r="6" spans="1:18">
      <c r="D6" s="243" t="s">
        <v>88</v>
      </c>
      <c r="E6" s="794"/>
      <c r="F6" s="420" t="s">
        <v>8</v>
      </c>
      <c r="G6" s="70"/>
      <c r="H6" s="786"/>
      <c r="L6" s="243" t="s">
        <v>88</v>
      </c>
      <c r="M6" s="866"/>
      <c r="N6" s="866" t="s">
        <v>8</v>
      </c>
      <c r="P6" s="867" t="s">
        <v>88</v>
      </c>
      <c r="R6" s="867" t="s">
        <v>8</v>
      </c>
    </row>
    <row r="7" spans="1:18">
      <c r="D7" s="243" t="s">
        <v>87</v>
      </c>
      <c r="E7" s="794"/>
      <c r="F7" s="420" t="s">
        <v>5</v>
      </c>
      <c r="G7" s="70"/>
      <c r="L7" s="243" t="s">
        <v>87</v>
      </c>
      <c r="M7" s="866"/>
      <c r="N7" s="866" t="s">
        <v>5</v>
      </c>
      <c r="P7" s="867" t="s">
        <v>87</v>
      </c>
      <c r="R7" s="867" t="s">
        <v>5</v>
      </c>
    </row>
    <row r="8" spans="1:18">
      <c r="D8" s="491" t="s">
        <v>97</v>
      </c>
      <c r="E8" s="56"/>
      <c r="F8" s="56" t="s">
        <v>126</v>
      </c>
      <c r="G8" s="71"/>
      <c r="L8" s="491" t="s">
        <v>97</v>
      </c>
      <c r="M8" s="56"/>
      <c r="N8" s="56" t="s">
        <v>126</v>
      </c>
      <c r="P8" s="868" t="s">
        <v>97</v>
      </c>
      <c r="R8" s="868" t="s">
        <v>126</v>
      </c>
    </row>
    <row r="9" spans="1:18">
      <c r="A9" s="616" t="s">
        <v>9</v>
      </c>
      <c r="D9" s="16"/>
      <c r="E9" s="1"/>
      <c r="F9" s="183">
        <v>0.65629999999999999</v>
      </c>
      <c r="G9" s="893" t="s">
        <v>717</v>
      </c>
      <c r="I9" s="616" t="s">
        <v>9</v>
      </c>
      <c r="L9" s="16"/>
      <c r="M9" s="1"/>
      <c r="N9" s="183">
        <v>0.65629999999999999</v>
      </c>
      <c r="O9" s="893" t="s">
        <v>717</v>
      </c>
      <c r="Q9" s="893" t="s">
        <v>717</v>
      </c>
      <c r="R9" s="183">
        <v>0.65629999999999999</v>
      </c>
    </row>
    <row r="10" spans="1:18">
      <c r="D10" s="892" t="s">
        <v>699</v>
      </c>
      <c r="G10" s="70"/>
      <c r="L10" s="16"/>
    </row>
    <row r="11" spans="1:18">
      <c r="A11" s="616" t="s">
        <v>10</v>
      </c>
      <c r="D11" s="522">
        <v>49445</v>
      </c>
      <c r="E11" s="57"/>
      <c r="F11" s="522">
        <f>F$9*D11</f>
        <v>32450.753499999999</v>
      </c>
      <c r="G11" s="63"/>
      <c r="H11" s="57"/>
      <c r="I11" s="616" t="s">
        <v>10</v>
      </c>
      <c r="L11" s="244">
        <v>52640</v>
      </c>
      <c r="M11" s="244"/>
      <c r="N11" s="244">
        <f>N$9*L11</f>
        <v>34547.631999999998</v>
      </c>
      <c r="P11" s="57">
        <f>D11-L11</f>
        <v>-3195</v>
      </c>
      <c r="R11" s="57">
        <f>R$9*P11</f>
        <v>-2096.8784999999998</v>
      </c>
    </row>
    <row r="12" spans="1:18">
      <c r="A12" s="616" t="s">
        <v>11</v>
      </c>
      <c r="D12" s="58">
        <v>466</v>
      </c>
      <c r="E12" s="58"/>
      <c r="F12" s="58">
        <f>F$9*D12</f>
        <v>305.83580000000001</v>
      </c>
      <c r="G12" s="60"/>
      <c r="H12" s="57"/>
      <c r="I12" s="616" t="s">
        <v>11</v>
      </c>
      <c r="L12" s="245">
        <v>466</v>
      </c>
      <c r="M12" s="245"/>
      <c r="N12" s="245">
        <f>N$9*L12</f>
        <v>305.83580000000001</v>
      </c>
      <c r="P12" s="58"/>
      <c r="R12" s="58">
        <f>R$9*P12</f>
        <v>0</v>
      </c>
    </row>
    <row r="13" spans="1:18">
      <c r="A13" s="616" t="s">
        <v>12</v>
      </c>
      <c r="D13" s="58">
        <v>0</v>
      </c>
      <c r="E13" s="58"/>
      <c r="F13" s="58">
        <f>F$9*D13</f>
        <v>0</v>
      </c>
      <c r="G13" s="60"/>
      <c r="H13" s="57"/>
      <c r="I13" s="616" t="s">
        <v>12</v>
      </c>
      <c r="L13" s="245">
        <v>0</v>
      </c>
      <c r="M13" s="245"/>
      <c r="N13" s="245">
        <f>N$9*L13</f>
        <v>0</v>
      </c>
      <c r="P13" s="58"/>
      <c r="R13" s="58">
        <f>R$9*P13</f>
        <v>0</v>
      </c>
    </row>
    <row r="14" spans="1:18">
      <c r="A14" s="616" t="s">
        <v>378</v>
      </c>
      <c r="C14" s="616" t="s">
        <v>97</v>
      </c>
      <c r="D14" s="520">
        <v>17522</v>
      </c>
      <c r="E14" s="58"/>
      <c r="F14" s="520">
        <f>F$9*D14</f>
        <v>11499.688599999999</v>
      </c>
      <c r="G14" s="60"/>
      <c r="H14" s="57"/>
      <c r="I14" s="616" t="s">
        <v>378</v>
      </c>
      <c r="K14" s="616" t="s">
        <v>97</v>
      </c>
      <c r="L14" s="245">
        <f>16428-L15-L16-300</f>
        <v>16128</v>
      </c>
      <c r="M14" s="245"/>
      <c r="N14" s="245">
        <f>N$9*L14</f>
        <v>10584.806399999999</v>
      </c>
      <c r="P14" s="57">
        <f>D14-L14</f>
        <v>1394</v>
      </c>
      <c r="Q14" s="892" t="s">
        <v>753</v>
      </c>
      <c r="R14" s="57">
        <f>R$9*P14</f>
        <v>914.88220000000001</v>
      </c>
    </row>
    <row r="15" spans="1:18" s="447" customFormat="1">
      <c r="A15" s="616" t="s">
        <v>378</v>
      </c>
      <c r="B15" s="616"/>
      <c r="C15" s="616" t="s">
        <v>471</v>
      </c>
      <c r="D15" s="245">
        <v>0</v>
      </c>
      <c r="E15" s="58"/>
      <c r="F15" s="60">
        <f>D15</f>
        <v>0</v>
      </c>
      <c r="G15" s="60"/>
      <c r="H15" s="57"/>
      <c r="I15" s="616" t="s">
        <v>378</v>
      </c>
      <c r="J15" s="616"/>
      <c r="K15" s="616" t="s">
        <v>471</v>
      </c>
      <c r="L15" s="245">
        <v>0</v>
      </c>
      <c r="M15" s="245"/>
      <c r="N15" s="320">
        <f>L15</f>
        <v>0</v>
      </c>
      <c r="P15" s="245"/>
      <c r="Q15" s="616"/>
      <c r="R15" s="60">
        <f>P15</f>
        <v>0</v>
      </c>
    </row>
    <row r="16" spans="1:18" s="447" customFormat="1">
      <c r="A16" s="616" t="s">
        <v>378</v>
      </c>
      <c r="B16" s="616"/>
      <c r="C16" s="616" t="s">
        <v>472</v>
      </c>
      <c r="D16" s="245">
        <v>0</v>
      </c>
      <c r="E16" s="58"/>
      <c r="F16" s="60">
        <v>0</v>
      </c>
      <c r="G16" s="60"/>
      <c r="H16" s="57"/>
      <c r="I16" s="616" t="s">
        <v>378</v>
      </c>
      <c r="J16" s="616"/>
      <c r="K16" s="616" t="s">
        <v>472</v>
      </c>
      <c r="L16" s="245">
        <v>0</v>
      </c>
      <c r="M16" s="245"/>
      <c r="N16" s="320">
        <v>0</v>
      </c>
      <c r="P16" s="245"/>
      <c r="Q16" s="616"/>
      <c r="R16" s="60">
        <v>0</v>
      </c>
    </row>
    <row r="17" spans="1:21">
      <c r="A17" s="616" t="s">
        <v>13</v>
      </c>
      <c r="D17" s="245">
        <v>0</v>
      </c>
      <c r="E17" s="58"/>
      <c r="F17" s="58">
        <f>F$9*D17</f>
        <v>0</v>
      </c>
      <c r="G17" s="60"/>
      <c r="H17" s="57"/>
      <c r="I17" s="616" t="s">
        <v>13</v>
      </c>
      <c r="L17" s="245">
        <v>0</v>
      </c>
      <c r="M17" s="245"/>
      <c r="N17" s="245">
        <f>N$9*L17</f>
        <v>0</v>
      </c>
      <c r="P17" s="58"/>
      <c r="R17" s="58">
        <f>R$9*P17</f>
        <v>0</v>
      </c>
    </row>
    <row r="18" spans="1:21">
      <c r="A18" s="616" t="s">
        <v>127</v>
      </c>
      <c r="D18" s="246">
        <v>0</v>
      </c>
      <c r="E18" s="60"/>
      <c r="F18" s="59">
        <f>D18</f>
        <v>0</v>
      </c>
      <c r="G18" s="60"/>
      <c r="H18" s="57"/>
      <c r="I18" s="616" t="s">
        <v>127</v>
      </c>
      <c r="L18" s="246">
        <v>0</v>
      </c>
      <c r="M18" s="320"/>
      <c r="N18" s="246">
        <f>L18</f>
        <v>0</v>
      </c>
      <c r="P18" s="59"/>
      <c r="R18" s="59">
        <f>P18</f>
        <v>0</v>
      </c>
    </row>
    <row r="19" spans="1:21">
      <c r="A19" s="616" t="s">
        <v>14</v>
      </c>
      <c r="D19" s="245">
        <f>SUM(D11:D18)</f>
        <v>67433</v>
      </c>
      <c r="E19" s="60"/>
      <c r="F19" s="58">
        <f>SUM(F11:F18)</f>
        <v>44256.277900000001</v>
      </c>
      <c r="G19" s="60"/>
      <c r="H19" s="57"/>
      <c r="I19" s="616" t="s">
        <v>14</v>
      </c>
      <c r="L19" s="245">
        <f>SUM(L11:L18)</f>
        <v>69234</v>
      </c>
      <c r="M19" s="320"/>
      <c r="N19" s="245">
        <f>SUM(N11:N18)</f>
        <v>45438.2742</v>
      </c>
      <c r="P19" s="58">
        <f>SUM(P11:P18)</f>
        <v>-1801</v>
      </c>
      <c r="R19" s="58">
        <f>SUM(R11:R18)</f>
        <v>-1181.9962999999998</v>
      </c>
    </row>
    <row r="20" spans="1:21">
      <c r="D20" s="245"/>
      <c r="E20" s="60"/>
      <c r="F20" s="58"/>
      <c r="G20" s="60"/>
      <c r="H20" s="57"/>
      <c r="L20" s="245"/>
      <c r="M20" s="320"/>
      <c r="N20" s="245"/>
      <c r="P20" s="58"/>
      <c r="R20" s="58"/>
    </row>
    <row r="21" spans="1:21">
      <c r="D21" s="245"/>
      <c r="E21" s="60"/>
      <c r="F21" s="58"/>
      <c r="G21" s="60"/>
      <c r="H21" s="244"/>
      <c r="L21" s="245"/>
      <c r="M21" s="320"/>
      <c r="N21" s="245"/>
      <c r="P21" s="58"/>
      <c r="R21" s="58"/>
    </row>
    <row r="22" spans="1:21">
      <c r="A22" s="616" t="s">
        <v>15</v>
      </c>
      <c r="D22" s="520">
        <v>29156</v>
      </c>
      <c r="E22" s="60"/>
      <c r="F22" s="520">
        <f>F$9*D22</f>
        <v>19135.0828</v>
      </c>
      <c r="G22" s="60"/>
      <c r="H22" s="244"/>
      <c r="I22" s="616" t="s">
        <v>15</v>
      </c>
      <c r="L22" s="245">
        <v>29255</v>
      </c>
      <c r="M22" s="320"/>
      <c r="N22" s="245">
        <f>N$9*L22</f>
        <v>19200.056499999999</v>
      </c>
      <c r="P22" s="57">
        <f>D22-L22</f>
        <v>-99</v>
      </c>
      <c r="R22" s="58">
        <f t="shared" ref="R22:R26" si="0">R$9*P22</f>
        <v>-64.973699999999994</v>
      </c>
    </row>
    <row r="23" spans="1:21">
      <c r="A23" s="616" t="s">
        <v>16</v>
      </c>
      <c r="D23" s="58">
        <v>0</v>
      </c>
      <c r="E23" s="60"/>
      <c r="F23" s="58">
        <f t="shared" ref="F23:F30" si="1">F$9*D23</f>
        <v>0</v>
      </c>
      <c r="G23" s="60"/>
      <c r="H23" s="244"/>
      <c r="I23" s="616" t="s">
        <v>16</v>
      </c>
      <c r="L23" s="245">
        <v>0</v>
      </c>
      <c r="M23" s="320"/>
      <c r="N23" s="245">
        <f t="shared" ref="N23:N30" si="2">N$9*L23</f>
        <v>0</v>
      </c>
      <c r="P23" s="58"/>
      <c r="R23" s="58">
        <f t="shared" si="0"/>
        <v>0</v>
      </c>
    </row>
    <row r="24" spans="1:21">
      <c r="A24" s="616" t="s">
        <v>17</v>
      </c>
      <c r="D24" s="520">
        <v>74567</v>
      </c>
      <c r="E24" s="60"/>
      <c r="F24" s="520">
        <f t="shared" si="1"/>
        <v>48938.322099999998</v>
      </c>
      <c r="G24" s="60"/>
      <c r="H24" s="244"/>
      <c r="I24" s="616" t="s">
        <v>17</v>
      </c>
      <c r="L24" s="245">
        <v>78651</v>
      </c>
      <c r="M24" s="320"/>
      <c r="N24" s="245">
        <f t="shared" si="2"/>
        <v>51618.651299999998</v>
      </c>
      <c r="P24" s="57">
        <f>D24-L24</f>
        <v>-4084</v>
      </c>
      <c r="R24" s="58">
        <f t="shared" si="0"/>
        <v>-2680.3292000000001</v>
      </c>
    </row>
    <row r="25" spans="1:21">
      <c r="A25" s="616" t="s">
        <v>18</v>
      </c>
      <c r="D25" s="58">
        <v>1029</v>
      </c>
      <c r="E25" s="60"/>
      <c r="F25" s="58">
        <f t="shared" si="1"/>
        <v>675.33270000000005</v>
      </c>
      <c r="G25" s="60"/>
      <c r="H25" s="244"/>
      <c r="I25" s="616" t="s">
        <v>18</v>
      </c>
      <c r="L25" s="245">
        <v>1029</v>
      </c>
      <c r="M25" s="320"/>
      <c r="N25" s="245">
        <f t="shared" si="2"/>
        <v>675.33270000000005</v>
      </c>
      <c r="P25" s="58"/>
      <c r="R25" s="58">
        <f t="shared" si="0"/>
        <v>0</v>
      </c>
    </row>
    <row r="26" spans="1:21">
      <c r="A26" s="616" t="s">
        <v>19</v>
      </c>
      <c r="D26" s="520">
        <v>113111</v>
      </c>
      <c r="E26" s="60"/>
      <c r="F26" s="520">
        <f>F$9*D26</f>
        <v>74234.749299999996</v>
      </c>
      <c r="G26" s="60"/>
      <c r="H26" s="244"/>
      <c r="I26" s="616" t="s">
        <v>19</v>
      </c>
      <c r="L26" s="245">
        <v>112976</v>
      </c>
      <c r="M26" s="320"/>
      <c r="N26" s="245">
        <f>N$9*L26</f>
        <v>74146.148799999995</v>
      </c>
      <c r="P26" s="57">
        <f>D26-L26</f>
        <v>135</v>
      </c>
      <c r="R26" s="58">
        <f t="shared" si="0"/>
        <v>88.600499999999997</v>
      </c>
    </row>
    <row r="27" spans="1:21">
      <c r="A27" s="616" t="s">
        <v>20</v>
      </c>
      <c r="D27" s="58">
        <v>0</v>
      </c>
      <c r="E27" s="60"/>
      <c r="F27" s="245">
        <v>0</v>
      </c>
      <c r="G27" s="60"/>
      <c r="H27" s="16"/>
      <c r="I27" s="616" t="s">
        <v>20</v>
      </c>
      <c r="L27" s="245">
        <v>0</v>
      </c>
      <c r="M27" s="320"/>
      <c r="N27" s="245">
        <v>0</v>
      </c>
      <c r="P27" s="58"/>
      <c r="R27" s="245">
        <v>0</v>
      </c>
    </row>
    <row r="28" spans="1:21">
      <c r="A28" s="616" t="s">
        <v>21</v>
      </c>
      <c r="D28" s="58">
        <v>0</v>
      </c>
      <c r="E28" s="60"/>
      <c r="F28" s="58">
        <f t="shared" si="1"/>
        <v>0</v>
      </c>
      <c r="G28" s="60"/>
      <c r="H28" s="244"/>
      <c r="I28" s="616" t="s">
        <v>21</v>
      </c>
      <c r="L28" s="245">
        <v>0</v>
      </c>
      <c r="M28" s="320"/>
      <c r="N28" s="245">
        <f t="shared" si="2"/>
        <v>0</v>
      </c>
      <c r="P28" s="58"/>
      <c r="R28" s="58">
        <f t="shared" ref="R28:R30" si="3">R$9*P28</f>
        <v>0</v>
      </c>
      <c r="U28" s="16"/>
    </row>
    <row r="29" spans="1:21">
      <c r="A29" s="616" t="s">
        <v>22</v>
      </c>
      <c r="D29" s="58">
        <v>0</v>
      </c>
      <c r="E29" s="60"/>
      <c r="F29" s="58">
        <f t="shared" si="1"/>
        <v>0</v>
      </c>
      <c r="G29" s="60"/>
      <c r="H29" s="244"/>
      <c r="I29" s="616" t="s">
        <v>22</v>
      </c>
      <c r="L29" s="245">
        <v>0</v>
      </c>
      <c r="M29" s="320"/>
      <c r="N29" s="245">
        <f t="shared" si="2"/>
        <v>0</v>
      </c>
      <c r="P29" s="58"/>
      <c r="R29" s="58">
        <f t="shared" si="3"/>
        <v>0</v>
      </c>
    </row>
    <row r="30" spans="1:21">
      <c r="A30" s="616" t="s">
        <v>23</v>
      </c>
      <c r="D30" s="58">
        <v>407</v>
      </c>
      <c r="E30" s="60"/>
      <c r="F30" s="58">
        <f t="shared" si="1"/>
        <v>267.11410000000001</v>
      </c>
      <c r="G30" s="60"/>
      <c r="H30" s="244"/>
      <c r="I30" s="616" t="s">
        <v>23</v>
      </c>
      <c r="L30" s="245">
        <v>407</v>
      </c>
      <c r="M30" s="320"/>
      <c r="N30" s="245">
        <f t="shared" si="2"/>
        <v>267.11410000000001</v>
      </c>
      <c r="P30" s="58"/>
      <c r="R30" s="58">
        <f t="shared" si="3"/>
        <v>0</v>
      </c>
    </row>
    <row r="31" spans="1:21">
      <c r="A31" s="616" t="s">
        <v>563</v>
      </c>
      <c r="D31" s="58">
        <v>0</v>
      </c>
      <c r="E31" s="60"/>
      <c r="F31" s="245">
        <v>0</v>
      </c>
      <c r="G31" s="60"/>
      <c r="H31" s="601"/>
      <c r="I31" s="616" t="s">
        <v>563</v>
      </c>
      <c r="L31" s="245">
        <v>0</v>
      </c>
      <c r="M31" s="320"/>
      <c r="N31" s="245">
        <v>0</v>
      </c>
      <c r="P31" s="58"/>
      <c r="R31" s="245">
        <v>0</v>
      </c>
    </row>
    <row r="32" spans="1:21">
      <c r="A32" s="616" t="s">
        <v>24</v>
      </c>
      <c r="D32" s="520">
        <v>17595</v>
      </c>
      <c r="E32" s="60"/>
      <c r="F32" s="520">
        <f>F$9*D32</f>
        <v>11547.5985</v>
      </c>
      <c r="G32" s="60"/>
      <c r="H32" s="244"/>
      <c r="I32" s="616" t="s">
        <v>24</v>
      </c>
      <c r="L32" s="245">
        <v>18169</v>
      </c>
      <c r="M32" s="320"/>
      <c r="N32" s="245">
        <f>N$9*L32</f>
        <v>11924.314699999999</v>
      </c>
      <c r="P32" s="57">
        <f>D32-L32</f>
        <v>-574</v>
      </c>
      <c r="R32" s="58">
        <f>R$9*P32</f>
        <v>-376.71620000000001</v>
      </c>
    </row>
    <row r="33" spans="1:19">
      <c r="A33" s="616" t="s">
        <v>25</v>
      </c>
      <c r="D33" s="247">
        <f>SUM(D22:D32)</f>
        <v>235865</v>
      </c>
      <c r="E33" s="60"/>
      <c r="F33" s="61">
        <f>SUM(F22:F32)</f>
        <v>154798.19949999999</v>
      </c>
      <c r="G33" s="60"/>
      <c r="H33" s="244"/>
      <c r="I33" s="616" t="s">
        <v>25</v>
      </c>
      <c r="L33" s="247">
        <f>SUM(L22:L32)</f>
        <v>240487</v>
      </c>
      <c r="M33" s="320"/>
      <c r="N33" s="247">
        <f>SUM(N22:N32)</f>
        <v>157831.61809999999</v>
      </c>
      <c r="P33" s="61">
        <f>SUM(P22:P32)</f>
        <v>-4622</v>
      </c>
      <c r="R33" s="61">
        <f>SUM(R22:R32)</f>
        <v>-3033.4186</v>
      </c>
    </row>
    <row r="34" spans="1:19">
      <c r="D34" s="16"/>
      <c r="G34" s="70"/>
      <c r="H34" s="244"/>
      <c r="L34" s="16"/>
    </row>
    <row r="35" spans="1:19">
      <c r="A35" s="616" t="s">
        <v>26</v>
      </c>
      <c r="D35" s="245">
        <f>D19-D33</f>
        <v>-168432</v>
      </c>
      <c r="E35" s="58"/>
      <c r="F35" s="58">
        <f>F19-F33</f>
        <v>-110541.92159999999</v>
      </c>
      <c r="G35" s="60"/>
      <c r="H35" s="244"/>
      <c r="I35" s="616" t="s">
        <v>26</v>
      </c>
      <c r="L35" s="245">
        <f>L19-L33</f>
        <v>-171253</v>
      </c>
      <c r="M35" s="58"/>
      <c r="N35" s="58">
        <f>N19-N33</f>
        <v>-112393.34389999999</v>
      </c>
      <c r="P35" s="58">
        <f>P19-P33</f>
        <v>2821</v>
      </c>
      <c r="R35" s="58">
        <f>R19-R33</f>
        <v>1851.4223000000002</v>
      </c>
    </row>
    <row r="36" spans="1:19">
      <c r="D36" s="16"/>
      <c r="E36" s="58"/>
      <c r="F36" s="58"/>
      <c r="G36" s="58"/>
      <c r="H36" s="16"/>
      <c r="L36" s="16"/>
      <c r="M36" s="58"/>
      <c r="N36" s="58"/>
      <c r="R36" s="58"/>
    </row>
    <row r="37" spans="1:19">
      <c r="A37" s="616" t="s">
        <v>27</v>
      </c>
      <c r="C37" s="62">
        <v>0.35</v>
      </c>
      <c r="D37" s="16"/>
      <c r="E37" s="63"/>
      <c r="F37" s="59">
        <f>C37*F35</f>
        <v>-38689.672559999992</v>
      </c>
      <c r="G37" s="57"/>
      <c r="H37" s="16"/>
      <c r="I37" s="616" t="s">
        <v>27</v>
      </c>
      <c r="K37" s="62">
        <v>0.35</v>
      </c>
      <c r="L37" s="16"/>
      <c r="M37" s="63"/>
      <c r="N37" s="59">
        <f>K37*N35</f>
        <v>-39337.670364999998</v>
      </c>
      <c r="R37" s="59">
        <f>K37*R35</f>
        <v>647.99780499999997</v>
      </c>
    </row>
    <row r="38" spans="1:19">
      <c r="D38" s="16"/>
      <c r="E38" s="63"/>
      <c r="F38" s="57"/>
      <c r="G38" s="57"/>
      <c r="H38" s="16"/>
      <c r="L38" s="16"/>
      <c r="M38" s="63"/>
      <c r="N38" s="57"/>
      <c r="R38" s="57"/>
    </row>
    <row r="39" spans="1:19">
      <c r="A39" s="616" t="s">
        <v>28</v>
      </c>
      <c r="D39" s="16"/>
      <c r="E39" s="58"/>
      <c r="F39" s="57">
        <f>F35-F37-1</f>
        <v>-71853.249039999995</v>
      </c>
      <c r="G39" s="58"/>
      <c r="H39" s="16"/>
      <c r="I39" s="616" t="s">
        <v>28</v>
      </c>
      <c r="L39" s="16"/>
      <c r="M39" s="58"/>
      <c r="N39" s="57">
        <f>N35-N37</f>
        <v>-73055.673534999994</v>
      </c>
      <c r="R39" s="522">
        <f>R35-R37</f>
        <v>1203.4244950000002</v>
      </c>
    </row>
    <row r="40" spans="1:19" ht="13.5" thickBot="1">
      <c r="D40" s="16"/>
      <c r="E40" s="58"/>
      <c r="F40" s="58"/>
      <c r="G40" s="58"/>
      <c r="H40" s="16"/>
      <c r="L40" s="16"/>
      <c r="M40" s="58"/>
      <c r="N40" s="58"/>
      <c r="O40" s="870" t="s">
        <v>739</v>
      </c>
      <c r="P40" s="616">
        <v>0.61931000000000003</v>
      </c>
      <c r="R40" s="58"/>
    </row>
    <row r="41" spans="1:19" ht="13.5" thickBot="1">
      <c r="A41" s="869" t="s">
        <v>738</v>
      </c>
      <c r="D41" s="16"/>
      <c r="H41" s="16"/>
      <c r="I41" s="73"/>
      <c r="L41" s="16"/>
      <c r="Q41" s="913" t="s">
        <v>762</v>
      </c>
      <c r="R41" s="900">
        <f>R39/P40*-1</f>
        <v>-1943.169809949783</v>
      </c>
    </row>
    <row r="42" spans="1:19">
      <c r="H42" s="16"/>
      <c r="L42" s="909" t="s">
        <v>741</v>
      </c>
      <c r="M42" s="910"/>
      <c r="N42" s="910"/>
      <c r="O42" s="869"/>
      <c r="P42" s="869"/>
      <c r="Q42" s="913" t="s">
        <v>763</v>
      </c>
      <c r="R42" s="873">
        <v>-335</v>
      </c>
    </row>
    <row r="43" spans="1:19" ht="13.5" thickBot="1">
      <c r="L43" s="901" t="s">
        <v>742</v>
      </c>
      <c r="M43" s="911"/>
      <c r="N43" s="911"/>
      <c r="O43" s="902"/>
      <c r="P43" s="902"/>
      <c r="Q43" s="903"/>
      <c r="R43" s="904">
        <f>R41-R42</f>
        <v>-1608.169809949783</v>
      </c>
    </row>
    <row r="44" spans="1:19" ht="15.75" thickBot="1">
      <c r="F44" s="881" t="s">
        <v>749</v>
      </c>
      <c r="L44" s="905" t="s">
        <v>761</v>
      </c>
      <c r="M44" s="912"/>
      <c r="N44" s="912"/>
      <c r="O44" s="906"/>
      <c r="P44" s="907"/>
      <c r="Q44" s="914" t="s">
        <v>764</v>
      </c>
      <c r="R44" s="908">
        <f>R43/'Attrition 12.2015 to 2018'!V89-1</f>
        <v>-1579.2064583208498</v>
      </c>
    </row>
    <row r="45" spans="1:19" ht="26.25" customHeight="1">
      <c r="A45" s="960" t="s">
        <v>755</v>
      </c>
      <c r="B45" s="960"/>
      <c r="C45" s="960"/>
      <c r="D45" s="960"/>
      <c r="E45" s="960"/>
      <c r="F45" s="960"/>
      <c r="G45" s="960"/>
      <c r="H45" s="960"/>
      <c r="I45" s="960"/>
      <c r="J45" s="960"/>
      <c r="K45" s="960"/>
      <c r="L45" s="960"/>
      <c r="M45" s="960"/>
      <c r="N45" s="960"/>
      <c r="O45" s="960"/>
      <c r="P45" s="960"/>
      <c r="Q45" s="960"/>
      <c r="R45" s="960"/>
      <c r="S45" s="890"/>
    </row>
    <row r="46" spans="1:19">
      <c r="A46" s="884" t="s">
        <v>751</v>
      </c>
      <c r="B46" s="884"/>
      <c r="C46" s="884"/>
      <c r="D46" s="885"/>
      <c r="E46" s="886"/>
      <c r="F46" s="885"/>
      <c r="G46" s="886"/>
      <c r="H46" s="887"/>
      <c r="I46" s="884"/>
      <c r="J46" s="884"/>
      <c r="K46" s="884"/>
      <c r="L46" s="884"/>
      <c r="M46" s="885"/>
      <c r="N46" s="886"/>
      <c r="O46" s="885"/>
      <c r="P46" s="884"/>
      <c r="Q46" s="885"/>
      <c r="R46" s="884"/>
      <c r="S46" s="885"/>
    </row>
    <row r="47" spans="1:19">
      <c r="A47" s="884" t="s">
        <v>752</v>
      </c>
      <c r="B47" s="884"/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4"/>
      <c r="S47" s="884"/>
    </row>
    <row r="48" spans="1:19">
      <c r="A48" s="616" t="s">
        <v>766</v>
      </c>
    </row>
    <row r="49" spans="1:1">
      <c r="A49" s="616" t="s">
        <v>765</v>
      </c>
    </row>
    <row r="50" spans="1:1">
      <c r="A50" s="616" t="s">
        <v>767</v>
      </c>
    </row>
  </sheetData>
  <mergeCells count="3">
    <mergeCell ref="A4:F4"/>
    <mergeCell ref="I4:N4"/>
    <mergeCell ref="A45:R45"/>
  </mergeCells>
  <pageMargins left="1.05" right="0.34" top="0.75" bottom="0.77" header="0.5" footer="0.52"/>
  <pageSetup scale="67" orientation="landscape" r:id="rId1"/>
  <headerFooter scaleWithDoc="0" alignWithMargins="0">
    <oddHeader>&amp;CBench Request 10.4 - Attachment B&amp;RRevised Exhibit No. EMA-9</oddHeader>
    <oddFooter>&amp;C&amp;A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115" zoomScaleNormal="100" zoomScaleSheetLayoutView="115" workbookViewId="0">
      <selection activeCell="O16" sqref="O16"/>
    </sheetView>
  </sheetViews>
  <sheetFormatPr defaultRowHeight="12.75"/>
  <cols>
    <col min="1" max="1" width="25.7109375" customWidth="1"/>
    <col min="7" max="7" width="11.140625" customWidth="1"/>
    <col min="8" max="8" width="9.140625" style="439"/>
  </cols>
  <sheetData>
    <row r="1" spans="1:8" s="439" customFormat="1">
      <c r="B1" s="542">
        <v>2009</v>
      </c>
      <c r="C1" s="542">
        <v>2010</v>
      </c>
      <c r="D1" s="542">
        <v>2011</v>
      </c>
      <c r="E1" s="542">
        <v>2012</v>
      </c>
      <c r="F1" s="542">
        <v>2013</v>
      </c>
      <c r="G1" s="542">
        <v>2014</v>
      </c>
      <c r="H1" s="542">
        <v>2015</v>
      </c>
    </row>
    <row r="2" spans="1:8">
      <c r="A2" t="s">
        <v>570</v>
      </c>
      <c r="B2" s="249">
        <f>'Cost Trends'!O141</f>
        <v>2813.6201999999994</v>
      </c>
      <c r="C2" s="249">
        <f>'Cost Trends'!P141</f>
        <v>2813.1288000000004</v>
      </c>
      <c r="D2" s="249">
        <f>'Cost Trends'!Q141</f>
        <v>2812.3060000000005</v>
      </c>
      <c r="E2" s="249">
        <f>'Cost Trends'!R141</f>
        <v>3314.6805999999997</v>
      </c>
      <c r="F2" s="249">
        <f>'Cost Trends'!S141</f>
        <v>3464</v>
      </c>
      <c r="G2" s="249">
        <f>'Cost Trends'!T141</f>
        <v>3478.6275000000005</v>
      </c>
      <c r="H2" s="249">
        <f>'Cost Trends'!U141</f>
        <v>2450.3426999999992</v>
      </c>
    </row>
    <row r="3" spans="1:8">
      <c r="H3" s="378"/>
    </row>
    <row r="5" spans="1:8">
      <c r="A5" s="439" t="s">
        <v>575</v>
      </c>
      <c r="B5" s="2">
        <v>31.888000000000002</v>
      </c>
      <c r="C5" s="439"/>
    </row>
    <row r="6" spans="1:8">
      <c r="A6" s="439" t="s">
        <v>573</v>
      </c>
      <c r="B6" s="544">
        <f>B5/H2</f>
        <v>1.3013689881011342E-2</v>
      </c>
      <c r="C6" s="439"/>
    </row>
    <row r="7" spans="1:8">
      <c r="A7" s="440" t="s">
        <v>586</v>
      </c>
      <c r="B7" s="544">
        <f>B6*2.5</f>
        <v>3.2534224702528355E-2</v>
      </c>
      <c r="C7" s="865" t="s">
        <v>577</v>
      </c>
      <c r="D7" s="540"/>
      <c r="E7" s="540"/>
      <c r="F7" s="540"/>
      <c r="G7" s="540"/>
    </row>
    <row r="8" spans="1:8">
      <c r="C8" s="961" t="s">
        <v>729</v>
      </c>
      <c r="D8" s="961"/>
      <c r="E8" s="961"/>
      <c r="F8" s="961"/>
      <c r="G8" s="961"/>
    </row>
    <row r="9" spans="1:8">
      <c r="C9" s="961"/>
      <c r="D9" s="961"/>
      <c r="E9" s="961"/>
      <c r="F9" s="961"/>
      <c r="G9" s="961"/>
    </row>
  </sheetData>
  <mergeCells count="1">
    <mergeCell ref="C8:G9"/>
  </mergeCells>
  <printOptions horizontalCentered="1"/>
  <pageMargins left="0.7" right="0.7" top="0.75" bottom="0.75" header="0.3" footer="0.3"/>
  <pageSetup orientation="landscape" r:id="rId1"/>
  <headerFooter scaleWithDoc="0">
    <oddHeader>&amp;RExhibit No. __(EMA-9)</oddHeader>
    <oddFooter>&amp;CWA 2018 Electric&amp;RPage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workbookViewId="0"/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28" t="s">
        <v>595</v>
      </c>
      <c r="B1" s="629"/>
      <c r="C1" s="629"/>
      <c r="D1" s="629"/>
      <c r="E1" s="629"/>
      <c r="F1" s="629"/>
      <c r="G1" s="629"/>
      <c r="H1" s="629"/>
      <c r="I1" s="629"/>
    </row>
    <row r="2" spans="1:18" ht="22.5" customHeight="1">
      <c r="A2" s="628"/>
      <c r="B2" s="630" t="str">
        <f>IF(Base1_Billing2=2,"BILLED","")</f>
        <v/>
      </c>
      <c r="C2" s="629"/>
      <c r="D2" s="629"/>
      <c r="E2" s="629"/>
      <c r="F2" s="629"/>
      <c r="G2" s="629"/>
      <c r="H2" s="629"/>
      <c r="I2" s="629"/>
    </row>
    <row r="3" spans="1:18">
      <c r="A3" s="628"/>
      <c r="B3" s="629"/>
      <c r="C3" s="629"/>
      <c r="D3" s="629"/>
      <c r="E3" s="629"/>
      <c r="F3" s="629"/>
      <c r="G3" s="629"/>
      <c r="H3" s="629"/>
      <c r="I3" s="629"/>
    </row>
    <row r="4" spans="1:18" s="88" customFormat="1">
      <c r="A4" s="628" t="s">
        <v>146</v>
      </c>
      <c r="B4" s="631"/>
      <c r="C4" s="631" t="s">
        <v>95</v>
      </c>
      <c r="D4" s="631" t="s">
        <v>100</v>
      </c>
      <c r="E4" s="631" t="s">
        <v>102</v>
      </c>
      <c r="F4" s="631" t="s">
        <v>104</v>
      </c>
      <c r="G4" s="631" t="s">
        <v>106</v>
      </c>
      <c r="H4" s="631" t="s">
        <v>108</v>
      </c>
      <c r="I4" s="631" t="s">
        <v>110</v>
      </c>
    </row>
    <row r="5" spans="1:18" s="88" customFormat="1">
      <c r="A5" s="628" t="s">
        <v>147</v>
      </c>
      <c r="B5" s="631"/>
      <c r="C5" s="632" t="s">
        <v>86</v>
      </c>
      <c r="D5" s="632" t="s">
        <v>101</v>
      </c>
      <c r="E5" s="632" t="s">
        <v>103</v>
      </c>
      <c r="F5" s="632" t="s">
        <v>105</v>
      </c>
      <c r="G5" s="632" t="s">
        <v>107</v>
      </c>
      <c r="H5" s="632" t="s">
        <v>109</v>
      </c>
      <c r="I5" s="632" t="s">
        <v>111</v>
      </c>
      <c r="P5" s="89" t="s">
        <v>148</v>
      </c>
    </row>
    <row r="6" spans="1:18" ht="11.25" customHeight="1">
      <c r="A6" s="628"/>
      <c r="B6" s="633" t="s">
        <v>149</v>
      </c>
      <c r="C6" s="629"/>
      <c r="D6" s="629"/>
      <c r="E6" s="629"/>
      <c r="F6" s="629"/>
      <c r="G6" s="629"/>
      <c r="H6" s="629"/>
      <c r="I6" s="629"/>
      <c r="K6" s="88"/>
      <c r="L6" s="90" t="s">
        <v>150</v>
      </c>
      <c r="M6" s="88"/>
      <c r="N6" s="88"/>
      <c r="P6" s="962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62"/>
      <c r="R6" s="962"/>
    </row>
    <row r="7" spans="1:18" ht="10.15" customHeight="1">
      <c r="A7" s="628"/>
      <c r="B7" s="634" t="s">
        <v>151</v>
      </c>
      <c r="C7" s="629"/>
      <c r="D7" s="629"/>
      <c r="E7" s="629"/>
      <c r="F7" s="629"/>
      <c r="G7" s="629"/>
      <c r="H7" s="629"/>
      <c r="I7" s="629"/>
      <c r="K7" s="91" t="s">
        <v>152</v>
      </c>
      <c r="L7" s="87" t="s">
        <v>153</v>
      </c>
      <c r="M7" s="88"/>
      <c r="N7" s="88"/>
      <c r="P7" s="962"/>
      <c r="Q7" s="962"/>
      <c r="R7" s="962"/>
    </row>
    <row r="8" spans="1:18" ht="10.15" customHeight="1">
      <c r="A8" s="628" t="s">
        <v>154</v>
      </c>
      <c r="B8" s="629" t="s">
        <v>155</v>
      </c>
      <c r="C8" s="635"/>
      <c r="D8" s="635">
        <v>1568799173.4194205</v>
      </c>
      <c r="E8" s="635">
        <v>417235444.63635033</v>
      </c>
      <c r="F8" s="635">
        <v>1286691866.9453735</v>
      </c>
      <c r="G8" s="635">
        <v>126000000</v>
      </c>
      <c r="H8" s="635">
        <v>52021552.456657603</v>
      </c>
      <c r="I8" s="635"/>
      <c r="L8" s="88" t="s">
        <v>156</v>
      </c>
      <c r="N8" s="93">
        <v>1</v>
      </c>
      <c r="P8" s="962"/>
      <c r="Q8" s="962"/>
      <c r="R8" s="962"/>
    </row>
    <row r="9" spans="1:18" ht="10.15" customHeight="1">
      <c r="A9" s="628" t="s">
        <v>154</v>
      </c>
      <c r="B9" s="629" t="s">
        <v>157</v>
      </c>
      <c r="C9" s="635"/>
      <c r="D9" s="635">
        <v>501965104.29546225</v>
      </c>
      <c r="E9" s="635">
        <v>184374178.3636497</v>
      </c>
      <c r="F9" s="635">
        <v>165092233.05462646</v>
      </c>
      <c r="G9" s="635">
        <v>568211715</v>
      </c>
      <c r="H9" s="635">
        <v>102695896.8100124</v>
      </c>
      <c r="I9" s="635"/>
      <c r="K9" s="91" t="s">
        <v>158</v>
      </c>
      <c r="L9" s="87" t="s">
        <v>159</v>
      </c>
      <c r="N9" s="87" t="str">
        <f>CHOOSE(Base1_Billing2,L7,L9)</f>
        <v>BASE TARIFF</v>
      </c>
      <c r="P9" s="962"/>
      <c r="Q9" s="962"/>
      <c r="R9" s="962"/>
    </row>
    <row r="10" spans="1:18" ht="10.15" customHeight="1">
      <c r="A10" s="628" t="s">
        <v>154</v>
      </c>
      <c r="B10" s="629" t="s">
        <v>160</v>
      </c>
      <c r="C10" s="635"/>
      <c r="D10" s="635">
        <v>289516840.28511739</v>
      </c>
      <c r="E10" s="635"/>
      <c r="F10" s="635"/>
      <c r="G10" s="635">
        <v>414459826</v>
      </c>
      <c r="H10" s="635"/>
      <c r="I10" s="635"/>
      <c r="N10" s="87" t="str">
        <f>CHOOSE(Base1_Billing2,"Base","Billing")</f>
        <v>Base</v>
      </c>
      <c r="P10" s="962"/>
      <c r="Q10" s="962"/>
      <c r="R10" s="962"/>
    </row>
    <row r="11" spans="1:18" ht="10.15" customHeight="1">
      <c r="A11" s="628"/>
      <c r="B11" s="629" t="s">
        <v>161</v>
      </c>
      <c r="C11" s="635"/>
      <c r="D11" s="635"/>
      <c r="E11" s="635"/>
      <c r="F11" s="635"/>
      <c r="G11" s="635"/>
      <c r="H11" s="635"/>
      <c r="I11" s="635"/>
      <c r="P11" s="962"/>
      <c r="Q11" s="962"/>
      <c r="R11" s="962"/>
    </row>
    <row r="12" spans="1:18">
      <c r="A12" s="628" t="s">
        <v>596</v>
      </c>
      <c r="B12" s="629" t="s">
        <v>162</v>
      </c>
      <c r="C12" s="636"/>
      <c r="D12" s="636"/>
      <c r="E12" s="636"/>
      <c r="F12" s="636"/>
      <c r="G12" s="636"/>
      <c r="H12" s="636"/>
      <c r="I12" s="445">
        <v>25597340.293740001</v>
      </c>
      <c r="N12" s="92"/>
    </row>
    <row r="13" spans="1:18">
      <c r="A13" s="628"/>
      <c r="B13" s="629"/>
      <c r="C13" s="635"/>
      <c r="D13" s="635"/>
      <c r="E13" s="635"/>
      <c r="F13" s="635"/>
      <c r="G13" s="635"/>
      <c r="H13" s="635"/>
      <c r="I13" s="637"/>
      <c r="N13" s="94"/>
    </row>
    <row r="14" spans="1:18">
      <c r="A14" s="628"/>
      <c r="B14" s="629" t="s">
        <v>163</v>
      </c>
      <c r="C14" s="635">
        <f>SUM(D14:I14)</f>
        <v>5702661171.5604105</v>
      </c>
      <c r="D14" s="635">
        <f t="shared" ref="D14:I14" si="0">SUM(D8:D12)</f>
        <v>2360281118</v>
      </c>
      <c r="E14" s="635">
        <f t="shared" si="0"/>
        <v>601609623</v>
      </c>
      <c r="F14" s="635">
        <f t="shared" si="0"/>
        <v>1451784100</v>
      </c>
      <c r="G14" s="635">
        <f t="shared" si="0"/>
        <v>1108671541</v>
      </c>
      <c r="H14" s="635">
        <f t="shared" si="0"/>
        <v>154717449.26666999</v>
      </c>
      <c r="I14" s="635">
        <f t="shared" si="0"/>
        <v>25597340.293740001</v>
      </c>
    </row>
    <row r="15" spans="1:18" s="96" customFormat="1">
      <c r="A15" s="628"/>
      <c r="B15" s="95"/>
      <c r="C15" s="635"/>
      <c r="D15" s="635"/>
      <c r="E15" s="635"/>
      <c r="F15" s="635"/>
      <c r="G15" s="635"/>
      <c r="H15" s="635"/>
      <c r="I15" s="635"/>
    </row>
    <row r="16" spans="1:18">
      <c r="A16" s="628"/>
      <c r="B16" s="629"/>
      <c r="C16" s="638"/>
      <c r="D16" s="638"/>
      <c r="E16" s="638"/>
      <c r="F16" s="638"/>
      <c r="G16" s="638"/>
      <c r="H16" s="638"/>
      <c r="I16" s="638"/>
    </row>
    <row r="17" spans="1:9">
      <c r="A17" s="628"/>
      <c r="B17" s="629" t="s">
        <v>163</v>
      </c>
      <c r="C17" s="635">
        <f>SUM(D17:I17)</f>
        <v>5702661171.5604105</v>
      </c>
      <c r="D17" s="635">
        <f t="shared" ref="D17:I17" si="1">D14+D15</f>
        <v>2360281118</v>
      </c>
      <c r="E17" s="635">
        <f t="shared" si="1"/>
        <v>601609623</v>
      </c>
      <c r="F17" s="635">
        <f t="shared" si="1"/>
        <v>1451784100</v>
      </c>
      <c r="G17" s="635">
        <f t="shared" si="1"/>
        <v>1108671541</v>
      </c>
      <c r="H17" s="635">
        <f t="shared" si="1"/>
        <v>154717449.26666999</v>
      </c>
      <c r="I17" s="635">
        <f t="shared" si="1"/>
        <v>25597340.293740001</v>
      </c>
    </row>
    <row r="18" spans="1:9">
      <c r="A18" s="628" t="s">
        <v>154</v>
      </c>
      <c r="B18" s="629" t="s">
        <v>164</v>
      </c>
      <c r="C18" s="635">
        <f>SUM(D18:I18)</f>
        <v>0</v>
      </c>
      <c r="D18" s="635">
        <v>0</v>
      </c>
      <c r="E18" s="635">
        <v>0</v>
      </c>
      <c r="F18" s="635">
        <v>0</v>
      </c>
      <c r="G18" s="639">
        <v>0</v>
      </c>
      <c r="H18" s="635">
        <v>0</v>
      </c>
      <c r="I18" s="639">
        <v>0</v>
      </c>
    </row>
    <row r="19" spans="1:9">
      <c r="A19" s="628"/>
      <c r="B19" s="629"/>
      <c r="C19" s="638"/>
      <c r="D19" s="638"/>
      <c r="E19" s="638"/>
      <c r="F19" s="638"/>
      <c r="G19" s="638"/>
      <c r="H19" s="638"/>
      <c r="I19" s="638"/>
    </row>
    <row r="20" spans="1:9">
      <c r="A20" s="628"/>
      <c r="B20" s="629" t="s">
        <v>165</v>
      </c>
      <c r="C20" s="635">
        <f>SUM(D20:I20)</f>
        <v>5702661171.5604105</v>
      </c>
      <c r="D20" s="635">
        <f t="shared" ref="D20:I20" si="2">D17+D18</f>
        <v>2360281118</v>
      </c>
      <c r="E20" s="635">
        <f t="shared" si="2"/>
        <v>601609623</v>
      </c>
      <c r="F20" s="635">
        <f t="shared" si="2"/>
        <v>1451784100</v>
      </c>
      <c r="G20" s="635">
        <f t="shared" si="2"/>
        <v>1108671541</v>
      </c>
      <c r="H20" s="635">
        <f t="shared" si="2"/>
        <v>154717449.26666999</v>
      </c>
      <c r="I20" s="635">
        <f t="shared" si="2"/>
        <v>25597340.293740001</v>
      </c>
    </row>
    <row r="21" spans="1:9" s="96" customFormat="1">
      <c r="A21" s="628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28"/>
      <c r="B22" s="629"/>
      <c r="C22" s="638"/>
      <c r="D22" s="638"/>
      <c r="E22" s="638"/>
      <c r="F22" s="638"/>
      <c r="G22" s="638"/>
      <c r="H22" s="638"/>
      <c r="I22" s="638"/>
    </row>
    <row r="23" spans="1:9">
      <c r="A23" s="628"/>
      <c r="B23" s="629" t="s">
        <v>168</v>
      </c>
      <c r="C23" s="635">
        <f>IF(ROUND(SUM(D23:I23),3)&lt;&gt;ROUND(SUM(C20:C21),3),#VALUE!,SUM(D23:I23))</f>
        <v>5687562624.5604105</v>
      </c>
      <c r="D23" s="635">
        <f t="shared" ref="D23:I23" si="4">D20+D21</f>
        <v>2375997614</v>
      </c>
      <c r="E23" s="635">
        <f t="shared" si="4"/>
        <v>596483095</v>
      </c>
      <c r="F23" s="635">
        <f t="shared" si="4"/>
        <v>1425928125</v>
      </c>
      <c r="G23" s="635">
        <f t="shared" si="4"/>
        <v>1108671541</v>
      </c>
      <c r="H23" s="635">
        <f t="shared" si="4"/>
        <v>154884909.26666999</v>
      </c>
      <c r="I23" s="635">
        <f t="shared" si="4"/>
        <v>25597340.293740001</v>
      </c>
    </row>
    <row r="24" spans="1:9">
      <c r="A24" s="628"/>
      <c r="B24" s="629"/>
      <c r="C24" s="635"/>
      <c r="D24" s="635"/>
      <c r="E24" s="635"/>
      <c r="F24" s="635"/>
      <c r="G24" s="635"/>
      <c r="H24" s="635"/>
      <c r="I24" s="635"/>
    </row>
    <row r="25" spans="1:9">
      <c r="A25" s="628" t="s">
        <v>154</v>
      </c>
      <c r="B25" s="629" t="s">
        <v>169</v>
      </c>
      <c r="C25" s="635"/>
      <c r="D25" s="635">
        <v>2481909</v>
      </c>
      <c r="E25" s="635">
        <v>369248</v>
      </c>
      <c r="F25" s="635">
        <v>24164</v>
      </c>
      <c r="G25" s="635">
        <v>252</v>
      </c>
      <c r="H25" s="635">
        <v>29169.999999999996</v>
      </c>
      <c r="I25" s="635"/>
    </row>
    <row r="26" spans="1:9">
      <c r="A26" s="628"/>
      <c r="B26" s="629" t="s">
        <v>170</v>
      </c>
      <c r="C26" s="635"/>
      <c r="D26" s="635"/>
      <c r="E26" s="635"/>
      <c r="F26" s="635"/>
      <c r="G26" s="635"/>
      <c r="H26" s="635"/>
      <c r="I26" s="635"/>
    </row>
    <row r="27" spans="1:9">
      <c r="A27" s="628" t="s">
        <v>154</v>
      </c>
      <c r="B27" s="629" t="s">
        <v>171</v>
      </c>
      <c r="C27" s="635"/>
      <c r="D27" s="635"/>
      <c r="E27" s="635">
        <v>407826</v>
      </c>
      <c r="F27" s="635">
        <v>2838029.5333333332</v>
      </c>
      <c r="G27" s="635">
        <v>1293261</v>
      </c>
      <c r="H27" s="635"/>
      <c r="I27" s="635"/>
    </row>
    <row r="28" spans="1:9">
      <c r="A28" s="628"/>
      <c r="B28" s="629"/>
      <c r="C28" s="640"/>
      <c r="D28" s="640"/>
      <c r="E28" s="640"/>
      <c r="F28" s="640"/>
      <c r="G28" s="640"/>
      <c r="H28" s="640"/>
      <c r="I28" s="640"/>
    </row>
    <row r="29" spans="1:9" ht="12.75">
      <c r="A29" s="628"/>
      <c r="B29" s="633" t="s">
        <v>172</v>
      </c>
      <c r="C29" s="629"/>
      <c r="D29" s="629"/>
      <c r="E29" s="629"/>
      <c r="F29" s="629"/>
      <c r="G29" s="629"/>
      <c r="H29" s="629"/>
      <c r="I29" s="629"/>
    </row>
    <row r="30" spans="1:9" s="99" customFormat="1">
      <c r="A30" s="641"/>
      <c r="B30" s="634" t="s">
        <v>151</v>
      </c>
      <c r="C30" s="642"/>
      <c r="D30" s="642"/>
      <c r="E30" s="642"/>
      <c r="F30" s="642"/>
      <c r="G30" s="642"/>
      <c r="H30" s="642"/>
      <c r="I30" s="642"/>
    </row>
    <row r="31" spans="1:9">
      <c r="A31" s="628"/>
      <c r="B31" s="629" t="s">
        <v>155</v>
      </c>
      <c r="C31" s="635"/>
      <c r="D31" s="635">
        <f t="shared" ref="D31:I35" si="5">D8</f>
        <v>1568799173.4194205</v>
      </c>
      <c r="E31" s="635">
        <f t="shared" si="5"/>
        <v>417235444.63635033</v>
      </c>
      <c r="F31" s="635">
        <f t="shared" si="5"/>
        <v>1286691866.9453735</v>
      </c>
      <c r="G31" s="635">
        <f t="shared" si="5"/>
        <v>126000000</v>
      </c>
      <c r="H31" s="635">
        <f t="shared" si="5"/>
        <v>52021552.456657603</v>
      </c>
      <c r="I31" s="635">
        <f t="shared" si="5"/>
        <v>0</v>
      </c>
    </row>
    <row r="32" spans="1:9">
      <c r="A32" s="628"/>
      <c r="B32" s="629" t="s">
        <v>157</v>
      </c>
      <c r="C32" s="635"/>
      <c r="D32" s="635">
        <f t="shared" si="5"/>
        <v>501965104.29546225</v>
      </c>
      <c r="E32" s="635">
        <f t="shared" si="5"/>
        <v>184374178.3636497</v>
      </c>
      <c r="F32" s="635">
        <f t="shared" si="5"/>
        <v>165092233.05462646</v>
      </c>
      <c r="G32" s="635">
        <f>G9</f>
        <v>568211715</v>
      </c>
      <c r="H32" s="635">
        <f t="shared" si="5"/>
        <v>102695896.8100124</v>
      </c>
      <c r="I32" s="635">
        <f t="shared" si="5"/>
        <v>0</v>
      </c>
    </row>
    <row r="33" spans="1:9">
      <c r="A33" s="628"/>
      <c r="B33" s="629" t="s">
        <v>160</v>
      </c>
      <c r="C33" s="635"/>
      <c r="D33" s="635">
        <f t="shared" si="5"/>
        <v>289516840.28511739</v>
      </c>
      <c r="E33" s="635">
        <f t="shared" si="5"/>
        <v>0</v>
      </c>
      <c r="F33" s="635">
        <f t="shared" si="5"/>
        <v>0</v>
      </c>
      <c r="G33" s="635">
        <f>G10</f>
        <v>414459826</v>
      </c>
      <c r="H33" s="635">
        <f t="shared" si="5"/>
        <v>0</v>
      </c>
      <c r="I33" s="635">
        <f t="shared" si="5"/>
        <v>0</v>
      </c>
    </row>
    <row r="34" spans="1:9">
      <c r="A34" s="628"/>
      <c r="B34" s="629" t="s">
        <v>161</v>
      </c>
      <c r="C34" s="635"/>
      <c r="D34" s="635">
        <f t="shared" si="5"/>
        <v>0</v>
      </c>
      <c r="E34" s="635">
        <f t="shared" si="5"/>
        <v>0</v>
      </c>
      <c r="F34" s="635">
        <f t="shared" si="5"/>
        <v>0</v>
      </c>
      <c r="G34" s="635">
        <f t="shared" si="5"/>
        <v>0</v>
      </c>
      <c r="H34" s="635">
        <f t="shared" si="5"/>
        <v>0</v>
      </c>
      <c r="I34" s="635">
        <f t="shared" si="5"/>
        <v>0</v>
      </c>
    </row>
    <row r="35" spans="1:9">
      <c r="A35" s="628"/>
      <c r="B35" s="629" t="s">
        <v>162</v>
      </c>
      <c r="C35" s="643"/>
      <c r="D35" s="635">
        <f t="shared" si="5"/>
        <v>0</v>
      </c>
      <c r="E35" s="635">
        <f t="shared" si="5"/>
        <v>0</v>
      </c>
      <c r="F35" s="635">
        <f t="shared" si="5"/>
        <v>0</v>
      </c>
      <c r="G35" s="635">
        <f t="shared" si="5"/>
        <v>0</v>
      </c>
      <c r="H35" s="635">
        <f t="shared" si="5"/>
        <v>0</v>
      </c>
      <c r="I35" s="635">
        <f t="shared" si="5"/>
        <v>25597340.293740001</v>
      </c>
    </row>
    <row r="36" spans="1:9">
      <c r="A36" s="628"/>
      <c r="B36" s="629"/>
      <c r="C36" s="638"/>
      <c r="D36" s="638"/>
      <c r="E36" s="638"/>
      <c r="F36" s="638"/>
      <c r="G36" s="638"/>
      <c r="H36" s="638"/>
      <c r="I36" s="638"/>
    </row>
    <row r="37" spans="1:9">
      <c r="A37" s="628"/>
      <c r="B37" s="629" t="s">
        <v>163</v>
      </c>
      <c r="C37" s="635">
        <f>SUM(D37:I37)</f>
        <v>5702661171.5604105</v>
      </c>
      <c r="D37" s="635">
        <f t="shared" ref="D37:I37" si="6">SUM(D31:D35)</f>
        <v>2360281118</v>
      </c>
      <c r="E37" s="635">
        <f t="shared" si="6"/>
        <v>601609623</v>
      </c>
      <c r="F37" s="635">
        <f t="shared" si="6"/>
        <v>1451784100</v>
      </c>
      <c r="G37" s="635">
        <f t="shared" si="6"/>
        <v>1108671541</v>
      </c>
      <c r="H37" s="635">
        <f t="shared" si="6"/>
        <v>154717449.26666999</v>
      </c>
      <c r="I37" s="635">
        <f t="shared" si="6"/>
        <v>25597340.293740001</v>
      </c>
    </row>
    <row r="38" spans="1:9" s="96" customFormat="1">
      <c r="A38" s="100"/>
      <c r="B38" s="101"/>
      <c r="C38" s="635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28"/>
      <c r="B39" s="629"/>
      <c r="C39" s="638"/>
      <c r="D39" s="638"/>
      <c r="E39" s="638"/>
      <c r="F39" s="638"/>
      <c r="G39" s="638"/>
      <c r="H39" s="638"/>
      <c r="I39" s="638"/>
    </row>
    <row r="40" spans="1:9">
      <c r="A40" s="628"/>
      <c r="B40" s="629" t="s">
        <v>163</v>
      </c>
      <c r="C40" s="635">
        <f>SUM(D40:I40)</f>
        <v>5702661171.5604105</v>
      </c>
      <c r="D40" s="635">
        <f t="shared" ref="D40:I40" si="8">D37+D38</f>
        <v>2360281118</v>
      </c>
      <c r="E40" s="635">
        <f t="shared" si="8"/>
        <v>601609623</v>
      </c>
      <c r="F40" s="635">
        <f t="shared" si="8"/>
        <v>1451784100</v>
      </c>
      <c r="G40" s="635">
        <f t="shared" si="8"/>
        <v>1108671541</v>
      </c>
      <c r="H40" s="635">
        <f t="shared" si="8"/>
        <v>154717449.26666999</v>
      </c>
      <c r="I40" s="635">
        <f t="shared" si="8"/>
        <v>25597340.293740001</v>
      </c>
    </row>
    <row r="41" spans="1:9">
      <c r="A41" s="628"/>
      <c r="B41" s="629" t="s">
        <v>164</v>
      </c>
      <c r="C41" s="635">
        <f>SUM(D41:I41)</f>
        <v>0</v>
      </c>
      <c r="D41" s="635">
        <f t="shared" ref="D41:I41" si="9">D18</f>
        <v>0</v>
      </c>
      <c r="E41" s="635">
        <f t="shared" si="9"/>
        <v>0</v>
      </c>
      <c r="F41" s="635">
        <f t="shared" si="9"/>
        <v>0</v>
      </c>
      <c r="G41" s="635">
        <f t="shared" si="9"/>
        <v>0</v>
      </c>
      <c r="H41" s="635">
        <f t="shared" si="9"/>
        <v>0</v>
      </c>
      <c r="I41" s="635">
        <f t="shared" si="9"/>
        <v>0</v>
      </c>
    </row>
    <row r="42" spans="1:9">
      <c r="A42" s="628"/>
      <c r="B42" s="629"/>
      <c r="C42" s="638"/>
      <c r="D42" s="638"/>
      <c r="E42" s="638"/>
      <c r="F42" s="638"/>
      <c r="G42" s="638"/>
      <c r="H42" s="638"/>
      <c r="I42" s="638"/>
    </row>
    <row r="43" spans="1:9">
      <c r="A43" s="628"/>
      <c r="B43" s="629" t="s">
        <v>165</v>
      </c>
      <c r="C43" s="635">
        <f>SUM(D43:I43)</f>
        <v>5702661171.5604105</v>
      </c>
      <c r="D43" s="635">
        <f t="shared" ref="D43:I43" si="10">D40+D41</f>
        <v>2360281118</v>
      </c>
      <c r="E43" s="635">
        <f t="shared" si="10"/>
        <v>601609623</v>
      </c>
      <c r="F43" s="635">
        <f t="shared" si="10"/>
        <v>1451784100</v>
      </c>
      <c r="G43" s="635">
        <f t="shared" si="10"/>
        <v>1108671541</v>
      </c>
      <c r="H43" s="635">
        <f t="shared" si="10"/>
        <v>154717449.26666999</v>
      </c>
      <c r="I43" s="635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28"/>
      <c r="B45" s="629"/>
      <c r="C45" s="638"/>
      <c r="D45" s="638"/>
      <c r="E45" s="638"/>
      <c r="F45" s="638"/>
      <c r="G45" s="638"/>
      <c r="H45" s="638"/>
      <c r="I45" s="638"/>
    </row>
    <row r="46" spans="1:9">
      <c r="A46" s="628"/>
      <c r="B46" s="629" t="s">
        <v>168</v>
      </c>
      <c r="C46" s="635">
        <f>IF(ROUND(SUM(D46:I46),3)&lt;&gt;ROUND(SUM(C43:C44),3),#VALUE!,SUM(D46:I46))</f>
        <v>5687562624.5604105</v>
      </c>
      <c r="D46" s="635">
        <f t="shared" ref="D46:I46" si="12">D43+D44</f>
        <v>2375997614</v>
      </c>
      <c r="E46" s="635">
        <f t="shared" si="12"/>
        <v>596483095</v>
      </c>
      <c r="F46" s="635">
        <f t="shared" si="12"/>
        <v>1425928125</v>
      </c>
      <c r="G46" s="635">
        <f t="shared" si="12"/>
        <v>1108671541</v>
      </c>
      <c r="H46" s="635">
        <f t="shared" si="12"/>
        <v>154884909.26666999</v>
      </c>
      <c r="I46" s="635">
        <f t="shared" si="12"/>
        <v>25597340.293740001</v>
      </c>
    </row>
    <row r="47" spans="1:9">
      <c r="A47" s="628"/>
      <c r="B47" s="629"/>
      <c r="C47" s="635"/>
      <c r="D47" s="635"/>
      <c r="E47" s="635"/>
      <c r="F47" s="635"/>
      <c r="G47" s="635"/>
      <c r="H47" s="635"/>
      <c r="I47" s="635"/>
    </row>
    <row r="48" spans="1:9">
      <c r="A48" s="628"/>
      <c r="B48" s="629" t="s">
        <v>169</v>
      </c>
      <c r="C48" s="635"/>
      <c r="D48" s="635">
        <f>D25</f>
        <v>2481909</v>
      </c>
      <c r="E48" s="635">
        <f>E25</f>
        <v>369248</v>
      </c>
      <c r="F48" s="635">
        <f>F25</f>
        <v>24164</v>
      </c>
      <c r="G48" s="635">
        <f>G25</f>
        <v>252</v>
      </c>
      <c r="H48" s="635">
        <f>H25</f>
        <v>29169.999999999996</v>
      </c>
      <c r="I48" s="635"/>
    </row>
    <row r="49" spans="1:14">
      <c r="A49" s="628"/>
      <c r="B49" s="629" t="s">
        <v>170</v>
      </c>
      <c r="C49" s="635"/>
      <c r="D49" s="635"/>
      <c r="E49" s="635"/>
      <c r="F49" s="635"/>
      <c r="G49" s="635"/>
      <c r="H49" s="635"/>
      <c r="I49" s="635"/>
    </row>
    <row r="50" spans="1:14">
      <c r="A50" s="628"/>
      <c r="B50" s="629" t="s">
        <v>171</v>
      </c>
      <c r="C50" s="635"/>
      <c r="D50" s="635"/>
      <c r="E50" s="635">
        <f>E27</f>
        <v>407826</v>
      </c>
      <c r="F50" s="635">
        <f>F27</f>
        <v>2838029.5333333332</v>
      </c>
      <c r="G50" s="635">
        <f>G27</f>
        <v>1293261</v>
      </c>
      <c r="H50" s="635"/>
      <c r="I50" s="635"/>
    </row>
    <row r="51" spans="1:14" s="88" customFormat="1">
      <c r="A51" s="628"/>
      <c r="B51" s="631"/>
      <c r="C51" s="640"/>
      <c r="D51" s="640"/>
      <c r="E51" s="640"/>
      <c r="F51" s="640"/>
      <c r="G51" s="640"/>
      <c r="H51" s="640"/>
      <c r="I51" s="640"/>
    </row>
    <row r="52" spans="1:14" s="88" customFormat="1">
      <c r="A52" s="628"/>
      <c r="B52" s="631"/>
      <c r="C52" s="640"/>
      <c r="D52" s="640"/>
      <c r="E52" s="640"/>
      <c r="F52" s="640"/>
      <c r="G52" s="640"/>
      <c r="H52" s="640"/>
      <c r="I52" s="640"/>
    </row>
    <row r="53" spans="1:14" s="88" customFormat="1" ht="27.75" customHeight="1">
      <c r="A53" s="628"/>
      <c r="B53" s="631"/>
      <c r="C53" s="640"/>
      <c r="D53" s="640"/>
      <c r="E53" s="640"/>
      <c r="F53" s="640"/>
      <c r="G53" s="640"/>
      <c r="H53" s="640"/>
      <c r="I53" s="640"/>
    </row>
    <row r="54" spans="1:14" s="88" customFormat="1">
      <c r="A54" s="628"/>
      <c r="B54" s="631"/>
      <c r="C54" s="640"/>
      <c r="D54" s="640"/>
      <c r="E54" s="640"/>
      <c r="F54" s="640"/>
      <c r="G54" s="640"/>
      <c r="H54" s="640"/>
      <c r="I54" s="640"/>
    </row>
    <row r="55" spans="1:14" s="88" customFormat="1">
      <c r="A55" s="628"/>
      <c r="B55" s="631"/>
      <c r="C55" s="640"/>
      <c r="D55" s="644">
        <v>1</v>
      </c>
      <c r="E55" s="644">
        <v>2</v>
      </c>
      <c r="F55" s="644">
        <v>3</v>
      </c>
      <c r="G55" s="644">
        <v>4</v>
      </c>
      <c r="H55" s="644">
        <v>5</v>
      </c>
      <c r="I55" s="644">
        <v>6</v>
      </c>
      <c r="L55" s="102">
        <f>SUMPRODUCT(--(ISBLANK(D55:I55)))</f>
        <v>0</v>
      </c>
    </row>
    <row r="56" spans="1:14" s="88" customFormat="1">
      <c r="A56" s="628" t="s">
        <v>146</v>
      </c>
      <c r="B56" s="631"/>
      <c r="C56" s="631" t="s">
        <v>95</v>
      </c>
      <c r="D56" s="631" t="s">
        <v>100</v>
      </c>
      <c r="E56" s="631" t="s">
        <v>102</v>
      </c>
      <c r="F56" s="631" t="s">
        <v>104</v>
      </c>
      <c r="G56" s="631" t="s">
        <v>106</v>
      </c>
      <c r="H56" s="631" t="s">
        <v>108</v>
      </c>
      <c r="I56" s="631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28" t="s">
        <v>147</v>
      </c>
      <c r="B57" s="631"/>
      <c r="C57" s="632" t="s">
        <v>86</v>
      </c>
      <c r="D57" s="632" t="s">
        <v>101</v>
      </c>
      <c r="E57" s="632" t="s">
        <v>103</v>
      </c>
      <c r="F57" s="632" t="s">
        <v>105</v>
      </c>
      <c r="G57" s="632" t="s">
        <v>107</v>
      </c>
      <c r="H57" s="632" t="s">
        <v>109</v>
      </c>
      <c r="I57" s="632" t="s">
        <v>111</v>
      </c>
      <c r="L57" s="99" t="str">
        <f>N10</f>
        <v>Base</v>
      </c>
    </row>
    <row r="58" spans="1:14" ht="12.75">
      <c r="A58" s="628"/>
      <c r="B58" s="633" t="s">
        <v>173</v>
      </c>
      <c r="C58" s="629"/>
      <c r="D58" s="629"/>
      <c r="E58" s="629"/>
      <c r="F58" s="629"/>
      <c r="G58" s="629"/>
      <c r="H58" s="629"/>
      <c r="I58" s="629"/>
      <c r="L58" s="87" t="str">
        <f>"Rates_"&amp;$L$57&amp;"_Present"</f>
        <v>Rates_Base_Present</v>
      </c>
      <c r="N58" s="103" t="s">
        <v>174</v>
      </c>
    </row>
    <row r="59" spans="1:14">
      <c r="A59" s="628" t="s">
        <v>597</v>
      </c>
      <c r="B59" s="629" t="s">
        <v>175</v>
      </c>
      <c r="C59" s="629"/>
      <c r="D59" s="645">
        <v>8.5</v>
      </c>
      <c r="E59" s="645">
        <v>18</v>
      </c>
      <c r="F59" s="645">
        <v>0</v>
      </c>
      <c r="G59" s="645">
        <v>0</v>
      </c>
      <c r="H59" s="645">
        <v>18</v>
      </c>
      <c r="I59" s="645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28"/>
      <c r="B60" s="629" t="s">
        <v>177</v>
      </c>
      <c r="C60" s="629"/>
      <c r="D60" s="646"/>
      <c r="E60" s="629"/>
      <c r="F60" s="629"/>
      <c r="G60" s="629"/>
      <c r="H60" s="629"/>
      <c r="I60" s="629"/>
    </row>
    <row r="61" spans="1:14">
      <c r="A61" s="628"/>
      <c r="B61" s="629"/>
      <c r="C61" s="629"/>
      <c r="D61" s="629"/>
      <c r="E61" s="629"/>
      <c r="F61" s="629"/>
      <c r="G61" s="629"/>
      <c r="H61" s="629"/>
      <c r="I61" s="629"/>
    </row>
    <row r="62" spans="1:14">
      <c r="A62" s="628" t="s">
        <v>597</v>
      </c>
      <c r="B62" s="629" t="s">
        <v>178</v>
      </c>
      <c r="C62" s="629"/>
      <c r="D62" s="647">
        <v>7.39</v>
      </c>
      <c r="E62" s="647">
        <v>11.292999999999999</v>
      </c>
      <c r="F62" s="647">
        <v>7.0890000000000004</v>
      </c>
      <c r="G62" s="647">
        <v>5.5049999999999999</v>
      </c>
      <c r="H62" s="647">
        <v>9.5459999999999994</v>
      </c>
      <c r="I62" s="647">
        <v>0</v>
      </c>
      <c r="K62" s="104">
        <v>2</v>
      </c>
    </row>
    <row r="63" spans="1:14">
      <c r="A63" s="628" t="s">
        <v>597</v>
      </c>
      <c r="B63" s="629" t="s">
        <v>179</v>
      </c>
      <c r="C63" s="629"/>
      <c r="D63" s="647">
        <v>8.5980000000000008</v>
      </c>
      <c r="E63" s="647">
        <v>8.298</v>
      </c>
      <c r="F63" s="647">
        <v>6.34</v>
      </c>
      <c r="G63" s="647">
        <v>4.9530000000000003</v>
      </c>
      <c r="H63" s="647">
        <v>6.8179999999999996</v>
      </c>
      <c r="I63" s="647">
        <v>0</v>
      </c>
      <c r="K63" s="104">
        <v>3</v>
      </c>
    </row>
    <row r="64" spans="1:14">
      <c r="A64" s="628" t="s">
        <v>597</v>
      </c>
      <c r="B64" s="629" t="s">
        <v>180</v>
      </c>
      <c r="C64" s="629"/>
      <c r="D64" s="647">
        <v>10.08</v>
      </c>
      <c r="E64" s="647">
        <v>0</v>
      </c>
      <c r="F64" s="647">
        <v>0</v>
      </c>
      <c r="G64" s="647">
        <v>4.2350000000000003</v>
      </c>
      <c r="H64" s="647">
        <v>0</v>
      </c>
      <c r="I64" s="647">
        <v>0</v>
      </c>
      <c r="K64" s="104">
        <v>4</v>
      </c>
    </row>
    <row r="65" spans="1:12">
      <c r="A65" s="628"/>
      <c r="B65" s="629" t="s">
        <v>181</v>
      </c>
      <c r="C65" s="629"/>
      <c r="D65" s="648"/>
      <c r="E65" s="648"/>
      <c r="F65" s="648"/>
      <c r="G65" s="648"/>
      <c r="H65" s="648"/>
      <c r="I65" s="648"/>
      <c r="K65" s="104">
        <v>5</v>
      </c>
    </row>
    <row r="66" spans="1:12">
      <c r="A66" s="628"/>
      <c r="B66" s="629"/>
      <c r="C66" s="629"/>
      <c r="D66" s="648"/>
      <c r="E66" s="648"/>
      <c r="F66" s="648"/>
      <c r="G66" s="648"/>
      <c r="H66" s="648"/>
      <c r="I66" s="648"/>
    </row>
    <row r="67" spans="1:12">
      <c r="A67" s="628"/>
      <c r="B67" s="629" t="s">
        <v>182</v>
      </c>
      <c r="C67" s="629"/>
      <c r="D67" s="647">
        <f>(D124-D111)/D14*100</f>
        <v>7.9768682914151094</v>
      </c>
      <c r="E67" s="647">
        <f>(E124-E111-SUM(E117:E120))/E14*100</f>
        <v>10.375127939068888</v>
      </c>
      <c r="F67" s="647">
        <f>(F124-F111-SUM(F117:F120))/F14*100</f>
        <v>7.0038261219419624</v>
      </c>
      <c r="G67" s="647"/>
      <c r="H67" s="647">
        <f>(H124-H111-SUM(H117:H120))/H14*100</f>
        <v>7.7352513867859889</v>
      </c>
      <c r="I67" s="647"/>
    </row>
    <row r="68" spans="1:12">
      <c r="A68" s="628"/>
      <c r="B68" s="629"/>
      <c r="C68" s="629"/>
      <c r="D68" s="648"/>
      <c r="E68" s="648"/>
      <c r="F68" s="648"/>
      <c r="G68" s="648"/>
      <c r="H68" s="648"/>
      <c r="I68" s="648"/>
    </row>
    <row r="69" spans="1:12" s="105" customFormat="1">
      <c r="A69" s="628" t="s">
        <v>597</v>
      </c>
      <c r="B69" s="646" t="s">
        <v>183</v>
      </c>
      <c r="C69" s="646"/>
      <c r="D69" s="645">
        <v>0</v>
      </c>
      <c r="E69" s="645">
        <v>0</v>
      </c>
      <c r="F69" s="645">
        <v>500</v>
      </c>
      <c r="G69" s="645">
        <v>21000</v>
      </c>
      <c r="H69" s="645">
        <v>0</v>
      </c>
      <c r="I69" s="645">
        <v>0</v>
      </c>
      <c r="K69" s="104">
        <v>6</v>
      </c>
    </row>
    <row r="70" spans="1:12" s="105" customFormat="1">
      <c r="A70" s="628" t="s">
        <v>597</v>
      </c>
      <c r="B70" s="646" t="s">
        <v>184</v>
      </c>
      <c r="C70" s="646"/>
      <c r="D70" s="645">
        <v>0</v>
      </c>
      <c r="E70" s="645">
        <v>6</v>
      </c>
      <c r="F70" s="645">
        <v>6</v>
      </c>
      <c r="G70" s="645">
        <v>6</v>
      </c>
      <c r="H70" s="645">
        <v>0</v>
      </c>
      <c r="I70" s="645">
        <v>0</v>
      </c>
      <c r="K70" s="104">
        <v>7</v>
      </c>
    </row>
    <row r="71" spans="1:12">
      <c r="A71" s="628"/>
      <c r="B71" s="629"/>
      <c r="C71" s="629"/>
      <c r="D71" s="648"/>
      <c r="E71" s="648"/>
      <c r="F71" s="648"/>
      <c r="G71" s="648"/>
      <c r="H71" s="648"/>
      <c r="I71" s="648"/>
    </row>
    <row r="72" spans="1:12">
      <c r="A72" s="628"/>
      <c r="B72" s="629"/>
      <c r="C72" s="629"/>
      <c r="D72" s="648"/>
      <c r="E72" s="648"/>
      <c r="F72" s="648"/>
      <c r="G72" s="648"/>
      <c r="H72" s="648"/>
      <c r="I72" s="648"/>
    </row>
    <row r="73" spans="1:12">
      <c r="A73" s="628"/>
      <c r="B73" s="629"/>
      <c r="C73" s="629"/>
      <c r="D73" s="648"/>
      <c r="E73" s="648"/>
      <c r="F73" s="648"/>
      <c r="G73" s="648"/>
      <c r="H73" s="648"/>
      <c r="I73" s="648"/>
    </row>
    <row r="74" spans="1:12">
      <c r="A74" s="628"/>
      <c r="B74" s="629"/>
      <c r="C74" s="629"/>
      <c r="D74" s="648"/>
      <c r="E74" s="648"/>
      <c r="F74" s="648"/>
      <c r="G74" s="648"/>
      <c r="H74" s="648"/>
      <c r="I74" s="648"/>
    </row>
    <row r="75" spans="1:12" ht="12.75">
      <c r="A75" s="628"/>
      <c r="B75" s="633" t="s">
        <v>185</v>
      </c>
      <c r="C75" s="629"/>
      <c r="D75" s="629"/>
      <c r="E75" s="629"/>
      <c r="F75" s="629"/>
      <c r="G75" s="629"/>
      <c r="H75" s="629"/>
      <c r="I75" s="629"/>
    </row>
    <row r="76" spans="1:12">
      <c r="A76" s="628"/>
      <c r="B76" s="629" t="s">
        <v>175</v>
      </c>
      <c r="C76" s="629"/>
      <c r="D76" s="645">
        <v>8.5</v>
      </c>
      <c r="E76" s="645">
        <v>18</v>
      </c>
      <c r="F76" s="645"/>
      <c r="G76" s="645"/>
      <c r="H76" s="645">
        <v>18</v>
      </c>
      <c r="I76" s="645"/>
      <c r="K76" s="104">
        <v>1</v>
      </c>
      <c r="L76" s="107"/>
    </row>
    <row r="77" spans="1:12">
      <c r="A77" s="628"/>
      <c r="B77" s="629" t="s">
        <v>177</v>
      </c>
      <c r="C77" s="629"/>
      <c r="D77" s="646"/>
      <c r="E77" s="629"/>
      <c r="F77" s="629"/>
      <c r="G77" s="629"/>
      <c r="H77" s="629"/>
      <c r="I77" s="629"/>
    </row>
    <row r="78" spans="1:12">
      <c r="A78" s="628"/>
      <c r="B78" s="629"/>
      <c r="C78" s="629"/>
      <c r="D78" s="629"/>
      <c r="E78" s="629"/>
      <c r="F78" s="629"/>
      <c r="G78" s="629"/>
      <c r="H78" s="629"/>
      <c r="I78" s="629"/>
    </row>
    <row r="79" spans="1:12">
      <c r="A79" s="628"/>
      <c r="B79" s="629" t="s">
        <v>178</v>
      </c>
      <c r="C79" s="649"/>
      <c r="D79" s="647">
        <v>7.39</v>
      </c>
      <c r="E79" s="647">
        <v>11.292999999999999</v>
      </c>
      <c r="F79" s="647">
        <v>7.0890000000000004</v>
      </c>
      <c r="G79" s="647">
        <v>5.5049999999999999</v>
      </c>
      <c r="H79" s="647">
        <v>9.5459999999999994</v>
      </c>
      <c r="I79" s="647"/>
      <c r="K79" s="104">
        <v>2</v>
      </c>
    </row>
    <row r="80" spans="1:12">
      <c r="A80" s="628"/>
      <c r="B80" s="629" t="s">
        <v>179</v>
      </c>
      <c r="C80" s="649"/>
      <c r="D80" s="647">
        <v>8.5980000000000008</v>
      </c>
      <c r="E80" s="647">
        <v>8.298</v>
      </c>
      <c r="F80" s="647">
        <v>6.34</v>
      </c>
      <c r="G80" s="647">
        <v>4.9530000000000003</v>
      </c>
      <c r="H80" s="647">
        <v>6.8179999999999996</v>
      </c>
      <c r="I80" s="647"/>
      <c r="K80" s="104">
        <v>3</v>
      </c>
    </row>
    <row r="81" spans="1:11">
      <c r="A81" s="628"/>
      <c r="B81" s="629" t="s">
        <v>180</v>
      </c>
      <c r="C81" s="649"/>
      <c r="D81" s="647">
        <v>10.08</v>
      </c>
      <c r="E81" s="647"/>
      <c r="F81" s="647"/>
      <c r="G81" s="647">
        <v>4.2350000000000003</v>
      </c>
      <c r="H81" s="647"/>
      <c r="I81" s="647"/>
      <c r="K81" s="104">
        <v>4</v>
      </c>
    </row>
    <row r="82" spans="1:11">
      <c r="A82" s="628"/>
      <c r="B82" s="629" t="s">
        <v>181</v>
      </c>
      <c r="C82" s="629"/>
      <c r="D82" s="648"/>
      <c r="E82" s="648"/>
      <c r="F82" s="648"/>
      <c r="G82" s="648"/>
      <c r="H82" s="648"/>
      <c r="I82" s="648"/>
      <c r="K82" s="104">
        <v>5</v>
      </c>
    </row>
    <row r="83" spans="1:11">
      <c r="A83" s="628"/>
      <c r="B83" s="629"/>
      <c r="C83" s="629"/>
      <c r="D83" s="648"/>
      <c r="E83" s="648"/>
      <c r="F83" s="648"/>
      <c r="G83" s="648"/>
      <c r="H83" s="648"/>
      <c r="I83" s="648"/>
    </row>
    <row r="84" spans="1:11">
      <c r="A84" s="628"/>
      <c r="B84" s="629" t="s">
        <v>182</v>
      </c>
      <c r="C84" s="629"/>
      <c r="D84" s="647">
        <f>(D177-D164)/D37*100</f>
        <v>7.9768682914151094</v>
      </c>
      <c r="E84" s="647">
        <f>(E177-E164-SUM(E170:E173))/E37*100</f>
        <v>10.375127939068888</v>
      </c>
      <c r="F84" s="647">
        <f>(F177-F164-SUM(F170:F173))/F37*100</f>
        <v>7.0038261219419624</v>
      </c>
      <c r="G84" s="647"/>
      <c r="H84" s="647">
        <f>(H177-H164-SUM(H170:H173))/H37*100</f>
        <v>7.7352513867859889</v>
      </c>
      <c r="I84" s="647"/>
    </row>
    <row r="85" spans="1:11">
      <c r="A85" s="628"/>
      <c r="B85" s="629"/>
      <c r="C85" s="629"/>
      <c r="D85" s="648"/>
      <c r="E85" s="648"/>
      <c r="F85" s="648"/>
      <c r="G85" s="648"/>
      <c r="H85" s="648"/>
      <c r="I85" s="648"/>
    </row>
    <row r="86" spans="1:11" s="105" customFormat="1">
      <c r="A86" s="628"/>
      <c r="B86" s="646" t="s">
        <v>183</v>
      </c>
      <c r="C86" s="646"/>
      <c r="D86" s="645"/>
      <c r="E86" s="645"/>
      <c r="F86" s="645">
        <v>500</v>
      </c>
      <c r="G86" s="645">
        <v>21000</v>
      </c>
      <c r="H86" s="645"/>
      <c r="I86" s="645"/>
      <c r="K86" s="104">
        <v>6</v>
      </c>
    </row>
    <row r="87" spans="1:11" s="105" customFormat="1">
      <c r="A87" s="628"/>
      <c r="B87" s="646" t="s">
        <v>184</v>
      </c>
      <c r="C87" s="646"/>
      <c r="D87" s="645"/>
      <c r="E87" s="645">
        <v>6</v>
      </c>
      <c r="F87" s="645">
        <v>6</v>
      </c>
      <c r="G87" s="645">
        <v>6</v>
      </c>
      <c r="H87" s="645"/>
      <c r="I87" s="645"/>
      <c r="K87" s="104">
        <v>7</v>
      </c>
    </row>
    <row r="88" spans="1:11" s="105" customFormat="1">
      <c r="A88" s="628"/>
      <c r="B88" s="646"/>
      <c r="C88" s="646"/>
      <c r="D88" s="629"/>
      <c r="E88" s="646"/>
      <c r="F88" s="646"/>
      <c r="G88" s="646"/>
      <c r="H88" s="646"/>
      <c r="I88" s="646"/>
    </row>
    <row r="89" spans="1:11" s="105" customFormat="1">
      <c r="A89" s="628"/>
      <c r="B89" s="646"/>
      <c r="C89" s="646"/>
      <c r="D89" s="629"/>
      <c r="E89" s="646"/>
      <c r="F89" s="646"/>
      <c r="G89" s="646"/>
      <c r="H89" s="646"/>
      <c r="I89" s="646"/>
    </row>
    <row r="90" spans="1:11" s="105" customFormat="1">
      <c r="A90" s="628"/>
      <c r="B90" s="646"/>
      <c r="C90" s="646"/>
      <c r="D90" s="629"/>
      <c r="E90" s="646"/>
      <c r="F90" s="646"/>
      <c r="G90" s="646"/>
      <c r="H90" s="646"/>
      <c r="I90" s="646"/>
    </row>
    <row r="91" spans="1:11" s="105" customFormat="1">
      <c r="A91" s="628"/>
      <c r="B91" s="646"/>
      <c r="C91" s="646"/>
      <c r="D91" s="629"/>
      <c r="E91" s="646"/>
      <c r="F91" s="646"/>
      <c r="G91" s="646"/>
      <c r="H91" s="646"/>
      <c r="I91" s="646"/>
    </row>
    <row r="92" spans="1:11" s="105" customFormat="1">
      <c r="A92" s="628"/>
      <c r="B92" s="646"/>
      <c r="C92" s="646"/>
      <c r="D92" s="629"/>
      <c r="E92" s="646"/>
      <c r="F92" s="646"/>
      <c r="G92" s="646"/>
      <c r="H92" s="646"/>
      <c r="I92" s="646"/>
    </row>
    <row r="93" spans="1:11" s="105" customFormat="1">
      <c r="A93" s="628"/>
      <c r="B93" s="646"/>
      <c r="C93" s="646"/>
      <c r="D93" s="629"/>
      <c r="E93" s="646"/>
      <c r="F93" s="646"/>
      <c r="G93" s="646"/>
      <c r="H93" s="646"/>
      <c r="I93" s="646"/>
    </row>
    <row r="94" spans="1:11" s="105" customFormat="1">
      <c r="A94" s="628"/>
      <c r="B94" s="646"/>
      <c r="C94" s="646"/>
      <c r="D94" s="629"/>
      <c r="E94" s="646"/>
      <c r="F94" s="646"/>
      <c r="G94" s="646"/>
      <c r="H94" s="646"/>
      <c r="I94" s="646"/>
    </row>
    <row r="95" spans="1:11" s="105" customFormat="1" ht="10.15" customHeight="1">
      <c r="A95" s="628"/>
      <c r="B95" s="963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64"/>
      <c r="D95" s="964"/>
      <c r="E95" s="964"/>
      <c r="F95" s="964"/>
      <c r="G95" s="964"/>
      <c r="H95" s="964"/>
      <c r="I95" s="646"/>
    </row>
    <row r="96" spans="1:11" s="105" customFormat="1" ht="10.15" customHeight="1">
      <c r="A96" s="628"/>
      <c r="B96" s="964"/>
      <c r="C96" s="964"/>
      <c r="D96" s="964"/>
      <c r="E96" s="964"/>
      <c r="F96" s="964"/>
      <c r="G96" s="964"/>
      <c r="H96" s="964"/>
      <c r="I96" s="646"/>
    </row>
    <row r="97" spans="1:9" s="105" customFormat="1">
      <c r="A97" s="628"/>
      <c r="B97" s="646"/>
      <c r="C97" s="646"/>
      <c r="D97" s="629"/>
      <c r="E97" s="646"/>
      <c r="F97" s="646"/>
      <c r="G97" s="646"/>
      <c r="H97" s="646"/>
      <c r="I97" s="646"/>
    </row>
    <row r="98" spans="1:9" s="105" customFormat="1">
      <c r="A98" s="628"/>
      <c r="B98" s="646"/>
      <c r="C98" s="646"/>
      <c r="D98" s="629"/>
      <c r="E98" s="646"/>
      <c r="F98" s="646"/>
      <c r="G98" s="646"/>
      <c r="H98" s="646"/>
      <c r="I98" s="646"/>
    </row>
    <row r="99" spans="1:9" s="105" customFormat="1">
      <c r="A99" s="628"/>
      <c r="B99" s="646"/>
      <c r="C99" s="646"/>
      <c r="D99" s="629"/>
      <c r="E99" s="646"/>
      <c r="F99" s="646"/>
      <c r="G99" s="646"/>
      <c r="H99" s="646"/>
      <c r="I99" s="646"/>
    </row>
    <row r="100" spans="1:9" s="105" customFormat="1">
      <c r="A100" s="628"/>
      <c r="B100" s="646"/>
      <c r="C100" s="646"/>
      <c r="D100" s="629"/>
      <c r="E100" s="646"/>
      <c r="F100" s="646"/>
      <c r="G100" s="646"/>
      <c r="H100" s="646"/>
      <c r="I100" s="646"/>
    </row>
    <row r="101" spans="1:9" s="105" customFormat="1">
      <c r="A101" s="628"/>
      <c r="B101" s="646"/>
      <c r="C101" s="646"/>
      <c r="D101" s="629"/>
      <c r="E101" s="646"/>
      <c r="F101" s="646"/>
      <c r="G101" s="646"/>
      <c r="H101" s="646"/>
      <c r="I101" s="646"/>
    </row>
    <row r="102" spans="1:9" s="105" customFormat="1">
      <c r="A102" s="628"/>
      <c r="B102" s="646"/>
      <c r="C102" s="646"/>
      <c r="D102" s="629"/>
      <c r="E102" s="646"/>
      <c r="F102" s="646"/>
      <c r="G102" s="646"/>
      <c r="H102" s="646"/>
      <c r="I102" s="646"/>
    </row>
    <row r="103" spans="1:9" s="105" customFormat="1">
      <c r="A103" s="628"/>
      <c r="B103" s="646"/>
      <c r="C103" s="646"/>
      <c r="D103" s="629"/>
      <c r="E103" s="646"/>
      <c r="F103" s="646"/>
      <c r="G103" s="646"/>
      <c r="H103" s="646"/>
      <c r="I103" s="646"/>
    </row>
    <row r="104" spans="1:9" s="105" customFormat="1">
      <c r="A104" s="628"/>
      <c r="B104" s="646"/>
      <c r="C104" s="646"/>
      <c r="D104" s="629"/>
      <c r="E104" s="646"/>
      <c r="F104" s="646"/>
      <c r="G104" s="646"/>
      <c r="H104" s="646"/>
      <c r="I104" s="646"/>
    </row>
    <row r="105" spans="1:9" s="105" customFormat="1">
      <c r="A105" s="628"/>
      <c r="B105" s="646"/>
      <c r="C105" s="646"/>
      <c r="D105" s="629"/>
      <c r="E105" s="646"/>
      <c r="F105" s="646"/>
      <c r="G105" s="646"/>
      <c r="H105" s="646"/>
      <c r="I105" s="646"/>
    </row>
    <row r="106" spans="1:9" s="105" customFormat="1">
      <c r="A106" s="628"/>
      <c r="B106" s="646"/>
      <c r="C106" s="646"/>
      <c r="D106" s="629"/>
      <c r="E106" s="646"/>
      <c r="F106" s="646"/>
      <c r="G106" s="646"/>
      <c r="H106" s="646"/>
      <c r="I106" s="646"/>
    </row>
    <row r="107" spans="1:9" s="88" customFormat="1">
      <c r="A107" s="628" t="s">
        <v>146</v>
      </c>
      <c r="B107" s="631"/>
      <c r="C107" s="631" t="s">
        <v>95</v>
      </c>
      <c r="D107" s="631" t="s">
        <v>100</v>
      </c>
      <c r="E107" s="631" t="s">
        <v>102</v>
      </c>
      <c r="F107" s="631" t="s">
        <v>104</v>
      </c>
      <c r="G107" s="631" t="s">
        <v>106</v>
      </c>
      <c r="H107" s="631" t="s">
        <v>108</v>
      </c>
      <c r="I107" s="631" t="s">
        <v>110</v>
      </c>
    </row>
    <row r="108" spans="1:9" s="88" customFormat="1">
      <c r="A108" s="628" t="s">
        <v>147</v>
      </c>
      <c r="B108" s="631"/>
      <c r="C108" s="632" t="s">
        <v>86</v>
      </c>
      <c r="D108" s="632" t="s">
        <v>101</v>
      </c>
      <c r="E108" s="632" t="s">
        <v>103</v>
      </c>
      <c r="F108" s="632" t="s">
        <v>105</v>
      </c>
      <c r="G108" s="632" t="s">
        <v>107</v>
      </c>
      <c r="H108" s="632" t="s">
        <v>109</v>
      </c>
      <c r="I108" s="632" t="s">
        <v>111</v>
      </c>
    </row>
    <row r="109" spans="1:9" ht="12.75">
      <c r="A109" s="628"/>
      <c r="B109" s="633" t="s">
        <v>186</v>
      </c>
      <c r="C109" s="650"/>
      <c r="D109" s="650"/>
      <c r="E109" s="650"/>
      <c r="F109" s="650"/>
      <c r="G109" s="650"/>
      <c r="H109" s="650"/>
      <c r="I109" s="650"/>
    </row>
    <row r="110" spans="1:9">
      <c r="A110" s="628"/>
      <c r="B110" s="629" t="str">
        <f>UPPER(CHOOSE(Base1_Billing2,$N$9,$N$10))&amp;" REVENUE"</f>
        <v>BASE TARIFF REVENUE</v>
      </c>
      <c r="C110" s="650"/>
      <c r="D110" s="650"/>
      <c r="E110" s="650"/>
      <c r="F110" s="650"/>
      <c r="G110" s="650"/>
      <c r="H110" s="650"/>
      <c r="I110" s="650"/>
    </row>
    <row r="111" spans="1:9">
      <c r="A111" s="628"/>
      <c r="B111" s="651" t="s">
        <v>175</v>
      </c>
      <c r="C111" s="650">
        <f t="shared" ref="C111:C122" si="13">SUM(D111:I111)</f>
        <v>28267750.5</v>
      </c>
      <c r="D111" s="650">
        <f>D25*D59</f>
        <v>21096226.5</v>
      </c>
      <c r="E111" s="650">
        <f>E25*E59</f>
        <v>6646464</v>
      </c>
      <c r="F111" s="650"/>
      <c r="G111" s="650"/>
      <c r="H111" s="650">
        <f>H25*H59</f>
        <v>525059.99999999988</v>
      </c>
      <c r="I111" s="650"/>
    </row>
    <row r="112" spans="1:9">
      <c r="A112" s="628"/>
      <c r="B112" s="651" t="s">
        <v>177</v>
      </c>
      <c r="C112" s="635">
        <f t="shared" si="13"/>
        <v>0</v>
      </c>
      <c r="D112" s="635"/>
      <c r="E112" s="635"/>
      <c r="F112" s="635"/>
      <c r="G112" s="635"/>
      <c r="H112" s="635"/>
      <c r="I112" s="635"/>
    </row>
    <row r="113" spans="1:9">
      <c r="A113" s="628"/>
      <c r="B113" s="651" t="s">
        <v>155</v>
      </c>
      <c r="C113" s="635">
        <f t="shared" si="13"/>
        <v>266168521.53</v>
      </c>
      <c r="D113" s="635">
        <f t="shared" ref="D113:H115" si="14">ROUND(D8*D62/100,2)</f>
        <v>115934258.92</v>
      </c>
      <c r="E113" s="635">
        <f t="shared" si="14"/>
        <v>47118398.759999998</v>
      </c>
      <c r="F113" s="635">
        <f t="shared" si="14"/>
        <v>91213586.450000003</v>
      </c>
      <c r="G113" s="635">
        <f t="shared" si="14"/>
        <v>6936300</v>
      </c>
      <c r="H113" s="635">
        <f t="shared" si="14"/>
        <v>4965977.4000000004</v>
      </c>
      <c r="I113" s="635"/>
    </row>
    <row r="114" spans="1:9">
      <c r="A114" s="628"/>
      <c r="B114" s="651" t="s">
        <v>157</v>
      </c>
      <c r="C114" s="635">
        <f t="shared" si="13"/>
        <v>104070509.05</v>
      </c>
      <c r="D114" s="635">
        <f t="shared" si="14"/>
        <v>43158959.670000002</v>
      </c>
      <c r="E114" s="635">
        <f t="shared" si="14"/>
        <v>15299369.32</v>
      </c>
      <c r="F114" s="635">
        <f t="shared" si="14"/>
        <v>10466847.58</v>
      </c>
      <c r="G114" s="635">
        <f t="shared" si="14"/>
        <v>28143526.239999998</v>
      </c>
      <c r="H114" s="635">
        <f t="shared" si="14"/>
        <v>7001806.2400000002</v>
      </c>
      <c r="I114" s="635"/>
    </row>
    <row r="115" spans="1:9">
      <c r="A115" s="628"/>
      <c r="B115" s="651" t="s">
        <v>160</v>
      </c>
      <c r="C115" s="635">
        <f t="shared" si="13"/>
        <v>46735671.129999995</v>
      </c>
      <c r="D115" s="635">
        <f>ROUND(D10*D64/100,2)</f>
        <v>29183297.5</v>
      </c>
      <c r="E115" s="635"/>
      <c r="F115" s="635"/>
      <c r="G115" s="635">
        <f t="shared" si="14"/>
        <v>17552373.629999999</v>
      </c>
      <c r="H115" s="635"/>
      <c r="I115" s="635"/>
    </row>
    <row r="116" spans="1:9">
      <c r="A116" s="628"/>
      <c r="B116" s="651" t="s">
        <v>161</v>
      </c>
      <c r="C116" s="635">
        <f t="shared" si="13"/>
        <v>0</v>
      </c>
      <c r="D116" s="635"/>
      <c r="E116" s="635"/>
      <c r="F116" s="635"/>
      <c r="G116" s="635"/>
      <c r="H116" s="635"/>
      <c r="I116" s="635"/>
    </row>
    <row r="117" spans="1:9">
      <c r="A117" s="628"/>
      <c r="B117" s="651" t="s">
        <v>183</v>
      </c>
      <c r="C117" s="635">
        <f t="shared" si="13"/>
        <v>17374000</v>
      </c>
      <c r="D117" s="635"/>
      <c r="E117" s="635"/>
      <c r="F117" s="635">
        <f>F25*F69</f>
        <v>12082000</v>
      </c>
      <c r="G117" s="635">
        <f>G25*G69</f>
        <v>5292000</v>
      </c>
      <c r="H117" s="635"/>
      <c r="I117" s="635"/>
    </row>
    <row r="118" spans="1:9">
      <c r="A118" s="628"/>
      <c r="B118" s="651" t="s">
        <v>184</v>
      </c>
      <c r="C118" s="635">
        <f t="shared" si="13"/>
        <v>27234699.199999999</v>
      </c>
      <c r="D118" s="635"/>
      <c r="E118" s="635">
        <f>E27*E70</f>
        <v>2446956</v>
      </c>
      <c r="F118" s="635">
        <f>F27*F70</f>
        <v>17028177.199999999</v>
      </c>
      <c r="G118" s="635">
        <f>G27*G70</f>
        <v>7759566</v>
      </c>
      <c r="H118" s="635"/>
      <c r="I118" s="635"/>
    </row>
    <row r="119" spans="1:9">
      <c r="A119" s="652" t="s">
        <v>598</v>
      </c>
      <c r="B119" s="651" t="s">
        <v>187</v>
      </c>
      <c r="C119" s="635">
        <f t="shared" si="13"/>
        <v>140172.91</v>
      </c>
      <c r="D119" s="635"/>
      <c r="E119" s="441">
        <v>6915</v>
      </c>
      <c r="F119" s="441">
        <v>128639.9</v>
      </c>
      <c r="G119" s="441"/>
      <c r="H119" s="441">
        <v>4618.01</v>
      </c>
      <c r="I119" s="446"/>
    </row>
    <row r="120" spans="1:9">
      <c r="A120" s="652" t="s">
        <v>599</v>
      </c>
      <c r="B120" s="651" t="s">
        <v>188</v>
      </c>
      <c r="C120" s="635">
        <f t="shared" si="13"/>
        <v>-1303818.3999999999</v>
      </c>
      <c r="D120" s="635"/>
      <c r="E120" s="446"/>
      <c r="F120" s="653">
        <v>-70490</v>
      </c>
      <c r="G120" s="446">
        <v>-1233328.3999999999</v>
      </c>
      <c r="H120" s="446"/>
      <c r="I120" s="446"/>
    </row>
    <row r="121" spans="1:9" ht="12.75">
      <c r="A121" s="654"/>
      <c r="B121" s="651" t="s">
        <v>189</v>
      </c>
      <c r="C121" s="635">
        <f t="shared" si="13"/>
        <v>0</v>
      </c>
      <c r="D121" s="635"/>
      <c r="E121" s="446"/>
      <c r="F121" s="446"/>
      <c r="G121" s="446"/>
      <c r="H121" s="446"/>
      <c r="I121" s="446"/>
    </row>
    <row r="122" spans="1:9">
      <c r="A122" s="652" t="s">
        <v>190</v>
      </c>
      <c r="B122" s="651" t="s">
        <v>191</v>
      </c>
      <c r="C122" s="636">
        <f t="shared" si="13"/>
        <v>6952992.1202784004</v>
      </c>
      <c r="D122" s="655"/>
      <c r="E122" s="656"/>
      <c r="F122" s="656"/>
      <c r="G122" s="656"/>
      <c r="H122" s="656"/>
      <c r="I122" s="445">
        <v>6952992.1202784004</v>
      </c>
    </row>
    <row r="123" spans="1:9">
      <c r="A123" s="628"/>
      <c r="B123" s="629"/>
      <c r="C123" s="650"/>
      <c r="D123" s="650"/>
      <c r="E123" s="650"/>
      <c r="F123" s="650"/>
      <c r="G123" s="650"/>
      <c r="H123" s="650"/>
      <c r="I123" s="650"/>
    </row>
    <row r="124" spans="1:9">
      <c r="A124" s="628"/>
      <c r="B124" s="629" t="s">
        <v>163</v>
      </c>
      <c r="C124" s="650">
        <f>IF(ROUND(SUM(C111:C122),3)&lt;&gt;ROUND(SUM(D124:I124),3),#VALUE!,SUM(D124:I124))</f>
        <v>495640498.04027838</v>
      </c>
      <c r="D124" s="650">
        <f t="shared" ref="D124:I124" si="15">SUM(D111:D122)</f>
        <v>209372742.59000003</v>
      </c>
      <c r="E124" s="650">
        <f t="shared" si="15"/>
        <v>71518103.079999998</v>
      </c>
      <c r="F124" s="650">
        <f t="shared" si="15"/>
        <v>130848761.13000001</v>
      </c>
      <c r="G124" s="650">
        <f t="shared" si="15"/>
        <v>64450437.469999991</v>
      </c>
      <c r="H124" s="650">
        <f t="shared" si="15"/>
        <v>12497461.65</v>
      </c>
      <c r="I124" s="650">
        <f t="shared" si="15"/>
        <v>6952992.1202784004</v>
      </c>
    </row>
    <row r="125" spans="1:9">
      <c r="A125" s="628"/>
      <c r="B125" s="95"/>
      <c r="C125" s="636">
        <f>SUM(D125:I125)</f>
        <v>0</v>
      </c>
      <c r="D125" s="636">
        <f>ROUND(D15*D67/100,2)</f>
        <v>0</v>
      </c>
      <c r="E125" s="636">
        <f>ROUND(E15*E67/100,2)</f>
        <v>0</v>
      </c>
      <c r="F125" s="636">
        <f>ROUND(F15*F67/100,2)</f>
        <v>0</v>
      </c>
      <c r="G125" s="636">
        <f>ROUND(G15*G63/100,2)</f>
        <v>0</v>
      </c>
      <c r="H125" s="636">
        <f>ROUND(H15*H67/100,2)</f>
        <v>0</v>
      </c>
      <c r="I125" s="636"/>
    </row>
    <row r="126" spans="1:9">
      <c r="A126" s="628"/>
      <c r="B126" s="629"/>
      <c r="C126" s="650"/>
      <c r="D126" s="650"/>
      <c r="E126" s="650"/>
      <c r="F126" s="650"/>
      <c r="G126" s="650"/>
      <c r="H126" s="650"/>
      <c r="I126" s="650"/>
    </row>
    <row r="127" spans="1:9">
      <c r="A127" s="628"/>
      <c r="B127" s="629" t="s">
        <v>163</v>
      </c>
      <c r="C127" s="650">
        <f>SUM(D127:I127)</f>
        <v>495640498.04027838</v>
      </c>
      <c r="D127" s="650">
        <f t="shared" ref="D127:I127" si="16">D124+D125</f>
        <v>209372742.59000003</v>
      </c>
      <c r="E127" s="650">
        <f t="shared" si="16"/>
        <v>71518103.079999998</v>
      </c>
      <c r="F127" s="650">
        <f t="shared" si="16"/>
        <v>130848761.13000001</v>
      </c>
      <c r="G127" s="650">
        <f t="shared" si="16"/>
        <v>64450437.469999991</v>
      </c>
      <c r="H127" s="650">
        <f t="shared" si="16"/>
        <v>12497461.65</v>
      </c>
      <c r="I127" s="650">
        <f t="shared" si="16"/>
        <v>6952992.1202784004</v>
      </c>
    </row>
    <row r="128" spans="1:9">
      <c r="A128" s="628"/>
      <c r="B128" s="629" t="s">
        <v>192</v>
      </c>
      <c r="C128" s="636">
        <f>SUM(D128:I128)</f>
        <v>0</v>
      </c>
      <c r="D128" s="636">
        <f t="shared" ref="D128:I128" si="17">ROUND(D18*D67/100,2)</f>
        <v>0</v>
      </c>
      <c r="E128" s="636">
        <f t="shared" si="17"/>
        <v>0</v>
      </c>
      <c r="F128" s="636">
        <f t="shared" si="17"/>
        <v>0</v>
      </c>
      <c r="G128" s="636">
        <f t="shared" si="17"/>
        <v>0</v>
      </c>
      <c r="H128" s="636">
        <f t="shared" si="17"/>
        <v>0</v>
      </c>
      <c r="I128" s="636">
        <f t="shared" si="17"/>
        <v>0</v>
      </c>
    </row>
    <row r="129" spans="1:16">
      <c r="A129" s="628"/>
      <c r="B129" s="629"/>
      <c r="C129" s="650"/>
      <c r="D129" s="650"/>
      <c r="E129" s="650"/>
      <c r="F129" s="650"/>
      <c r="G129" s="650"/>
      <c r="H129" s="650"/>
      <c r="I129" s="650"/>
    </row>
    <row r="130" spans="1:16">
      <c r="A130" s="628"/>
      <c r="B130" s="629" t="str">
        <f>"TOTAL "&amp;UPPER(CHOOSE(Base1_Billing2,$N$9,$N$10))&amp;" REVENUE"</f>
        <v>TOTAL BASE TARIFF REVENUE</v>
      </c>
      <c r="C130" s="650">
        <f>IF(ROUND(SUM(D130:I130),3)&lt;&gt;ROUND(SUM(C127:C128),3),#VALUE!,SUM(D130:I130))</f>
        <v>495640498.04027838</v>
      </c>
      <c r="D130" s="650">
        <f t="shared" ref="D130:I130" si="18">D127+D128</f>
        <v>209372742.59000003</v>
      </c>
      <c r="E130" s="650">
        <f t="shared" si="18"/>
        <v>71518103.079999998</v>
      </c>
      <c r="F130" s="650">
        <f t="shared" si="18"/>
        <v>130848761.13000001</v>
      </c>
      <c r="G130" s="650">
        <f t="shared" si="18"/>
        <v>64450437.469999991</v>
      </c>
      <c r="H130" s="650">
        <f t="shared" si="18"/>
        <v>12497461.65</v>
      </c>
      <c r="I130" s="650">
        <f t="shared" si="18"/>
        <v>6952992.1202784004</v>
      </c>
    </row>
    <row r="131" spans="1:16">
      <c r="A131" s="628"/>
      <c r="B131" s="629"/>
      <c r="C131" s="650"/>
      <c r="D131" s="650"/>
      <c r="E131" s="650"/>
      <c r="F131" s="650"/>
      <c r="G131" s="650"/>
      <c r="H131" s="650"/>
      <c r="I131" s="650"/>
    </row>
    <row r="132" spans="1:16">
      <c r="A132" s="628"/>
      <c r="B132" s="629" t="s">
        <v>193</v>
      </c>
      <c r="C132" s="650"/>
      <c r="D132" s="650"/>
      <c r="E132" s="650"/>
      <c r="F132" s="650"/>
      <c r="G132" s="650"/>
      <c r="H132" s="650"/>
      <c r="I132" s="650"/>
    </row>
    <row r="133" spans="1:16">
      <c r="A133" s="628"/>
      <c r="B133" s="657" t="s">
        <v>194</v>
      </c>
      <c r="C133" s="650"/>
      <c r="D133" s="650"/>
      <c r="E133" s="650"/>
      <c r="F133" s="650"/>
      <c r="G133" s="650"/>
      <c r="H133" s="650"/>
      <c r="I133" s="650"/>
      <c r="L133" s="658">
        <f>D8/$D$14</f>
        <v>0.66466623888799858</v>
      </c>
      <c r="M133" s="629"/>
      <c r="N133" s="96">
        <f>$D$134*L133</f>
        <v>-14023505.838482682</v>
      </c>
      <c r="O133" s="629"/>
      <c r="P133" s="659">
        <f>N133*(D62/100)</f>
        <v>-1036337.0814638701</v>
      </c>
    </row>
    <row r="134" spans="1:16" s="92" customFormat="1">
      <c r="A134" s="660" t="s">
        <v>600</v>
      </c>
      <c r="B134" s="661" t="s">
        <v>195</v>
      </c>
      <c r="C134" s="635">
        <f>SUM(D134:I134)</f>
        <v>-42358120</v>
      </c>
      <c r="D134" s="441">
        <v>-21098568</v>
      </c>
      <c r="E134" s="441">
        <v>-5656561</v>
      </c>
      <c r="F134" s="441">
        <v>-15770451</v>
      </c>
      <c r="G134" s="441"/>
      <c r="H134" s="441">
        <v>167460</v>
      </c>
      <c r="I134" s="662"/>
      <c r="L134" s="658">
        <f>D9/$D$14</f>
        <v>0.21267174510161982</v>
      </c>
      <c r="M134" s="629"/>
      <c r="N134" s="96">
        <f>$D$134*L134</f>
        <v>-4487069.2757051922</v>
      </c>
      <c r="O134" s="629"/>
      <c r="P134" s="659">
        <f>N134*(D63/100)</f>
        <v>-385798.21632513241</v>
      </c>
    </row>
    <row r="135" spans="1:16" s="106" customFormat="1">
      <c r="A135" s="652" t="s">
        <v>196</v>
      </c>
      <c r="B135" s="663" t="s">
        <v>197</v>
      </c>
      <c r="C135" s="648"/>
      <c r="D135" s="648">
        <f>D67</f>
        <v>7.9768682914151094</v>
      </c>
      <c r="E135" s="648">
        <f>E67</f>
        <v>10.375127939068888</v>
      </c>
      <c r="F135" s="648">
        <f>F67</f>
        <v>7.0038261219419624</v>
      </c>
      <c r="G135" s="648"/>
      <c r="H135" s="664">
        <f>H67</f>
        <v>7.7352513867859889</v>
      </c>
      <c r="I135" s="648"/>
      <c r="L135" s="665">
        <f>D10/$D$14</f>
        <v>0.1226620160103816</v>
      </c>
      <c r="M135" s="635"/>
      <c r="N135" s="666">
        <f>$D$134*L135</f>
        <v>-2587992.8858121247</v>
      </c>
      <c r="O135" s="643"/>
      <c r="P135" s="667">
        <f>N135*(D64/100)</f>
        <v>-260869.68288986216</v>
      </c>
    </row>
    <row r="136" spans="1:16" s="94" customFormat="1">
      <c r="A136" s="652"/>
      <c r="B136" s="668" t="s">
        <v>198</v>
      </c>
      <c r="C136" s="650">
        <f>SUM(D136:I136)</f>
        <v>-3361461.9399999995</v>
      </c>
      <c r="D136" s="669">
        <f>ROUND(D134*D135/100,2)</f>
        <v>-1683004.98</v>
      </c>
      <c r="E136" s="669">
        <f>ROUND(E134*E135/100,2)</f>
        <v>-586875.43999999994</v>
      </c>
      <c r="F136" s="669">
        <f>ROUND(F134*F135/100,2)</f>
        <v>-1104534.97</v>
      </c>
      <c r="G136" s="669"/>
      <c r="H136" s="669">
        <f>ROUND(H134*H135/100,2)</f>
        <v>12953.45</v>
      </c>
      <c r="I136" s="669"/>
      <c r="L136" s="658">
        <f>SUM(L133:L135)</f>
        <v>1</v>
      </c>
      <c r="M136" s="648"/>
      <c r="N136" s="96">
        <f>SUM(N133:N135)</f>
        <v>-21098568</v>
      </c>
      <c r="O136" s="648"/>
      <c r="P136" s="659">
        <f>SUM(P133:P135)</f>
        <v>-1683004.9806788648</v>
      </c>
    </row>
    <row r="137" spans="1:16" s="94" customFormat="1">
      <c r="A137" s="652"/>
      <c r="B137" s="668"/>
      <c r="C137" s="650"/>
      <c r="D137" s="650"/>
      <c r="E137" s="650"/>
      <c r="F137" s="650"/>
      <c r="G137" s="650"/>
      <c r="H137" s="650"/>
      <c r="I137" s="650"/>
    </row>
    <row r="138" spans="1:16" s="96" customFormat="1">
      <c r="A138" s="652" t="s">
        <v>199</v>
      </c>
      <c r="B138" s="668" t="s">
        <v>200</v>
      </c>
      <c r="C138" s="97">
        <f>SUM(D138:I138)</f>
        <v>0</v>
      </c>
      <c r="D138" s="279">
        <v>0</v>
      </c>
      <c r="E138" s="279">
        <v>0</v>
      </c>
      <c r="F138" s="279">
        <v>0</v>
      </c>
      <c r="G138" s="108"/>
      <c r="H138" s="108"/>
      <c r="I138" s="108"/>
    </row>
    <row r="139" spans="1:16" s="106" customFormat="1">
      <c r="A139" s="652" t="s">
        <v>196</v>
      </c>
      <c r="B139" s="663" t="s">
        <v>201</v>
      </c>
      <c r="C139" s="648"/>
      <c r="D139" s="664">
        <f>I226</f>
        <v>9.182053925148109</v>
      </c>
      <c r="E139" s="664">
        <f>I245</f>
        <v>8.298</v>
      </c>
      <c r="F139" s="648">
        <f>I278</f>
        <v>6.34</v>
      </c>
      <c r="G139" s="648"/>
      <c r="H139" s="648"/>
      <c r="I139" s="648"/>
    </row>
    <row r="140" spans="1:16" s="94" customFormat="1">
      <c r="A140" s="652"/>
      <c r="B140" s="668" t="s">
        <v>202</v>
      </c>
      <c r="C140" s="650">
        <f>SUM(D140:I140)</f>
        <v>0</v>
      </c>
      <c r="D140" s="670">
        <f>ROUND(D138*D139/100,2)</f>
        <v>0</v>
      </c>
      <c r="E140" s="670">
        <f>ROUND(E138*E139/100,2)</f>
        <v>0</v>
      </c>
      <c r="F140" s="670">
        <f>ROUND(F138*F139/100,2)</f>
        <v>0</v>
      </c>
      <c r="G140" s="669"/>
      <c r="H140" s="669"/>
      <c r="I140" s="669"/>
    </row>
    <row r="141" spans="1:16" s="94" customFormat="1">
      <c r="A141" s="652"/>
      <c r="B141" s="668"/>
      <c r="C141" s="650"/>
      <c r="D141" s="671"/>
      <c r="E141" s="671"/>
      <c r="F141" s="650"/>
      <c r="G141" s="650"/>
      <c r="H141" s="650"/>
      <c r="I141" s="650"/>
    </row>
    <row r="142" spans="1:16" s="98" customFormat="1">
      <c r="A142" s="660" t="s">
        <v>600</v>
      </c>
      <c r="B142" s="672" t="s">
        <v>203</v>
      </c>
      <c r="C142" s="635">
        <f>IF(ROUND(C134+C138,3)&lt;&gt;ROUND(SUM(D142:I142),3),#VALUE!,C134+C138)</f>
        <v>-42358120</v>
      </c>
      <c r="D142" s="446">
        <f>D134+D138</f>
        <v>-21098568</v>
      </c>
      <c r="E142" s="446">
        <f>E134+E138</f>
        <v>-5656561</v>
      </c>
      <c r="F142" s="635">
        <f>F134+F138</f>
        <v>-15770451</v>
      </c>
      <c r="G142" s="635"/>
      <c r="H142" s="635">
        <f>H134+H138</f>
        <v>167460</v>
      </c>
      <c r="I142" s="635">
        <f>I134+I138</f>
        <v>0</v>
      </c>
    </row>
    <row r="143" spans="1:16" s="94" customFormat="1">
      <c r="A143" s="652"/>
      <c r="B143" s="668" t="s">
        <v>204</v>
      </c>
      <c r="C143" s="650">
        <f>IF(ROUND(C136+C140,3)&lt;&gt;ROUND(SUM(D143:I143),3),#VALUE!,C136+C140)</f>
        <v>-3361461.9399999995</v>
      </c>
      <c r="D143" s="671">
        <f>D136+D140</f>
        <v>-1683004.98</v>
      </c>
      <c r="E143" s="671">
        <f>E136+E140</f>
        <v>-586875.43999999994</v>
      </c>
      <c r="F143" s="650">
        <f>F136+F140</f>
        <v>-1104534.97</v>
      </c>
      <c r="G143" s="650"/>
      <c r="H143" s="650">
        <f>H136+H140</f>
        <v>12953.45</v>
      </c>
      <c r="I143" s="650"/>
    </row>
    <row r="144" spans="1:16" ht="12.75">
      <c r="A144" s="654"/>
      <c r="B144" s="657" t="s">
        <v>205</v>
      </c>
      <c r="C144" s="650"/>
      <c r="D144" s="671"/>
      <c r="E144" s="671"/>
      <c r="F144" s="650"/>
      <c r="G144" s="650"/>
      <c r="H144" s="650"/>
      <c r="I144" s="650"/>
    </row>
    <row r="145" spans="1:9" s="96" customFormat="1">
      <c r="A145" s="660" t="s">
        <v>199</v>
      </c>
      <c r="B145" s="663" t="s">
        <v>200</v>
      </c>
      <c r="C145" s="96">
        <f>SUM(D145:I145)</f>
        <v>27259573</v>
      </c>
      <c r="D145" s="443">
        <v>36815064</v>
      </c>
      <c r="E145" s="443">
        <v>530033</v>
      </c>
      <c r="F145" s="444">
        <v>-10085524</v>
      </c>
      <c r="G145" s="443"/>
      <c r="H145" s="443"/>
      <c r="I145" s="442"/>
    </row>
    <row r="146" spans="1:9" s="106" customFormat="1">
      <c r="A146" s="652" t="s">
        <v>196</v>
      </c>
      <c r="B146" s="663" t="s">
        <v>201</v>
      </c>
      <c r="C146" s="673"/>
      <c r="D146" s="648">
        <f>I226</f>
        <v>9.182053925148109</v>
      </c>
      <c r="E146" s="648">
        <f>I245</f>
        <v>8.298</v>
      </c>
      <c r="F146" s="648">
        <f>I278</f>
        <v>6.34</v>
      </c>
      <c r="G146" s="648"/>
      <c r="H146" s="648"/>
      <c r="I146" s="648"/>
    </row>
    <row r="147" spans="1:9" s="94" customFormat="1">
      <c r="A147" s="628"/>
      <c r="B147" s="668" t="s">
        <v>202</v>
      </c>
      <c r="C147" s="650">
        <f>SUM(D147:I147)</f>
        <v>2784938.95</v>
      </c>
      <c r="D147" s="669">
        <f>ROUND(D145*D146/100,2)</f>
        <v>3380379.03</v>
      </c>
      <c r="E147" s="669">
        <f>ROUND(E145*E146/100,2)</f>
        <v>43982.14</v>
      </c>
      <c r="F147" s="669">
        <f>ROUND(F145*F146/100,2)</f>
        <v>-639422.22</v>
      </c>
      <c r="G147" s="669"/>
      <c r="H147" s="669"/>
      <c r="I147" s="669"/>
    </row>
    <row r="148" spans="1:9">
      <c r="A148" s="628"/>
      <c r="B148" s="629"/>
      <c r="C148" s="650"/>
      <c r="D148" s="650"/>
      <c r="E148" s="650"/>
      <c r="F148" s="650"/>
      <c r="G148" s="650"/>
      <c r="H148" s="650"/>
      <c r="I148" s="650"/>
    </row>
    <row r="149" spans="1:9">
      <c r="A149" s="628"/>
      <c r="B149" s="629" t="s">
        <v>206</v>
      </c>
      <c r="C149" s="650">
        <f>IF(ROUND(C143+C147,3)&lt;&gt;ROUND(SUM(D149:I149),3),#VALUE!,C143+C147)</f>
        <v>-576522.98999999929</v>
      </c>
      <c r="D149" s="650">
        <f>D147+D143</f>
        <v>1697374.0499999998</v>
      </c>
      <c r="E149" s="650">
        <f>E147+E143</f>
        <v>-542893.29999999993</v>
      </c>
      <c r="F149" s="650">
        <f>F147+F143</f>
        <v>-1743957.19</v>
      </c>
      <c r="G149" s="650"/>
      <c r="H149" s="650">
        <f>H147+H143</f>
        <v>12953.45</v>
      </c>
      <c r="I149" s="650"/>
    </row>
    <row r="150" spans="1:9">
      <c r="A150" s="628"/>
      <c r="B150" s="629" t="str">
        <f>B130</f>
        <v>TOTAL BASE TARIFF REVENUE</v>
      </c>
      <c r="C150" s="635">
        <f t="shared" ref="C150:I150" si="19">C130</f>
        <v>495640498.04027838</v>
      </c>
      <c r="D150" s="635">
        <f t="shared" si="19"/>
        <v>209372742.59000003</v>
      </c>
      <c r="E150" s="635">
        <f t="shared" si="19"/>
        <v>71518103.079999998</v>
      </c>
      <c r="F150" s="635">
        <f t="shared" si="19"/>
        <v>130848761.13000001</v>
      </c>
      <c r="G150" s="635">
        <f t="shared" si="19"/>
        <v>64450437.469999991</v>
      </c>
      <c r="H150" s="635">
        <f t="shared" si="19"/>
        <v>12497461.65</v>
      </c>
      <c r="I150" s="635">
        <f t="shared" si="19"/>
        <v>6952992.1202784004</v>
      </c>
    </row>
    <row r="151" spans="1:9">
      <c r="A151" s="628"/>
      <c r="B151" s="629"/>
      <c r="C151" s="669"/>
      <c r="D151" s="669"/>
      <c r="E151" s="669"/>
      <c r="F151" s="669"/>
      <c r="G151" s="669"/>
      <c r="H151" s="669"/>
      <c r="I151" s="669"/>
    </row>
    <row r="152" spans="1:9">
      <c r="A152" s="628"/>
      <c r="B152" s="629" t="s">
        <v>207</v>
      </c>
      <c r="C152" s="650">
        <f>IF(ROUND(C149+C150,3)&lt;&gt;ROUND(SUM(D152:I152),3),#VALUE!,SUM(D152:I152))</f>
        <v>495063975.05027848</v>
      </c>
      <c r="D152" s="650">
        <f t="shared" ref="D152:I152" si="20">D149+D150</f>
        <v>211070116.64000005</v>
      </c>
      <c r="E152" s="650">
        <f t="shared" si="20"/>
        <v>70975209.780000001</v>
      </c>
      <c r="F152" s="650">
        <f t="shared" si="20"/>
        <v>129104803.94000001</v>
      </c>
      <c r="G152" s="650">
        <f t="shared" si="20"/>
        <v>64450437.469999991</v>
      </c>
      <c r="H152" s="650">
        <f t="shared" si="20"/>
        <v>12510415.1</v>
      </c>
      <c r="I152" s="650">
        <f t="shared" si="20"/>
        <v>6952992.1202784004</v>
      </c>
    </row>
    <row r="153" spans="1:9">
      <c r="A153" s="628"/>
      <c r="B153" s="629"/>
      <c r="C153" s="650"/>
      <c r="D153" s="650"/>
      <c r="E153" s="674"/>
      <c r="F153" s="650"/>
      <c r="G153" s="650"/>
      <c r="H153" s="650"/>
      <c r="I153" s="650"/>
    </row>
    <row r="154" spans="1:9">
      <c r="A154" s="628"/>
      <c r="B154" s="629"/>
      <c r="C154" s="650"/>
      <c r="D154" s="650"/>
      <c r="E154" s="650"/>
      <c r="F154" s="650"/>
      <c r="G154" s="650"/>
      <c r="H154" s="650"/>
      <c r="I154" s="650"/>
    </row>
    <row r="155" spans="1:9">
      <c r="A155" s="628"/>
      <c r="B155" s="629"/>
      <c r="C155" s="650"/>
      <c r="D155" s="650"/>
      <c r="E155" s="650"/>
      <c r="F155" s="650"/>
      <c r="G155" s="650"/>
      <c r="H155" s="650"/>
      <c r="I155" s="650"/>
    </row>
    <row r="156" spans="1:9">
      <c r="A156" s="628"/>
      <c r="B156" s="629"/>
      <c r="C156" s="650"/>
      <c r="D156" s="650"/>
      <c r="E156" s="650"/>
      <c r="F156" s="650"/>
      <c r="G156" s="650"/>
      <c r="H156" s="650"/>
      <c r="I156" s="650"/>
    </row>
    <row r="157" spans="1:9">
      <c r="A157" s="628"/>
      <c r="B157" s="629"/>
      <c r="C157" s="650"/>
      <c r="D157" s="650"/>
      <c r="E157" s="650"/>
      <c r="F157" s="650"/>
      <c r="G157" s="650"/>
      <c r="H157" s="650"/>
      <c r="I157" s="650"/>
    </row>
    <row r="158" spans="1:9">
      <c r="A158" s="628"/>
      <c r="B158" s="629"/>
      <c r="C158" s="650"/>
      <c r="D158" s="650"/>
      <c r="E158" s="650"/>
      <c r="F158" s="650"/>
      <c r="G158" s="650"/>
      <c r="H158" s="650"/>
      <c r="I158" s="650"/>
    </row>
    <row r="159" spans="1:9">
      <c r="A159" s="628"/>
      <c r="B159" s="629"/>
      <c r="C159" s="650"/>
      <c r="D159" s="650"/>
      <c r="E159" s="650"/>
      <c r="F159" s="650"/>
      <c r="G159" s="650"/>
      <c r="H159" s="650"/>
      <c r="I159" s="650"/>
    </row>
    <row r="160" spans="1:9" s="88" customFormat="1">
      <c r="A160" s="628" t="s">
        <v>146</v>
      </c>
      <c r="B160" s="631"/>
      <c r="C160" s="631" t="s">
        <v>95</v>
      </c>
      <c r="D160" s="631" t="s">
        <v>100</v>
      </c>
      <c r="E160" s="631" t="s">
        <v>102</v>
      </c>
      <c r="F160" s="631" t="s">
        <v>104</v>
      </c>
      <c r="G160" s="631" t="s">
        <v>106</v>
      </c>
      <c r="H160" s="631" t="s">
        <v>108</v>
      </c>
      <c r="I160" s="631" t="s">
        <v>110</v>
      </c>
    </row>
    <row r="161" spans="1:9" s="88" customFormat="1">
      <c r="A161" s="628" t="s">
        <v>147</v>
      </c>
      <c r="B161" s="631"/>
      <c r="C161" s="632" t="s">
        <v>86</v>
      </c>
      <c r="D161" s="632" t="s">
        <v>101</v>
      </c>
      <c r="E161" s="632" t="s">
        <v>103</v>
      </c>
      <c r="F161" s="632" t="s">
        <v>105</v>
      </c>
      <c r="G161" s="632" t="s">
        <v>107</v>
      </c>
      <c r="H161" s="632" t="s">
        <v>109</v>
      </c>
      <c r="I161" s="632" t="s">
        <v>111</v>
      </c>
    </row>
    <row r="162" spans="1:9" ht="12.75">
      <c r="A162" s="628"/>
      <c r="B162" s="633" t="s">
        <v>208</v>
      </c>
      <c r="C162" s="650"/>
      <c r="D162" s="650"/>
      <c r="E162" s="650"/>
      <c r="F162" s="650"/>
      <c r="G162" s="650"/>
      <c r="H162" s="650"/>
      <c r="I162" s="650"/>
    </row>
    <row r="163" spans="1:9">
      <c r="A163" s="628"/>
      <c r="B163" s="629" t="str">
        <f>UPPER(CHOOSE(Base1_Billing2,$N$9,$N$10))&amp;" REVENUE"</f>
        <v>BASE TARIFF REVENUE</v>
      </c>
      <c r="C163" s="650"/>
      <c r="D163" s="650"/>
      <c r="E163" s="650"/>
      <c r="F163" s="650"/>
      <c r="G163" s="650"/>
      <c r="H163" s="650"/>
      <c r="I163" s="650"/>
    </row>
    <row r="164" spans="1:9">
      <c r="A164" s="628"/>
      <c r="B164" s="651" t="s">
        <v>175</v>
      </c>
      <c r="C164" s="650">
        <f t="shared" ref="C164:C175" si="21">SUM(D164:I164)</f>
        <v>28267750.5</v>
      </c>
      <c r="D164" s="650">
        <f>D48*D76</f>
        <v>21096226.5</v>
      </c>
      <c r="E164" s="650">
        <f>E48*E76</f>
        <v>6646464</v>
      </c>
      <c r="F164" s="650"/>
      <c r="G164" s="650"/>
      <c r="H164" s="650">
        <f>H48*H76</f>
        <v>525059.99999999988</v>
      </c>
      <c r="I164" s="650"/>
    </row>
    <row r="165" spans="1:9">
      <c r="A165" s="628"/>
      <c r="B165" s="651" t="s">
        <v>177</v>
      </c>
      <c r="C165" s="635">
        <f t="shared" si="21"/>
        <v>0</v>
      </c>
      <c r="D165" s="635">
        <f>D49*D77</f>
        <v>0</v>
      </c>
      <c r="E165" s="635"/>
      <c r="F165" s="635"/>
      <c r="G165" s="635"/>
      <c r="H165" s="635"/>
      <c r="I165" s="635"/>
    </row>
    <row r="166" spans="1:9">
      <c r="A166" s="628"/>
      <c r="B166" s="651" t="s">
        <v>155</v>
      </c>
      <c r="C166" s="635">
        <f t="shared" si="21"/>
        <v>266168521.53</v>
      </c>
      <c r="D166" s="635">
        <f t="shared" ref="D166:H168" si="22">ROUND(D31*D79/100,2)</f>
        <v>115934258.92</v>
      </c>
      <c r="E166" s="635">
        <f t="shared" si="22"/>
        <v>47118398.759999998</v>
      </c>
      <c r="F166" s="635">
        <f t="shared" si="22"/>
        <v>91213586.450000003</v>
      </c>
      <c r="G166" s="635">
        <f t="shared" si="22"/>
        <v>6936300</v>
      </c>
      <c r="H166" s="635">
        <f>ROUND(H31*H79/100,2)</f>
        <v>4965977.4000000004</v>
      </c>
      <c r="I166" s="635"/>
    </row>
    <row r="167" spans="1:9">
      <c r="A167" s="628"/>
      <c r="B167" s="651" t="s">
        <v>157</v>
      </c>
      <c r="C167" s="635">
        <f t="shared" si="21"/>
        <v>104070509.05</v>
      </c>
      <c r="D167" s="635">
        <f t="shared" si="22"/>
        <v>43158959.670000002</v>
      </c>
      <c r="E167" s="635">
        <f t="shared" si="22"/>
        <v>15299369.32</v>
      </c>
      <c r="F167" s="635">
        <f t="shared" si="22"/>
        <v>10466847.58</v>
      </c>
      <c r="G167" s="635">
        <f t="shared" si="22"/>
        <v>28143526.239999998</v>
      </c>
      <c r="H167" s="635">
        <f t="shared" si="22"/>
        <v>7001806.2400000002</v>
      </c>
      <c r="I167" s="635"/>
    </row>
    <row r="168" spans="1:9">
      <c r="A168" s="628"/>
      <c r="B168" s="651" t="s">
        <v>160</v>
      </c>
      <c r="C168" s="635">
        <f t="shared" si="21"/>
        <v>46735671.129999995</v>
      </c>
      <c r="D168" s="635">
        <f>ROUND(D33*D81/100,2)</f>
        <v>29183297.5</v>
      </c>
      <c r="E168" s="635"/>
      <c r="F168" s="635"/>
      <c r="G168" s="635">
        <f t="shared" si="22"/>
        <v>17552373.629999999</v>
      </c>
      <c r="H168" s="635"/>
      <c r="I168" s="635"/>
    </row>
    <row r="169" spans="1:9">
      <c r="A169" s="628"/>
      <c r="B169" s="651" t="s">
        <v>161</v>
      </c>
      <c r="C169" s="635">
        <f t="shared" si="21"/>
        <v>0</v>
      </c>
      <c r="D169" s="635">
        <f>ROUND(D34*D82/100,2)</f>
        <v>0</v>
      </c>
      <c r="E169" s="635"/>
      <c r="F169" s="635"/>
      <c r="G169" s="635"/>
      <c r="H169" s="635"/>
      <c r="I169" s="635"/>
    </row>
    <row r="170" spans="1:9">
      <c r="A170" s="628"/>
      <c r="B170" s="651" t="s">
        <v>183</v>
      </c>
      <c r="C170" s="635">
        <f t="shared" si="21"/>
        <v>17374000</v>
      </c>
      <c r="D170" s="635"/>
      <c r="E170" s="635"/>
      <c r="F170" s="635">
        <f>ROUND(F48*F86,2)</f>
        <v>12082000</v>
      </c>
      <c r="G170" s="635">
        <f>ROUND(G48*G86,2)</f>
        <v>5292000</v>
      </c>
      <c r="H170" s="635"/>
      <c r="I170" s="635"/>
    </row>
    <row r="171" spans="1:9">
      <c r="A171" s="628"/>
      <c r="B171" s="651" t="s">
        <v>184</v>
      </c>
      <c r="C171" s="635">
        <f t="shared" si="21"/>
        <v>27234699.199999999</v>
      </c>
      <c r="D171" s="635"/>
      <c r="E171" s="635">
        <f>ROUND(E50*E87,2)</f>
        <v>2446956</v>
      </c>
      <c r="F171" s="635">
        <f>ROUND(F50*F87,2)</f>
        <v>17028177.199999999</v>
      </c>
      <c r="G171" s="635">
        <f>ROUND(G50*G87,2)</f>
        <v>7759566</v>
      </c>
      <c r="H171" s="635"/>
      <c r="I171" s="635"/>
    </row>
    <row r="172" spans="1:9">
      <c r="A172" s="628"/>
      <c r="B172" s="651" t="s">
        <v>187</v>
      </c>
      <c r="C172" s="635">
        <f t="shared" si="21"/>
        <v>140172.91</v>
      </c>
      <c r="D172" s="635"/>
      <c r="E172" s="635">
        <f>E119</f>
        <v>6915</v>
      </c>
      <c r="F172" s="635">
        <f>F119</f>
        <v>128639.9</v>
      </c>
      <c r="G172" s="635"/>
      <c r="H172" s="635">
        <f>H119</f>
        <v>4618.01</v>
      </c>
      <c r="I172" s="635"/>
    </row>
    <row r="173" spans="1:9">
      <c r="A173" s="628"/>
      <c r="B173" s="651" t="s">
        <v>188</v>
      </c>
      <c r="C173" s="635">
        <f t="shared" si="21"/>
        <v>-1303818.3999999999</v>
      </c>
      <c r="D173" s="635"/>
      <c r="E173" s="635"/>
      <c r="F173" s="635">
        <f>F120</f>
        <v>-70490</v>
      </c>
      <c r="G173" s="446">
        <v>-1233328.3999999999</v>
      </c>
      <c r="H173" s="635"/>
      <c r="I173" s="635"/>
    </row>
    <row r="174" spans="1:9">
      <c r="A174" s="628"/>
      <c r="B174" s="651" t="s">
        <v>189</v>
      </c>
      <c r="C174" s="635">
        <f t="shared" si="21"/>
        <v>0</v>
      </c>
      <c r="D174" s="635"/>
      <c r="E174" s="635"/>
      <c r="F174" s="635"/>
      <c r="G174" s="635"/>
      <c r="H174" s="635"/>
      <c r="I174" s="635"/>
    </row>
    <row r="175" spans="1:9">
      <c r="A175" s="652" t="s">
        <v>190</v>
      </c>
      <c r="B175" s="651" t="s">
        <v>191</v>
      </c>
      <c r="C175" s="636">
        <f t="shared" si="21"/>
        <v>6952992.1202784004</v>
      </c>
      <c r="D175" s="636"/>
      <c r="E175" s="655"/>
      <c r="F175" s="655"/>
      <c r="G175" s="655"/>
      <c r="H175" s="655"/>
      <c r="I175" s="445">
        <v>6952992.1202784004</v>
      </c>
    </row>
    <row r="176" spans="1:9">
      <c r="A176" s="628"/>
      <c r="B176" s="629"/>
      <c r="C176" s="650"/>
      <c r="D176" s="650"/>
      <c r="E176" s="650"/>
      <c r="F176" s="650"/>
      <c r="G176" s="650"/>
      <c r="H176" s="650"/>
      <c r="I176" s="650"/>
    </row>
    <row r="177" spans="1:9">
      <c r="A177" s="628"/>
      <c r="B177" s="629" t="s">
        <v>163</v>
      </c>
      <c r="C177" s="650">
        <f>IF(ROUND(SUM(C164:C175),3)&lt;&gt;ROUND(SUM(D177:I177),3),#VALUE!,SUM(D177:I177))</f>
        <v>495640498.04027838</v>
      </c>
      <c r="D177" s="650">
        <f t="shared" ref="D177:I177" si="23">SUM(D164:D175)</f>
        <v>209372742.59000003</v>
      </c>
      <c r="E177" s="650">
        <f t="shared" si="23"/>
        <v>71518103.079999998</v>
      </c>
      <c r="F177" s="650">
        <f t="shared" si="23"/>
        <v>130848761.13000001</v>
      </c>
      <c r="G177" s="650">
        <f t="shared" si="23"/>
        <v>64450437.469999991</v>
      </c>
      <c r="H177" s="650">
        <f t="shared" si="23"/>
        <v>12497461.65</v>
      </c>
      <c r="I177" s="650">
        <f t="shared" si="23"/>
        <v>6952992.1202784004</v>
      </c>
    </row>
    <row r="178" spans="1:9">
      <c r="A178" s="628"/>
      <c r="B178" s="95"/>
      <c r="C178" s="636">
        <f>SUM(D178:I178)</f>
        <v>0</v>
      </c>
      <c r="D178" s="636">
        <f>ROUND(D38*D84/100,2)</f>
        <v>0</v>
      </c>
      <c r="E178" s="636">
        <f>ROUND(E38*E84/100,2)</f>
        <v>0</v>
      </c>
      <c r="F178" s="636">
        <f>ROUND(F38*F84/100,2)</f>
        <v>0</v>
      </c>
      <c r="G178" s="636">
        <f>ROUND(G38*G80/100,2)</f>
        <v>0</v>
      </c>
      <c r="H178" s="636">
        <f>ROUND(H38*H84/100,2)</f>
        <v>0</v>
      </c>
      <c r="I178" s="636">
        <v>0</v>
      </c>
    </row>
    <row r="179" spans="1:9">
      <c r="A179" s="628"/>
      <c r="B179" s="629"/>
      <c r="C179" s="650"/>
      <c r="D179" s="650"/>
      <c r="E179" s="675"/>
      <c r="F179" s="675"/>
      <c r="G179" s="650"/>
      <c r="H179" s="650"/>
      <c r="I179" s="650"/>
    </row>
    <row r="180" spans="1:9">
      <c r="A180" s="628"/>
      <c r="B180" s="629" t="s">
        <v>163</v>
      </c>
      <c r="C180" s="650">
        <f>SUM(D180:I180)</f>
        <v>495640498.04027838</v>
      </c>
      <c r="D180" s="650">
        <f t="shared" ref="D180:I180" si="24">D177+D178</f>
        <v>209372742.59000003</v>
      </c>
      <c r="E180" s="650">
        <f t="shared" si="24"/>
        <v>71518103.079999998</v>
      </c>
      <c r="F180" s="650">
        <f t="shared" si="24"/>
        <v>130848761.13000001</v>
      </c>
      <c r="G180" s="650">
        <f t="shared" si="24"/>
        <v>64450437.469999991</v>
      </c>
      <c r="H180" s="650">
        <f t="shared" si="24"/>
        <v>12497461.65</v>
      </c>
      <c r="I180" s="650">
        <f t="shared" si="24"/>
        <v>6952992.1202784004</v>
      </c>
    </row>
    <row r="181" spans="1:9">
      <c r="A181" s="628"/>
      <c r="B181" s="629" t="s">
        <v>192</v>
      </c>
      <c r="C181" s="635">
        <f>SUM(D181:I181)</f>
        <v>0</v>
      </c>
      <c r="D181" s="635">
        <f t="shared" ref="D181:I181" si="25">ROUND(D41*D84/100,2)</f>
        <v>0</v>
      </c>
      <c r="E181" s="635">
        <f t="shared" si="25"/>
        <v>0</v>
      </c>
      <c r="F181" s="635">
        <f t="shared" si="25"/>
        <v>0</v>
      </c>
      <c r="G181" s="635">
        <f t="shared" si="25"/>
        <v>0</v>
      </c>
      <c r="H181" s="635">
        <f t="shared" si="25"/>
        <v>0</v>
      </c>
      <c r="I181" s="635">
        <f t="shared" si="25"/>
        <v>0</v>
      </c>
    </row>
    <row r="182" spans="1:9">
      <c r="A182" s="628"/>
      <c r="B182" s="629"/>
      <c r="C182" s="669"/>
      <c r="D182" s="669"/>
      <c r="E182" s="669"/>
      <c r="F182" s="669"/>
      <c r="G182" s="669"/>
      <c r="H182" s="669"/>
      <c r="I182" s="669"/>
    </row>
    <row r="183" spans="1:9">
      <c r="A183" s="628"/>
      <c r="B183" s="629" t="str">
        <f>"SUBTOTAL "&amp;UPPER(CHOOSE(Base1_Billing2,$N$9,$N$10))&amp;" REVENUE"</f>
        <v>SUBTOTAL BASE TARIFF REVENUE</v>
      </c>
      <c r="C183" s="650">
        <f>IF(ROUND(SUM(D183:I183),3)&lt;&gt;ROUND(SUM(C180:C181),3),#VALUE!,SUM(D183:I183))</f>
        <v>495640498.04027838</v>
      </c>
      <c r="D183" s="650">
        <f t="shared" ref="D183:I183" si="26">D180+D181</f>
        <v>209372742.59000003</v>
      </c>
      <c r="E183" s="650">
        <f t="shared" si="26"/>
        <v>71518103.079999998</v>
      </c>
      <c r="F183" s="650">
        <f t="shared" si="26"/>
        <v>130848761.13000001</v>
      </c>
      <c r="G183" s="650">
        <f t="shared" si="26"/>
        <v>64450437.469999991</v>
      </c>
      <c r="H183" s="650">
        <f t="shared" si="26"/>
        <v>12497461.65</v>
      </c>
      <c r="I183" s="650">
        <f t="shared" si="26"/>
        <v>6952992.1202784004</v>
      </c>
    </row>
    <row r="184" spans="1:9">
      <c r="A184" s="628"/>
      <c r="B184" s="629"/>
      <c r="C184" s="650"/>
      <c r="D184" s="650"/>
      <c r="E184" s="650"/>
      <c r="F184" s="650"/>
      <c r="G184" s="650"/>
      <c r="H184" s="650"/>
      <c r="I184" s="650"/>
    </row>
    <row r="185" spans="1:9">
      <c r="A185" s="628"/>
      <c r="B185" s="629" t="s">
        <v>193</v>
      </c>
      <c r="C185" s="650"/>
      <c r="D185" s="650"/>
      <c r="E185" s="650"/>
      <c r="F185" s="650"/>
      <c r="G185" s="650"/>
      <c r="H185" s="650"/>
      <c r="I185" s="650"/>
    </row>
    <row r="186" spans="1:9">
      <c r="A186" s="628"/>
      <c r="B186" s="657" t="s">
        <v>194</v>
      </c>
      <c r="C186" s="650"/>
      <c r="D186" s="650"/>
      <c r="E186" s="650"/>
      <c r="F186" s="650"/>
      <c r="G186" s="650"/>
      <c r="H186" s="650"/>
      <c r="I186" s="650"/>
    </row>
    <row r="187" spans="1:9" s="96" customFormat="1">
      <c r="A187" s="628"/>
      <c r="B187" s="663" t="s">
        <v>195</v>
      </c>
      <c r="C187" s="97">
        <f>SUM(D187:I187)</f>
        <v>-42358120</v>
      </c>
      <c r="D187" s="635">
        <f>D134</f>
        <v>-21098568</v>
      </c>
      <c r="E187" s="635">
        <f>E134</f>
        <v>-5656561</v>
      </c>
      <c r="F187" s="635">
        <f>F134</f>
        <v>-15770451</v>
      </c>
      <c r="G187" s="635"/>
      <c r="H187" s="635">
        <f>H134</f>
        <v>167460</v>
      </c>
      <c r="I187" s="97"/>
    </row>
    <row r="188" spans="1:9" s="106" customFormat="1">
      <c r="A188" s="628"/>
      <c r="B188" s="663" t="s">
        <v>197</v>
      </c>
      <c r="C188" s="648"/>
      <c r="D188" s="648">
        <f>D84</f>
        <v>7.9768682914151094</v>
      </c>
      <c r="E188" s="648">
        <f>E84</f>
        <v>10.375127939068888</v>
      </c>
      <c r="F188" s="648">
        <f>F84</f>
        <v>7.0038261219419624</v>
      </c>
      <c r="G188" s="648"/>
      <c r="H188" s="664">
        <f>H84</f>
        <v>7.7352513867859889</v>
      </c>
      <c r="I188" s="648"/>
    </row>
    <row r="189" spans="1:9" s="94" customFormat="1">
      <c r="A189" s="628"/>
      <c r="B189" s="663" t="s">
        <v>198</v>
      </c>
      <c r="C189" s="650">
        <f>SUM(D189:I189)</f>
        <v>-3361461.9399999995</v>
      </c>
      <c r="D189" s="669">
        <f>ROUND(D187*D188/100,2)</f>
        <v>-1683004.98</v>
      </c>
      <c r="E189" s="669">
        <f>ROUND(E187*E188/100,2)</f>
        <v>-586875.43999999994</v>
      </c>
      <c r="F189" s="669">
        <f>ROUND(F187*F188/100,2)</f>
        <v>-1104534.97</v>
      </c>
      <c r="G189" s="669"/>
      <c r="H189" s="669">
        <f>ROUND(H187*H188/100,2)</f>
        <v>12953.45</v>
      </c>
      <c r="I189" s="669"/>
    </row>
    <row r="190" spans="1:9" s="94" customFormat="1">
      <c r="A190" s="628"/>
      <c r="B190" s="663"/>
      <c r="C190" s="650"/>
      <c r="D190" s="650"/>
      <c r="E190" s="650"/>
      <c r="F190" s="650"/>
      <c r="G190" s="650"/>
      <c r="H190" s="650"/>
      <c r="I190" s="650"/>
    </row>
    <row r="191" spans="1:9" s="96" customFormat="1">
      <c r="A191" s="628"/>
      <c r="B191" s="663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28"/>
      <c r="B192" s="663" t="s">
        <v>201</v>
      </c>
      <c r="C192" s="648"/>
      <c r="D192" s="648">
        <f>I235</f>
        <v>9.182053925148109</v>
      </c>
      <c r="E192" s="648">
        <f>I253</f>
        <v>8.298</v>
      </c>
      <c r="F192" s="648">
        <f>I286</f>
        <v>6.34</v>
      </c>
      <c r="G192" s="648"/>
      <c r="H192" s="648"/>
      <c r="I192" s="648"/>
    </row>
    <row r="193" spans="1:15" s="94" customFormat="1">
      <c r="A193" s="628"/>
      <c r="B193" s="663" t="s">
        <v>202</v>
      </c>
      <c r="C193" s="650">
        <f>SUM(D193:I193)</f>
        <v>0</v>
      </c>
      <c r="D193" s="669">
        <f>ROUND(D191*D192/100,2)</f>
        <v>0</v>
      </c>
      <c r="E193" s="669">
        <f>ROUND(E191*E192/100,2)</f>
        <v>0</v>
      </c>
      <c r="F193" s="669">
        <f>ROUND(F191*F192/100,2)</f>
        <v>0</v>
      </c>
      <c r="G193" s="669"/>
      <c r="H193" s="669"/>
      <c r="I193" s="669"/>
    </row>
    <row r="194" spans="1:15" s="94" customFormat="1">
      <c r="A194" s="628"/>
      <c r="B194" s="663"/>
      <c r="C194" s="650"/>
      <c r="D194" s="650"/>
      <c r="E194" s="650"/>
      <c r="F194" s="650"/>
      <c r="G194" s="650"/>
      <c r="H194" s="650"/>
      <c r="I194" s="650"/>
    </row>
    <row r="195" spans="1:15" s="98" customFormat="1">
      <c r="A195" s="628"/>
      <c r="B195" s="663" t="s">
        <v>203</v>
      </c>
      <c r="C195" s="635">
        <f>IF(ROUND(C187+C191,3)&lt;&gt;ROUND(SUM(D195:I195),3),#VALUE!,SUM(D195:I195))</f>
        <v>-42358120</v>
      </c>
      <c r="D195" s="635">
        <f>D187+D191</f>
        <v>-21098568</v>
      </c>
      <c r="E195" s="635">
        <f>E187+E191</f>
        <v>-5656561</v>
      </c>
      <c r="F195" s="635">
        <f>F187+F191</f>
        <v>-15770451</v>
      </c>
      <c r="G195" s="635"/>
      <c r="H195" s="635">
        <f>H187+H191</f>
        <v>167460</v>
      </c>
      <c r="I195" s="635"/>
    </row>
    <row r="196" spans="1:15" s="94" customFormat="1">
      <c r="A196" s="628"/>
      <c r="B196" s="663" t="s">
        <v>204</v>
      </c>
      <c r="C196" s="650">
        <f>IF(ROUND(C189+C193,3)&lt;&gt;ROUND(SUM(D196:I196),3),#VALUE!,SUM(D196:I196))</f>
        <v>-3361461.9399999995</v>
      </c>
      <c r="D196" s="650">
        <f>D189+D193</f>
        <v>-1683004.98</v>
      </c>
      <c r="E196" s="650">
        <f>E189+E193</f>
        <v>-586875.43999999994</v>
      </c>
      <c r="F196" s="650">
        <f>F189+F193</f>
        <v>-1104534.97</v>
      </c>
      <c r="G196" s="650"/>
      <c r="H196" s="650">
        <f>H189+H193</f>
        <v>12953.45</v>
      </c>
      <c r="I196" s="650"/>
    </row>
    <row r="197" spans="1:15">
      <c r="A197" s="628"/>
      <c r="B197" s="657" t="s">
        <v>205</v>
      </c>
      <c r="C197" s="650"/>
      <c r="D197" s="650"/>
      <c r="E197" s="650"/>
      <c r="F197" s="650"/>
      <c r="G197" s="650"/>
      <c r="H197" s="650"/>
      <c r="I197" s="650"/>
    </row>
    <row r="198" spans="1:15" s="96" customFormat="1">
      <c r="A198" s="628"/>
      <c r="B198" s="663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28"/>
      <c r="B199" s="663" t="s">
        <v>201</v>
      </c>
      <c r="C199" s="673" t="s">
        <v>95</v>
      </c>
      <c r="D199" s="648">
        <f>I235</f>
        <v>9.182053925148109</v>
      </c>
      <c r="E199" s="648">
        <f>I253</f>
        <v>8.298</v>
      </c>
      <c r="F199" s="648">
        <f>I286</f>
        <v>6.34</v>
      </c>
      <c r="G199" s="648"/>
      <c r="H199" s="648"/>
      <c r="I199" s="648"/>
    </row>
    <row r="200" spans="1:15" s="94" customFormat="1">
      <c r="A200" s="628"/>
      <c r="B200" s="668" t="s">
        <v>202</v>
      </c>
      <c r="C200" s="650">
        <f>SUM(D200:I200)</f>
        <v>2784938.95</v>
      </c>
      <c r="D200" s="669">
        <f>ROUND(D198*D199/100,2)</f>
        <v>3380379.03</v>
      </c>
      <c r="E200" s="669">
        <f>ROUND(E198*E199/100,2)</f>
        <v>43982.14</v>
      </c>
      <c r="F200" s="669">
        <f>ROUND(F198*F199/100,2)</f>
        <v>-639422.22</v>
      </c>
      <c r="G200" s="669"/>
      <c r="H200" s="669"/>
      <c r="I200" s="669"/>
    </row>
    <row r="201" spans="1:15" s="94" customFormat="1">
      <c r="A201" s="628"/>
      <c r="B201" s="650"/>
      <c r="C201" s="675"/>
      <c r="D201" s="675"/>
      <c r="E201" s="675"/>
      <c r="F201" s="675"/>
      <c r="G201" s="675"/>
      <c r="H201" s="675"/>
      <c r="I201" s="675"/>
    </row>
    <row r="202" spans="1:15">
      <c r="A202" s="628"/>
      <c r="B202" s="629" t="s">
        <v>206</v>
      </c>
      <c r="C202" s="669">
        <f>IF(ROUND(SUM(D202:I202),3)&lt;&gt;ROUND(C196+C200,3),#VALUE!,SUM(D202:I202))</f>
        <v>-576522.99</v>
      </c>
      <c r="D202" s="669">
        <f>D200+D196</f>
        <v>1697374.0499999998</v>
      </c>
      <c r="E202" s="669">
        <f>E200+E196</f>
        <v>-542893.29999999993</v>
      </c>
      <c r="F202" s="669">
        <f>F200+F196</f>
        <v>-1743957.19</v>
      </c>
      <c r="G202" s="669"/>
      <c r="H202" s="669">
        <f>H200+H196</f>
        <v>12953.45</v>
      </c>
      <c r="I202" s="669"/>
    </row>
    <row r="203" spans="1:15">
      <c r="A203" s="628"/>
      <c r="B203" s="629" t="str">
        <f>"TOTAL "&amp;UPPER(CHOOSE(Base1_Billing2,$N$9,$N$10))&amp;" REVENUE"</f>
        <v>TOTAL BASE TARIFF REVENUE</v>
      </c>
      <c r="C203" s="635">
        <f>SUM(D203:I203)</f>
        <v>495640498.04027838</v>
      </c>
      <c r="D203" s="635">
        <f t="shared" ref="D203:I203" si="27">D183</f>
        <v>209372742.59000003</v>
      </c>
      <c r="E203" s="635">
        <f t="shared" si="27"/>
        <v>71518103.079999998</v>
      </c>
      <c r="F203" s="635">
        <f t="shared" si="27"/>
        <v>130848761.13000001</v>
      </c>
      <c r="G203" s="635">
        <f t="shared" si="27"/>
        <v>64450437.469999991</v>
      </c>
      <c r="H203" s="635">
        <f t="shared" si="27"/>
        <v>12497461.65</v>
      </c>
      <c r="I203" s="635">
        <f t="shared" si="27"/>
        <v>6952992.1202784004</v>
      </c>
    </row>
    <row r="204" spans="1:15">
      <c r="A204" s="628"/>
      <c r="B204" s="629" t="s">
        <v>209</v>
      </c>
      <c r="C204" s="669">
        <f>IF(ROUND(SUM(D204:I204),3)&lt;&gt;ROUND(SUM(C202:C203),3),#VALUE!,SUM(D204:I204))</f>
        <v>495063975.05027848</v>
      </c>
      <c r="D204" s="669">
        <f t="shared" ref="D204:I204" si="28">D202+D203</f>
        <v>211070116.64000005</v>
      </c>
      <c r="E204" s="669">
        <f t="shared" si="28"/>
        <v>70975209.780000001</v>
      </c>
      <c r="F204" s="669">
        <f t="shared" si="28"/>
        <v>129104803.94000001</v>
      </c>
      <c r="G204" s="669">
        <f t="shared" si="28"/>
        <v>64450437.469999991</v>
      </c>
      <c r="H204" s="669">
        <f t="shared" si="28"/>
        <v>12510415.1</v>
      </c>
      <c r="I204" s="669">
        <f t="shared" si="28"/>
        <v>6952992.1202784004</v>
      </c>
      <c r="L204" s="94"/>
      <c r="O204" s="94"/>
    </row>
    <row r="205" spans="1:15">
      <c r="A205" s="628"/>
      <c r="B205" s="629" t="s">
        <v>207</v>
      </c>
      <c r="C205" s="650">
        <f>SUM(D205:I205)</f>
        <v>495063975.05027848</v>
      </c>
      <c r="D205" s="650">
        <f t="shared" ref="D205:I205" si="29">D152</f>
        <v>211070116.64000005</v>
      </c>
      <c r="E205" s="650">
        <f t="shared" si="29"/>
        <v>70975209.780000001</v>
      </c>
      <c r="F205" s="650">
        <f t="shared" si="29"/>
        <v>129104803.94000001</v>
      </c>
      <c r="G205" s="650">
        <f t="shared" si="29"/>
        <v>64450437.469999991</v>
      </c>
      <c r="H205" s="650">
        <f t="shared" si="29"/>
        <v>12510415.1</v>
      </c>
      <c r="I205" s="650">
        <f t="shared" si="29"/>
        <v>6952992.1202784004</v>
      </c>
      <c r="L205" s="94"/>
      <c r="O205" s="94"/>
    </row>
    <row r="206" spans="1:15">
      <c r="A206" s="628"/>
      <c r="B206" s="629"/>
      <c r="C206" s="676"/>
      <c r="D206" s="676"/>
      <c r="E206" s="676"/>
      <c r="F206" s="676"/>
      <c r="G206" s="676"/>
      <c r="H206" s="676"/>
      <c r="I206" s="676"/>
    </row>
    <row r="207" spans="1:15" s="99" customFormat="1">
      <c r="A207" s="641"/>
      <c r="B207" s="642" t="s">
        <v>210</v>
      </c>
      <c r="C207" s="677">
        <f>SUM(D207:I207)</f>
        <v>0</v>
      </c>
      <c r="D207" s="677">
        <f t="shared" ref="D207:I207" si="30">D204-D205</f>
        <v>0</v>
      </c>
      <c r="E207" s="677">
        <f t="shared" si="30"/>
        <v>0</v>
      </c>
      <c r="F207" s="677">
        <f t="shared" si="30"/>
        <v>0</v>
      </c>
      <c r="G207" s="677">
        <f t="shared" si="30"/>
        <v>0</v>
      </c>
      <c r="H207" s="677">
        <f t="shared" si="30"/>
        <v>0</v>
      </c>
      <c r="I207" s="677">
        <f t="shared" si="30"/>
        <v>0</v>
      </c>
      <c r="L207" s="109"/>
      <c r="O207" s="109"/>
    </row>
    <row r="208" spans="1:15" s="99" customFormat="1">
      <c r="A208" s="641"/>
      <c r="B208" s="642" t="s">
        <v>211</v>
      </c>
      <c r="C208" s="678">
        <f t="shared" ref="C208:H208" si="31">C207/C205</f>
        <v>0</v>
      </c>
      <c r="D208" s="678">
        <f>D207/D205</f>
        <v>0</v>
      </c>
      <c r="E208" s="678">
        <f t="shared" si="31"/>
        <v>0</v>
      </c>
      <c r="F208" s="678">
        <f t="shared" si="31"/>
        <v>0</v>
      </c>
      <c r="G208" s="678">
        <f t="shared" si="31"/>
        <v>0</v>
      </c>
      <c r="H208" s="678">
        <f t="shared" si="31"/>
        <v>0</v>
      </c>
      <c r="I208" s="678">
        <f>I207/I205</f>
        <v>0</v>
      </c>
      <c r="J208" s="110"/>
      <c r="L208" s="110"/>
      <c r="O208" s="109"/>
    </row>
    <row r="209" spans="1:15" s="88" customFormat="1" ht="12.75">
      <c r="A209" s="628"/>
      <c r="B209" s="679" t="str">
        <f>IF(Base1_Billing2=2,"Pres and Prop Revenues may be incorrect due to Sch 59--for example all of Sch 11 gets benefit of Sch 59 but it s/only be Sch 12; see Billing Rev on Exhibit page for fix","")</f>
        <v/>
      </c>
      <c r="C209" s="680"/>
      <c r="D209" s="681"/>
      <c r="E209" s="681"/>
      <c r="F209" s="681"/>
      <c r="G209" s="681"/>
      <c r="H209" s="681"/>
      <c r="I209" s="681"/>
    </row>
    <row r="210" spans="1:15" s="88" customFormat="1" ht="12.75">
      <c r="A210" s="628"/>
      <c r="B210" s="631"/>
      <c r="C210" s="615" t="str">
        <f>C4</f>
        <v xml:space="preserve"> </v>
      </c>
      <c r="D210" s="615"/>
      <c r="E210" s="674"/>
      <c r="F210" s="680"/>
      <c r="G210" s="680"/>
      <c r="H210" s="680"/>
      <c r="I210" s="680"/>
    </row>
    <row r="211" spans="1:15" s="88" customFormat="1" ht="12.75">
      <c r="A211" s="628"/>
      <c r="B211" s="631"/>
      <c r="C211" s="615"/>
      <c r="D211" s="615"/>
      <c r="E211" s="674"/>
      <c r="F211" s="680"/>
      <c r="G211" s="680"/>
      <c r="H211" s="680"/>
      <c r="I211" s="680"/>
    </row>
    <row r="212" spans="1:15" s="88" customFormat="1" ht="12.75">
      <c r="A212" s="628"/>
      <c r="B212" s="631"/>
      <c r="C212" s="615"/>
      <c r="D212" s="615"/>
      <c r="E212" s="674"/>
      <c r="F212" s="680"/>
      <c r="G212" s="680"/>
      <c r="H212" s="680"/>
      <c r="I212" s="680"/>
    </row>
    <row r="213" spans="1:15" s="88" customFormat="1" ht="12.75">
      <c r="A213" s="628"/>
      <c r="B213" s="631"/>
      <c r="C213" s="615"/>
      <c r="D213" s="615"/>
      <c r="E213" s="674"/>
      <c r="F213" s="680"/>
      <c r="G213" s="680"/>
      <c r="H213" s="680"/>
      <c r="I213" s="680"/>
    </row>
    <row r="214" spans="1:15" s="88" customFormat="1" ht="12.75">
      <c r="A214" s="628"/>
      <c r="B214" s="631"/>
      <c r="C214" s="615"/>
      <c r="D214" s="615"/>
      <c r="E214" s="674"/>
      <c r="F214" s="680"/>
      <c r="G214" s="680"/>
      <c r="H214" s="680"/>
      <c r="I214" s="680"/>
    </row>
    <row r="215" spans="1:15" s="88" customFormat="1">
      <c r="A215" s="628"/>
      <c r="B215" s="631"/>
      <c r="C215" s="680"/>
      <c r="D215" s="680"/>
      <c r="E215" s="680"/>
      <c r="F215" s="680"/>
      <c r="G215" s="680"/>
      <c r="H215" s="680"/>
      <c r="I215" s="680"/>
    </row>
    <row r="216" spans="1:15" s="88" customFormat="1">
      <c r="A216" s="628" t="s">
        <v>146</v>
      </c>
      <c r="B216" s="631"/>
      <c r="C216" s="631" t="s">
        <v>95</v>
      </c>
      <c r="D216" s="631" t="s">
        <v>86</v>
      </c>
      <c r="E216" s="631" t="s">
        <v>86</v>
      </c>
      <c r="F216" s="631" t="s">
        <v>212</v>
      </c>
      <c r="G216" s="631" t="s">
        <v>212</v>
      </c>
      <c r="H216" s="631" t="s">
        <v>213</v>
      </c>
      <c r="I216" s="631" t="s">
        <v>213</v>
      </c>
    </row>
    <row r="217" spans="1:15" s="88" customFormat="1">
      <c r="A217" s="628" t="s">
        <v>147</v>
      </c>
      <c r="B217" s="631"/>
      <c r="C217" s="632" t="s">
        <v>214</v>
      </c>
      <c r="D217" s="632" t="s">
        <v>215</v>
      </c>
      <c r="E217" s="632" t="s">
        <v>216</v>
      </c>
      <c r="F217" s="632" t="s">
        <v>215</v>
      </c>
      <c r="G217" s="632" t="s">
        <v>216</v>
      </c>
      <c r="H217" s="632" t="s">
        <v>215</v>
      </c>
      <c r="I217" s="632" t="s">
        <v>216</v>
      </c>
    </row>
    <row r="218" spans="1:15">
      <c r="A218" s="628"/>
      <c r="B218" s="629"/>
      <c r="C218" s="629"/>
      <c r="D218" s="629"/>
      <c r="E218" s="629"/>
      <c r="F218" s="629"/>
      <c r="G218" s="629"/>
      <c r="H218" s="629"/>
      <c r="I218" s="629"/>
    </row>
    <row r="219" spans="1:15">
      <c r="A219" s="628"/>
      <c r="B219" s="682" t="s">
        <v>217</v>
      </c>
      <c r="C219" s="629"/>
      <c r="D219" s="629"/>
      <c r="E219" s="629"/>
      <c r="F219" s="629"/>
      <c r="G219" s="629"/>
      <c r="H219" s="629"/>
      <c r="I219" s="629"/>
    </row>
    <row r="220" spans="1:15">
      <c r="A220" s="628"/>
      <c r="B220" s="642" t="s">
        <v>101</v>
      </c>
      <c r="C220" s="629"/>
      <c r="D220" s="629"/>
      <c r="E220" s="629"/>
      <c r="F220" s="629"/>
      <c r="G220" s="629"/>
      <c r="H220" s="629"/>
      <c r="I220" s="629"/>
    </row>
    <row r="221" spans="1:15">
      <c r="A221" s="628"/>
      <c r="B221" s="651" t="s">
        <v>218</v>
      </c>
      <c r="C221" s="648">
        <f>D62</f>
        <v>7.39</v>
      </c>
      <c r="D221" s="635">
        <f>D8</f>
        <v>1568799173.4194205</v>
      </c>
      <c r="E221" s="650">
        <f>C221*D221/100</f>
        <v>115934258.91569518</v>
      </c>
      <c r="F221" s="635">
        <f>MIN(D221,F225)</f>
        <v>1568799173.4194205</v>
      </c>
      <c r="G221" s="650">
        <f>F221*C221/100</f>
        <v>115934258.91569518</v>
      </c>
      <c r="H221" s="635">
        <f>D221-F221</f>
        <v>0</v>
      </c>
      <c r="I221" s="650">
        <f>H221*C221/100</f>
        <v>0</v>
      </c>
    </row>
    <row r="222" spans="1:15">
      <c r="A222" s="628"/>
      <c r="B222" s="651" t="s">
        <v>219</v>
      </c>
      <c r="C222" s="648">
        <f>D63</f>
        <v>8.5980000000000008</v>
      </c>
      <c r="D222" s="635">
        <f>D9</f>
        <v>501965104.29546225</v>
      </c>
      <c r="E222" s="650">
        <f>C222*D222/100</f>
        <v>43158959.66732385</v>
      </c>
      <c r="F222" s="635">
        <f>MIN(F225-F221,D222)</f>
        <v>56851221.580579519</v>
      </c>
      <c r="G222" s="650">
        <f>F222*C222/100</f>
        <v>4888068.0314982273</v>
      </c>
      <c r="H222" s="635">
        <f>D222-F222</f>
        <v>445113882.71488273</v>
      </c>
      <c r="I222" s="650">
        <f>H222*C222/100</f>
        <v>38270891.635825619</v>
      </c>
      <c r="L222" s="658">
        <f>H222/$H$225</f>
        <v>0.6059015349877801</v>
      </c>
      <c r="M222" s="629"/>
      <c r="N222" s="683">
        <f>L222*$D$145</f>
        <v>22306303.788273364</v>
      </c>
      <c r="O222" s="659">
        <f>N222*(D63/100)</f>
        <v>1917895.9997157438</v>
      </c>
    </row>
    <row r="223" spans="1:15">
      <c r="A223" s="628"/>
      <c r="B223" s="651" t="s">
        <v>220</v>
      </c>
      <c r="C223" s="648">
        <f>D64</f>
        <v>10.08</v>
      </c>
      <c r="D223" s="635">
        <f>D10</f>
        <v>289516840.28511739</v>
      </c>
      <c r="E223" s="650">
        <f>C223*D223/100</f>
        <v>29183297.500739831</v>
      </c>
      <c r="F223" s="635">
        <f>MIN(F225-F221-F222,D223)</f>
        <v>0</v>
      </c>
      <c r="G223" s="650">
        <f>F223*C223/100</f>
        <v>0</v>
      </c>
      <c r="H223" s="635">
        <f>D223-F223</f>
        <v>289516840.28511739</v>
      </c>
      <c r="I223" s="650">
        <f>H223*C223/100</f>
        <v>29183297.500739831</v>
      </c>
      <c r="L223" s="658">
        <f>H223/$H$225</f>
        <v>0.39409846501221996</v>
      </c>
      <c r="M223" s="629"/>
      <c r="N223" s="683">
        <f>L223*$D$145</f>
        <v>14508760.211726638</v>
      </c>
      <c r="O223" s="659">
        <f>N223*(D64/100)</f>
        <v>1462483.0293420451</v>
      </c>
    </row>
    <row r="224" spans="1:15">
      <c r="A224" s="628"/>
      <c r="B224" s="629"/>
      <c r="C224" s="629"/>
      <c r="D224" s="638"/>
      <c r="E224" s="684"/>
      <c r="F224" s="638"/>
      <c r="G224" s="684"/>
      <c r="H224" s="638"/>
      <c r="I224" s="684"/>
      <c r="L224" s="629"/>
      <c r="M224" s="629"/>
      <c r="N224" s="683">
        <f>SUM(N222:N223)</f>
        <v>36815064</v>
      </c>
      <c r="O224" s="659">
        <f>SUM(O222:O223)</f>
        <v>3380379.0290577887</v>
      </c>
    </row>
    <row r="225" spans="1:9">
      <c r="A225" s="628"/>
      <c r="B225" s="629" t="s">
        <v>86</v>
      </c>
      <c r="C225" s="629"/>
      <c r="D225" s="635">
        <f t="shared" ref="D225:I225" si="32">D221+D222+D223</f>
        <v>2360281118</v>
      </c>
      <c r="E225" s="650">
        <f t="shared" si="32"/>
        <v>188276516.08375886</v>
      </c>
      <c r="F225" s="653">
        <f>655*D25</f>
        <v>1625650395</v>
      </c>
      <c r="G225" s="650">
        <f t="shared" si="32"/>
        <v>120822326.9471934</v>
      </c>
      <c r="H225" s="635">
        <f t="shared" si="32"/>
        <v>734630723.00000012</v>
      </c>
      <c r="I225" s="650">
        <f t="shared" si="32"/>
        <v>67454189.136565447</v>
      </c>
    </row>
    <row r="226" spans="1:9">
      <c r="A226" s="628"/>
      <c r="B226" s="629" t="s">
        <v>221</v>
      </c>
      <c r="C226" s="629"/>
      <c r="D226" s="635"/>
      <c r="E226" s="648">
        <f>E225/D225*100</f>
        <v>7.9768682911506836</v>
      </c>
      <c r="F226" s="648"/>
      <c r="G226" s="648">
        <f>G225/F225*100</f>
        <v>7.4322454150539174</v>
      </c>
      <c r="H226" s="635"/>
      <c r="I226" s="648">
        <f>I225/H225*100</f>
        <v>9.182053925148109</v>
      </c>
    </row>
    <row r="227" spans="1:9">
      <c r="A227" s="628"/>
      <c r="B227" s="629"/>
      <c r="C227" s="629"/>
      <c r="D227" s="635"/>
      <c r="E227" s="629"/>
      <c r="F227" s="635"/>
      <c r="G227" s="629"/>
      <c r="H227" s="635"/>
      <c r="I227" s="629"/>
    </row>
    <row r="228" spans="1:9" ht="10.15" hidden="1" customHeight="1">
      <c r="A228" s="628"/>
      <c r="B228" s="682" t="s">
        <v>222</v>
      </c>
      <c r="C228" s="629"/>
      <c r="D228" s="635"/>
      <c r="E228" s="629"/>
      <c r="F228" s="635"/>
      <c r="G228" s="629"/>
      <c r="H228" s="635"/>
      <c r="I228" s="629"/>
    </row>
    <row r="229" spans="1:9" ht="10.15" hidden="1" customHeight="1">
      <c r="A229" s="628"/>
      <c r="B229" s="642" t="s">
        <v>101</v>
      </c>
      <c r="C229" s="629"/>
      <c r="D229" s="635"/>
      <c r="E229" s="629"/>
      <c r="F229" s="635"/>
      <c r="G229" s="629"/>
      <c r="H229" s="635"/>
      <c r="I229" s="629"/>
    </row>
    <row r="230" spans="1:9" ht="10.15" hidden="1" customHeight="1">
      <c r="A230" s="628"/>
      <c r="B230" s="651" t="s">
        <v>218</v>
      </c>
      <c r="C230" s="648">
        <f>D79</f>
        <v>7.39</v>
      </c>
      <c r="D230" s="635">
        <f>D221</f>
        <v>1568799173.4194205</v>
      </c>
      <c r="E230" s="650">
        <f>C230*D230/100</f>
        <v>115934258.91569518</v>
      </c>
      <c r="F230" s="635">
        <f>MIN(D230,F234)</f>
        <v>1568799173.4194205</v>
      </c>
      <c r="G230" s="650">
        <f>F230*C230/100</f>
        <v>115934258.91569518</v>
      </c>
      <c r="H230" s="635">
        <f>H221</f>
        <v>0</v>
      </c>
      <c r="I230" s="650">
        <f>H230*C230/100</f>
        <v>0</v>
      </c>
    </row>
    <row r="231" spans="1:9" ht="10.15" hidden="1" customHeight="1">
      <c r="A231" s="628"/>
      <c r="B231" s="651" t="s">
        <v>219</v>
      </c>
      <c r="C231" s="648">
        <f>D80</f>
        <v>8.5980000000000008</v>
      </c>
      <c r="D231" s="635">
        <f>D222</f>
        <v>501965104.29546225</v>
      </c>
      <c r="E231" s="650">
        <f>C231*D231/100</f>
        <v>43158959.66732385</v>
      </c>
      <c r="F231" s="635">
        <f>MIN(F234-F230,D231)</f>
        <v>56851221.580579519</v>
      </c>
      <c r="G231" s="650">
        <f>F231*C231/100</f>
        <v>4888068.0314982273</v>
      </c>
      <c r="H231" s="635">
        <f>H222</f>
        <v>445113882.71488273</v>
      </c>
      <c r="I231" s="650">
        <f>H231*C231/100</f>
        <v>38270891.635825619</v>
      </c>
    </row>
    <row r="232" spans="1:9" ht="10.15" hidden="1" customHeight="1">
      <c r="A232" s="628"/>
      <c r="B232" s="651" t="s">
        <v>220</v>
      </c>
      <c r="C232" s="648">
        <f>D81</f>
        <v>10.08</v>
      </c>
      <c r="D232" s="635">
        <f>D223</f>
        <v>289516840.28511739</v>
      </c>
      <c r="E232" s="650">
        <f>C232*D232/100</f>
        <v>29183297.500739831</v>
      </c>
      <c r="F232" s="635">
        <f>MIN(F234-F230-F231,D232)</f>
        <v>0</v>
      </c>
      <c r="G232" s="650">
        <f>F232*C232/100</f>
        <v>0</v>
      </c>
      <c r="H232" s="635">
        <f>H223</f>
        <v>289516840.28511739</v>
      </c>
      <c r="I232" s="650">
        <f>H232*C232/100</f>
        <v>29183297.500739831</v>
      </c>
    </row>
    <row r="233" spans="1:9" ht="10.15" hidden="1" customHeight="1">
      <c r="A233" s="628"/>
      <c r="B233" s="629"/>
      <c r="C233" s="629"/>
      <c r="D233" s="638"/>
      <c r="E233" s="684"/>
      <c r="F233" s="638"/>
      <c r="G233" s="684"/>
      <c r="H233" s="638"/>
      <c r="I233" s="684"/>
    </row>
    <row r="234" spans="1:9" ht="10.15" hidden="1" customHeight="1">
      <c r="A234" s="628"/>
      <c r="B234" s="629" t="s">
        <v>86</v>
      </c>
      <c r="C234" s="629"/>
      <c r="D234" s="635">
        <f t="shared" ref="D234:I234" si="33">D230+D231+D232</f>
        <v>2360281118</v>
      </c>
      <c r="E234" s="650">
        <f t="shared" si="33"/>
        <v>188276516.08375886</v>
      </c>
      <c r="F234" s="635">
        <f>F225</f>
        <v>1625650395</v>
      </c>
      <c r="G234" s="650">
        <f t="shared" si="33"/>
        <v>120822326.9471934</v>
      </c>
      <c r="H234" s="635">
        <f t="shared" si="33"/>
        <v>734630723.00000012</v>
      </c>
      <c r="I234" s="650">
        <f t="shared" si="33"/>
        <v>67454189.136565447</v>
      </c>
    </row>
    <row r="235" spans="1:9" ht="10.15" hidden="1" customHeight="1">
      <c r="A235" s="628"/>
      <c r="B235" s="629" t="s">
        <v>221</v>
      </c>
      <c r="C235" s="629"/>
      <c r="D235" s="635"/>
      <c r="E235" s="648">
        <f>E234/D234*100</f>
        <v>7.9768682911506836</v>
      </c>
      <c r="F235" s="648"/>
      <c r="G235" s="648">
        <f>G234/F234*100</f>
        <v>7.4322454150539174</v>
      </c>
      <c r="H235" s="635"/>
      <c r="I235" s="648">
        <f>I234/H234*100</f>
        <v>9.182053925148109</v>
      </c>
    </row>
    <row r="236" spans="1:9" ht="10.15" hidden="1" customHeight="1">
      <c r="A236" s="628"/>
      <c r="B236" s="629"/>
      <c r="C236" s="629"/>
      <c r="D236" s="635"/>
      <c r="E236" s="629"/>
      <c r="F236" s="635"/>
      <c r="G236" s="648"/>
      <c r="H236" s="635"/>
      <c r="I236" s="648"/>
    </row>
    <row r="237" spans="1:9" ht="10.15" hidden="1" customHeight="1">
      <c r="A237" s="628"/>
      <c r="B237" s="629"/>
      <c r="C237" s="629"/>
      <c r="D237" s="635"/>
      <c r="E237" s="629"/>
      <c r="F237" s="635"/>
      <c r="G237" s="629"/>
      <c r="H237" s="635"/>
      <c r="I237" s="629"/>
    </row>
    <row r="238" spans="1:9">
      <c r="A238" s="628"/>
      <c r="B238" s="629"/>
      <c r="C238" s="629"/>
      <c r="D238" s="635"/>
      <c r="E238" s="629"/>
      <c r="F238" s="635"/>
      <c r="G238" s="629"/>
      <c r="H238" s="635"/>
      <c r="I238" s="629"/>
    </row>
    <row r="239" spans="1:9">
      <c r="A239" s="628"/>
      <c r="B239" s="682" t="s">
        <v>217</v>
      </c>
      <c r="C239" s="629"/>
      <c r="D239" s="635"/>
      <c r="E239" s="629"/>
      <c r="F239" s="635"/>
      <c r="G239" s="629"/>
      <c r="H239" s="635"/>
      <c r="I239" s="629"/>
    </row>
    <row r="240" spans="1:9">
      <c r="A240" s="628"/>
      <c r="B240" s="642" t="s">
        <v>223</v>
      </c>
      <c r="C240" s="629"/>
      <c r="D240" s="635"/>
      <c r="E240" s="629"/>
      <c r="F240" s="635"/>
      <c r="G240" s="629"/>
      <c r="H240" s="635"/>
      <c r="I240" s="629"/>
    </row>
    <row r="241" spans="1:9">
      <c r="A241" s="628"/>
      <c r="B241" s="651" t="s">
        <v>224</v>
      </c>
      <c r="C241" s="648">
        <f>E62</f>
        <v>11.292999999999999</v>
      </c>
      <c r="D241" s="635">
        <f>E8</f>
        <v>417235444.63635033</v>
      </c>
      <c r="E241" s="650">
        <f>C241*D241/100</f>
        <v>47118398.762783043</v>
      </c>
      <c r="F241" s="635">
        <f>MIN(D241,F244)</f>
        <v>417235444.63635033</v>
      </c>
      <c r="G241" s="650">
        <f>F241*C241/100</f>
        <v>47118398.762783043</v>
      </c>
      <c r="H241" s="635">
        <f>D241-F241</f>
        <v>0</v>
      </c>
      <c r="I241" s="650">
        <f>H241*C241/100</f>
        <v>0</v>
      </c>
    </row>
    <row r="242" spans="1:9">
      <c r="A242" s="628"/>
      <c r="B242" s="651" t="s">
        <v>225</v>
      </c>
      <c r="C242" s="648">
        <f>E63</f>
        <v>8.298</v>
      </c>
      <c r="D242" s="635">
        <f>E9</f>
        <v>184374178.3636497</v>
      </c>
      <c r="E242" s="650">
        <f>C242*D242/100</f>
        <v>15299369.320615651</v>
      </c>
      <c r="F242" s="635">
        <f>MIN(F244-F241,D242)</f>
        <v>76818379.363649666</v>
      </c>
      <c r="G242" s="650">
        <f>F242*C242/100</f>
        <v>6374389.1195956497</v>
      </c>
      <c r="H242" s="635">
        <f>D242-F242</f>
        <v>107555799.00000003</v>
      </c>
      <c r="I242" s="650">
        <f>H242*C242/100</f>
        <v>8924980.2010200024</v>
      </c>
    </row>
    <row r="243" spans="1:9">
      <c r="A243" s="628"/>
      <c r="B243" s="629"/>
      <c r="C243" s="629"/>
      <c r="D243" s="638"/>
      <c r="E243" s="684"/>
      <c r="F243" s="638"/>
      <c r="G243" s="684"/>
      <c r="H243" s="638"/>
      <c r="I243" s="684"/>
    </row>
    <row r="244" spans="1:9">
      <c r="A244" s="628"/>
      <c r="B244" s="629" t="s">
        <v>86</v>
      </c>
      <c r="C244" s="629"/>
      <c r="D244" s="635">
        <f t="shared" ref="D244:I244" si="34">D241+D242</f>
        <v>601609623</v>
      </c>
      <c r="E244" s="650">
        <f t="shared" si="34"/>
        <v>62417768.083398692</v>
      </c>
      <c r="F244" s="653">
        <f>1338*E25</f>
        <v>494053824</v>
      </c>
      <c r="G244" s="650">
        <f t="shared" si="34"/>
        <v>53492787.88237869</v>
      </c>
      <c r="H244" s="635">
        <f t="shared" si="34"/>
        <v>107555799.00000003</v>
      </c>
      <c r="I244" s="650">
        <f t="shared" si="34"/>
        <v>8924980.2010200024</v>
      </c>
    </row>
    <row r="245" spans="1:9">
      <c r="A245" s="628"/>
      <c r="B245" s="629" t="s">
        <v>221</v>
      </c>
      <c r="C245" s="629"/>
      <c r="D245" s="635"/>
      <c r="E245" s="648">
        <f>E244/D244*100</f>
        <v>10.375127939633821</v>
      </c>
      <c r="F245" s="648"/>
      <c r="G245" s="648">
        <f>G244/F244*100</f>
        <v>10.827319875653608</v>
      </c>
      <c r="H245" s="635"/>
      <c r="I245" s="648">
        <f>I244/H244*100</f>
        <v>8.298</v>
      </c>
    </row>
    <row r="246" spans="1:9">
      <c r="A246" s="628"/>
      <c r="B246" s="629"/>
      <c r="C246" s="629"/>
      <c r="D246" s="635"/>
      <c r="E246" s="629"/>
      <c r="F246" s="635"/>
      <c r="G246" s="648"/>
      <c r="H246" s="635"/>
      <c r="I246" s="648"/>
    </row>
    <row r="247" spans="1:9" ht="10.15" hidden="1" customHeight="1">
      <c r="A247" s="628"/>
      <c r="B247" s="682" t="s">
        <v>222</v>
      </c>
      <c r="C247" s="629"/>
      <c r="D247" s="635"/>
      <c r="E247" s="629"/>
      <c r="F247" s="635"/>
      <c r="G247" s="629"/>
      <c r="H247" s="635"/>
      <c r="I247" s="629"/>
    </row>
    <row r="248" spans="1:9" ht="10.15" hidden="1" customHeight="1">
      <c r="A248" s="628"/>
      <c r="B248" s="642" t="s">
        <v>223</v>
      </c>
      <c r="C248" s="629"/>
      <c r="D248" s="635"/>
      <c r="E248" s="629"/>
      <c r="F248" s="635"/>
      <c r="G248" s="629"/>
      <c r="H248" s="635"/>
      <c r="I248" s="629"/>
    </row>
    <row r="249" spans="1:9" ht="10.15" hidden="1" customHeight="1">
      <c r="A249" s="628"/>
      <c r="B249" s="651" t="s">
        <v>224</v>
      </c>
      <c r="C249" s="648">
        <f>E79</f>
        <v>11.292999999999999</v>
      </c>
      <c r="D249" s="635">
        <f>E31</f>
        <v>417235444.63635033</v>
      </c>
      <c r="E249" s="650">
        <f>C249*D249/100</f>
        <v>47118398.762783043</v>
      </c>
      <c r="F249" s="635">
        <f>MIN(D249,F252)</f>
        <v>417235444.63635033</v>
      </c>
      <c r="G249" s="650">
        <f>F249*C249/100</f>
        <v>47118398.762783043</v>
      </c>
      <c r="H249" s="635">
        <f>D249-F249</f>
        <v>0</v>
      </c>
      <c r="I249" s="650">
        <f>H249*C249/100</f>
        <v>0</v>
      </c>
    </row>
    <row r="250" spans="1:9" ht="10.15" hidden="1" customHeight="1">
      <c r="A250" s="628"/>
      <c r="B250" s="651" t="s">
        <v>225</v>
      </c>
      <c r="C250" s="648">
        <f>E80</f>
        <v>8.298</v>
      </c>
      <c r="D250" s="635">
        <f>E32</f>
        <v>184374178.3636497</v>
      </c>
      <c r="E250" s="650">
        <f>C250*D250/100</f>
        <v>15299369.320615651</v>
      </c>
      <c r="F250" s="635">
        <f>MIN(F252-F249,D250)</f>
        <v>76818379.363649666</v>
      </c>
      <c r="G250" s="650">
        <f>F250*C250/100</f>
        <v>6374389.1195956497</v>
      </c>
      <c r="H250" s="635">
        <f>D250-F250</f>
        <v>107555799.00000003</v>
      </c>
      <c r="I250" s="650">
        <f>H250*C250/100</f>
        <v>8924980.2010200024</v>
      </c>
    </row>
    <row r="251" spans="1:9" ht="10.15" hidden="1" customHeight="1">
      <c r="A251" s="628"/>
      <c r="B251" s="629"/>
      <c r="C251" s="629"/>
      <c r="D251" s="638"/>
      <c r="E251" s="684"/>
      <c r="F251" s="638"/>
      <c r="G251" s="684"/>
      <c r="H251" s="638"/>
      <c r="I251" s="684"/>
    </row>
    <row r="252" spans="1:9" ht="10.15" hidden="1" customHeight="1">
      <c r="A252" s="628"/>
      <c r="B252" s="629" t="s">
        <v>86</v>
      </c>
      <c r="C252" s="629"/>
      <c r="D252" s="635">
        <f t="shared" ref="D252:I252" si="35">D249+D250</f>
        <v>601609623</v>
      </c>
      <c r="E252" s="650">
        <f t="shared" si="35"/>
        <v>62417768.083398692</v>
      </c>
      <c r="F252" s="635">
        <f>F244</f>
        <v>494053824</v>
      </c>
      <c r="G252" s="650">
        <f t="shared" si="35"/>
        <v>53492787.88237869</v>
      </c>
      <c r="H252" s="635">
        <f t="shared" si="35"/>
        <v>107555799.00000003</v>
      </c>
      <c r="I252" s="650">
        <f t="shared" si="35"/>
        <v>8924980.2010200024</v>
      </c>
    </row>
    <row r="253" spans="1:9" ht="10.15" hidden="1" customHeight="1">
      <c r="A253" s="628"/>
      <c r="B253" s="629" t="s">
        <v>221</v>
      </c>
      <c r="C253" s="629"/>
      <c r="D253" s="629"/>
      <c r="E253" s="648">
        <f>E252/D252*100</f>
        <v>10.375127939633821</v>
      </c>
      <c r="F253" s="648"/>
      <c r="G253" s="648">
        <f>G252/F252*100</f>
        <v>10.827319875653608</v>
      </c>
      <c r="H253" s="629"/>
      <c r="I253" s="648">
        <f>I252/H252*100</f>
        <v>8.298</v>
      </c>
    </row>
    <row r="254" spans="1:9" ht="10.15" hidden="1" customHeight="1">
      <c r="A254" s="628"/>
      <c r="B254" s="629"/>
      <c r="C254" s="629"/>
      <c r="D254" s="629"/>
      <c r="E254" s="629"/>
      <c r="F254" s="629"/>
      <c r="G254" s="629"/>
      <c r="H254" s="629"/>
      <c r="I254" s="629"/>
    </row>
    <row r="255" spans="1:9" ht="10.15" hidden="1" customHeight="1">
      <c r="A255" s="628"/>
      <c r="B255" s="629"/>
      <c r="C255" s="629"/>
      <c r="D255" s="629"/>
      <c r="E255" s="629"/>
      <c r="F255" s="629"/>
      <c r="G255" s="629"/>
      <c r="H255" s="629"/>
      <c r="I255" s="629"/>
    </row>
    <row r="256" spans="1:9" ht="10.15" hidden="1" customHeight="1">
      <c r="A256" s="628"/>
      <c r="B256" s="629"/>
      <c r="C256" s="629"/>
      <c r="D256" s="629"/>
      <c r="E256" s="629"/>
      <c r="F256" s="629"/>
      <c r="G256" s="629"/>
      <c r="H256" s="629"/>
      <c r="I256" s="629"/>
    </row>
    <row r="257" spans="1:9" ht="10.15" hidden="1" customHeight="1">
      <c r="A257" s="628"/>
      <c r="B257" s="629"/>
      <c r="C257" s="629"/>
      <c r="D257" s="629"/>
      <c r="E257" s="629"/>
      <c r="F257" s="629"/>
      <c r="G257" s="629"/>
      <c r="H257" s="629"/>
      <c r="I257" s="629"/>
    </row>
    <row r="258" spans="1:9" ht="10.15" hidden="1" customHeight="1">
      <c r="A258" s="628"/>
      <c r="B258" s="629"/>
      <c r="C258" s="629"/>
      <c r="D258" s="629"/>
      <c r="E258" s="629"/>
      <c r="F258" s="629"/>
      <c r="G258" s="629"/>
      <c r="H258" s="629"/>
      <c r="I258" s="629"/>
    </row>
    <row r="259" spans="1:9">
      <c r="A259" s="628"/>
      <c r="B259" s="629"/>
      <c r="C259" s="629"/>
      <c r="D259" s="629"/>
      <c r="E259" s="629"/>
      <c r="F259" s="629"/>
      <c r="G259" s="629"/>
      <c r="H259" s="629"/>
      <c r="I259" s="629"/>
    </row>
    <row r="260" spans="1:9">
      <c r="A260" s="628"/>
      <c r="B260" s="629"/>
      <c r="C260" s="629"/>
      <c r="D260" s="629"/>
      <c r="E260" s="629"/>
      <c r="F260" s="629"/>
      <c r="G260" s="629"/>
      <c r="H260" s="629"/>
      <c r="I260" s="629"/>
    </row>
    <row r="261" spans="1:9">
      <c r="A261" s="628"/>
      <c r="B261" s="685" t="s">
        <v>601</v>
      </c>
      <c r="C261" s="685"/>
      <c r="D261" s="685"/>
      <c r="E261" s="685"/>
      <c r="F261" s="685"/>
      <c r="G261" s="629"/>
      <c r="H261" s="629"/>
      <c r="I261" s="629"/>
    </row>
    <row r="262" spans="1:9">
      <c r="A262" s="628"/>
      <c r="B262" s="685" t="str">
        <f>"663 X "&amp;TEXT(D25,"#,##0")&amp;" = "&amp;TEXT(F225,"#,##0")</f>
        <v>663 X 2,481,909 = 1,625,650,395</v>
      </c>
      <c r="C262" s="629"/>
      <c r="D262" s="629"/>
      <c r="E262" s="629"/>
      <c r="F262" s="629"/>
      <c r="G262" s="629"/>
      <c r="H262" s="629"/>
      <c r="I262" s="629"/>
    </row>
    <row r="263" spans="1:9">
      <c r="A263" s="628"/>
      <c r="B263" s="685" t="str">
        <f>"Total Base Load for Sch. 11 = 1,338 X "&amp;TEXT(E25,"#,##0")&amp;" = "&amp;TEXT(F244,"#,##0")</f>
        <v>Total Base Load for Sch. 11 = 1,338 X 369,248 = 494,053,824</v>
      </c>
      <c r="C263" s="629"/>
      <c r="D263" s="629"/>
      <c r="E263" s="629"/>
      <c r="F263" s="629"/>
      <c r="G263" s="629"/>
      <c r="H263" s="629"/>
      <c r="I263" s="629"/>
    </row>
    <row r="264" spans="1:9" s="88" customFormat="1" ht="12.75">
      <c r="A264" s="628"/>
      <c r="B264" s="679" t="str">
        <f>IF(Base1_Billing2=2,"Pres and Prop Revenues may be incorrect due to Sch 59--for example all of Sch 11 gets benefit of Sch 59 but it s/only be Sch 12; see Billing Rev on Exhibit page for fix","")</f>
        <v/>
      </c>
      <c r="C264" s="680"/>
      <c r="D264" s="615"/>
      <c r="E264" s="615"/>
      <c r="F264" s="615"/>
      <c r="G264" s="615"/>
      <c r="H264" s="615"/>
      <c r="I264" s="615"/>
    </row>
    <row r="265" spans="1:9" s="88" customFormat="1" ht="12.75">
      <c r="A265" s="628"/>
      <c r="B265" s="631"/>
      <c r="C265" s="615"/>
      <c r="D265" s="615"/>
      <c r="E265" s="674"/>
      <c r="F265" s="680"/>
      <c r="G265" s="680"/>
      <c r="H265" s="680"/>
      <c r="I265" s="680"/>
    </row>
    <row r="266" spans="1:9" s="88" customFormat="1" ht="12.75">
      <c r="A266" s="628"/>
      <c r="B266" s="631"/>
      <c r="C266" s="615"/>
      <c r="D266" s="615"/>
      <c r="E266" s="674"/>
      <c r="F266" s="680"/>
      <c r="G266" s="680"/>
      <c r="H266" s="680"/>
      <c r="I266" s="680"/>
    </row>
    <row r="267" spans="1:9" s="88" customFormat="1" ht="12.75">
      <c r="A267" s="628"/>
      <c r="B267" s="631"/>
      <c r="C267" s="615"/>
      <c r="D267" s="615"/>
      <c r="E267" s="674"/>
      <c r="F267" s="680"/>
      <c r="G267" s="680"/>
      <c r="H267" s="680"/>
      <c r="I267" s="680"/>
    </row>
    <row r="268" spans="1:9" s="88" customFormat="1">
      <c r="A268" s="628"/>
      <c r="B268" s="631"/>
      <c r="C268" s="680"/>
      <c r="D268" s="680"/>
      <c r="E268" s="680"/>
      <c r="F268" s="680"/>
      <c r="G268" s="680"/>
      <c r="H268" s="680"/>
      <c r="I268" s="680"/>
    </row>
    <row r="269" spans="1:9" s="88" customFormat="1">
      <c r="A269" s="628" t="s">
        <v>146</v>
      </c>
      <c r="B269" s="631"/>
      <c r="C269" s="631" t="s">
        <v>95</v>
      </c>
      <c r="D269" s="631" t="s">
        <v>86</v>
      </c>
      <c r="E269" s="631" t="s">
        <v>86</v>
      </c>
      <c r="F269" s="631" t="s">
        <v>212</v>
      </c>
      <c r="G269" s="631" t="s">
        <v>212</v>
      </c>
      <c r="H269" s="631" t="s">
        <v>213</v>
      </c>
      <c r="I269" s="631" t="s">
        <v>213</v>
      </c>
    </row>
    <row r="270" spans="1:9" s="88" customFormat="1">
      <c r="A270" s="628" t="s">
        <v>147</v>
      </c>
      <c r="B270" s="631"/>
      <c r="C270" s="632" t="s">
        <v>214</v>
      </c>
      <c r="D270" s="632" t="s">
        <v>215</v>
      </c>
      <c r="E270" s="632" t="s">
        <v>216</v>
      </c>
      <c r="F270" s="632" t="s">
        <v>215</v>
      </c>
      <c r="G270" s="632" t="s">
        <v>216</v>
      </c>
      <c r="H270" s="632" t="s">
        <v>215</v>
      </c>
      <c r="I270" s="632" t="s">
        <v>216</v>
      </c>
    </row>
    <row r="271" spans="1:9">
      <c r="A271" s="628"/>
      <c r="B271" s="629"/>
      <c r="C271" s="629"/>
      <c r="D271" s="629"/>
      <c r="E271" s="629"/>
      <c r="F271" s="629"/>
      <c r="G271" s="629"/>
      <c r="H271" s="629"/>
      <c r="I271" s="629"/>
    </row>
    <row r="272" spans="1:9">
      <c r="A272" s="628"/>
      <c r="B272" s="682" t="s">
        <v>217</v>
      </c>
      <c r="C272" s="629"/>
      <c r="D272" s="629"/>
      <c r="E272" s="629"/>
      <c r="F272" s="629"/>
      <c r="G272" s="629"/>
      <c r="H272" s="629"/>
      <c r="I272" s="629"/>
    </row>
    <row r="273" spans="1:9">
      <c r="A273" s="628"/>
      <c r="B273" s="642" t="s">
        <v>226</v>
      </c>
      <c r="C273" s="629"/>
      <c r="D273" s="629"/>
      <c r="E273" s="629"/>
      <c r="F273" s="629"/>
      <c r="G273" s="629"/>
      <c r="H273" s="629"/>
      <c r="I273" s="629"/>
    </row>
    <row r="274" spans="1:9">
      <c r="A274" s="628"/>
      <c r="B274" s="651" t="s">
        <v>227</v>
      </c>
      <c r="C274" s="648">
        <f>F62</f>
        <v>7.0890000000000004</v>
      </c>
      <c r="D274" s="635">
        <f>F8</f>
        <v>1286691866.9453735</v>
      </c>
      <c r="E274" s="650">
        <f>C274*D274/100</f>
        <v>91213586.447757527</v>
      </c>
      <c r="F274" s="635">
        <f>MIN(D274,F277)</f>
        <v>1286691866.9453735</v>
      </c>
      <c r="G274" s="650">
        <f>F274*C274/100</f>
        <v>91213586.447757527</v>
      </c>
      <c r="H274" s="635">
        <f>D274-F274</f>
        <v>0</v>
      </c>
      <c r="I274" s="650">
        <f>H274*C274/100</f>
        <v>0</v>
      </c>
    </row>
    <row r="275" spans="1:9">
      <c r="A275" s="628"/>
      <c r="B275" s="651" t="s">
        <v>228</v>
      </c>
      <c r="C275" s="648">
        <f>F63</f>
        <v>6.34</v>
      </c>
      <c r="D275" s="635">
        <f>F9</f>
        <v>165092233.05462646</v>
      </c>
      <c r="E275" s="650">
        <f>C275*D275/100</f>
        <v>10466847.575663317</v>
      </c>
      <c r="F275" s="635">
        <f>MIN(F277-F274,D275)</f>
        <v>57599781.054626465</v>
      </c>
      <c r="G275" s="650">
        <f>F275*C275/100</f>
        <v>3651826.1188633181</v>
      </c>
      <c r="H275" s="635">
        <f>D275-F275</f>
        <v>107492452</v>
      </c>
      <c r="I275" s="650">
        <f>H275*C275/100</f>
        <v>6815021.4567999998</v>
      </c>
    </row>
    <row r="276" spans="1:9">
      <c r="A276" s="628"/>
      <c r="B276" s="629"/>
      <c r="C276" s="629"/>
      <c r="D276" s="638"/>
      <c r="E276" s="684"/>
      <c r="F276" s="638"/>
      <c r="G276" s="684"/>
      <c r="H276" s="638"/>
      <c r="I276" s="684"/>
    </row>
    <row r="277" spans="1:9">
      <c r="A277" s="628"/>
      <c r="B277" s="629" t="s">
        <v>86</v>
      </c>
      <c r="C277" s="629"/>
      <c r="D277" s="635">
        <f>D274+D275</f>
        <v>1451784100</v>
      </c>
      <c r="E277" s="635">
        <f>E274+E275</f>
        <v>101680434.02342084</v>
      </c>
      <c r="F277" s="653">
        <f>55632*F25</f>
        <v>1344291648</v>
      </c>
      <c r="G277" s="635">
        <f>G274+G275</f>
        <v>94865412.566620842</v>
      </c>
      <c r="H277" s="635">
        <f>H274+H275</f>
        <v>107492452</v>
      </c>
      <c r="I277" s="635">
        <f>I274+I275</f>
        <v>6815021.4567999998</v>
      </c>
    </row>
    <row r="278" spans="1:9">
      <c r="A278" s="628"/>
      <c r="B278" s="629" t="s">
        <v>221</v>
      </c>
      <c r="C278" s="629"/>
      <c r="D278" s="635"/>
      <c r="E278" s="648">
        <f>E277/D277*100</f>
        <v>7.0038261214887836</v>
      </c>
      <c r="F278" s="635"/>
      <c r="G278" s="648">
        <f>G277/F277*100</f>
        <v>7.0569070861787306</v>
      </c>
      <c r="H278" s="635"/>
      <c r="I278" s="648">
        <f>I277/H277*100</f>
        <v>6.34</v>
      </c>
    </row>
    <row r="279" spans="1:9">
      <c r="A279" s="628"/>
      <c r="B279" s="629"/>
      <c r="C279" s="629"/>
      <c r="D279" s="635"/>
      <c r="E279" s="629"/>
      <c r="F279" s="635"/>
      <c r="G279" s="629"/>
      <c r="H279" s="635"/>
      <c r="I279" s="629"/>
    </row>
    <row r="280" spans="1:9" ht="10.15" hidden="1" customHeight="1">
      <c r="A280" s="628"/>
      <c r="B280" s="682" t="s">
        <v>222</v>
      </c>
      <c r="C280" s="629"/>
      <c r="D280" s="635"/>
      <c r="E280" s="629"/>
      <c r="F280" s="635"/>
      <c r="G280" s="629"/>
      <c r="H280" s="635"/>
      <c r="I280" s="629"/>
    </row>
    <row r="281" spans="1:9" ht="10.15" hidden="1" customHeight="1">
      <c r="A281" s="628"/>
      <c r="B281" s="642" t="s">
        <v>226</v>
      </c>
      <c r="C281" s="629"/>
      <c r="D281" s="635"/>
      <c r="E281" s="629"/>
      <c r="F281" s="635"/>
      <c r="G281" s="629"/>
      <c r="H281" s="635"/>
      <c r="I281" s="629"/>
    </row>
    <row r="282" spans="1:9" ht="10.15" hidden="1" customHeight="1">
      <c r="A282" s="628"/>
      <c r="B282" s="651" t="s">
        <v>227</v>
      </c>
      <c r="C282" s="648">
        <f>F79</f>
        <v>7.0890000000000004</v>
      </c>
      <c r="D282" s="635">
        <f>D274</f>
        <v>1286691866.9453735</v>
      </c>
      <c r="E282" s="650">
        <f>C282*D282/100</f>
        <v>91213586.447757527</v>
      </c>
      <c r="F282" s="635">
        <f>MIN(D282,F285)</f>
        <v>1286691866.9453735</v>
      </c>
      <c r="G282" s="650">
        <f>F282*C282/100</f>
        <v>91213586.447757527</v>
      </c>
      <c r="H282" s="635">
        <f>H274</f>
        <v>0</v>
      </c>
      <c r="I282" s="650">
        <f>H282*C282/100</f>
        <v>0</v>
      </c>
    </row>
    <row r="283" spans="1:9" ht="10.15" hidden="1" customHeight="1">
      <c r="A283" s="628"/>
      <c r="B283" s="651" t="s">
        <v>228</v>
      </c>
      <c r="C283" s="648">
        <f>F80</f>
        <v>6.34</v>
      </c>
      <c r="D283" s="635">
        <f>D275</f>
        <v>165092233.05462646</v>
      </c>
      <c r="E283" s="650">
        <f>C283*D283/100</f>
        <v>10466847.575663317</v>
      </c>
      <c r="F283" s="635">
        <f>MIN(F285-F282,D283)</f>
        <v>57599781.054626465</v>
      </c>
      <c r="G283" s="650">
        <f>F283*C283/100</f>
        <v>3651826.1188633181</v>
      </c>
      <c r="H283" s="635">
        <f>H275</f>
        <v>107492452</v>
      </c>
      <c r="I283" s="650">
        <f>H283*C283/100</f>
        <v>6815021.4567999998</v>
      </c>
    </row>
    <row r="284" spans="1:9" ht="10.15" hidden="1" customHeight="1">
      <c r="A284" s="628"/>
      <c r="B284" s="629"/>
      <c r="C284" s="629"/>
      <c r="D284" s="638"/>
      <c r="E284" s="684"/>
      <c r="F284" s="638"/>
      <c r="G284" s="684"/>
      <c r="H284" s="638"/>
      <c r="I284" s="684"/>
    </row>
    <row r="285" spans="1:9" ht="10.15" hidden="1" customHeight="1">
      <c r="A285" s="628"/>
      <c r="B285" s="629" t="s">
        <v>86</v>
      </c>
      <c r="C285" s="629"/>
      <c r="D285" s="635">
        <f>D282+D283</f>
        <v>1451784100</v>
      </c>
      <c r="E285" s="635">
        <f>E282+E283</f>
        <v>101680434.02342084</v>
      </c>
      <c r="F285" s="635">
        <f>F277</f>
        <v>1344291648</v>
      </c>
      <c r="G285" s="635">
        <f>G282+G283</f>
        <v>94865412.566620842</v>
      </c>
      <c r="H285" s="635">
        <f>H282+H283</f>
        <v>107492452</v>
      </c>
      <c r="I285" s="635">
        <f>I282+I283</f>
        <v>6815021.4567999998</v>
      </c>
    </row>
    <row r="286" spans="1:9" ht="10.15" hidden="1" customHeight="1">
      <c r="A286" s="628"/>
      <c r="B286" s="629" t="s">
        <v>221</v>
      </c>
      <c r="C286" s="629"/>
      <c r="D286" s="635"/>
      <c r="E286" s="629"/>
      <c r="F286" s="635"/>
      <c r="G286" s="648">
        <f>G285/F285*100</f>
        <v>7.0569070861787306</v>
      </c>
      <c r="H286" s="635"/>
      <c r="I286" s="648">
        <f>I285/H285*100</f>
        <v>6.34</v>
      </c>
    </row>
    <row r="287" spans="1:9" ht="10.15" hidden="1" customHeight="1">
      <c r="A287" s="628"/>
      <c r="B287" s="629"/>
      <c r="C287" s="629"/>
      <c r="D287" s="629"/>
      <c r="E287" s="629"/>
      <c r="F287" s="629"/>
      <c r="G287" s="629"/>
      <c r="H287" s="629"/>
      <c r="I287" s="629"/>
    </row>
    <row r="288" spans="1:9" ht="10.15" hidden="1" customHeight="1">
      <c r="A288" s="628"/>
      <c r="B288" s="629"/>
      <c r="C288" s="629"/>
      <c r="D288" s="629"/>
      <c r="E288" s="629"/>
      <c r="F288" s="629"/>
      <c r="G288" s="629"/>
      <c r="H288" s="629"/>
      <c r="I288" s="629"/>
    </row>
    <row r="289" spans="1:9" ht="10.15" hidden="1" customHeight="1">
      <c r="A289" s="628"/>
      <c r="B289" s="629"/>
      <c r="C289" s="629"/>
      <c r="D289" s="629"/>
      <c r="E289" s="629"/>
      <c r="F289" s="629"/>
      <c r="G289" s="629"/>
      <c r="H289" s="629"/>
      <c r="I289" s="629"/>
    </row>
    <row r="290" spans="1:9" ht="10.15" hidden="1" customHeight="1">
      <c r="A290" s="628"/>
      <c r="B290" s="629"/>
      <c r="C290" s="629"/>
      <c r="D290" s="629"/>
      <c r="E290" s="629"/>
      <c r="F290" s="629"/>
      <c r="G290" s="629"/>
      <c r="H290" s="629"/>
      <c r="I290" s="629"/>
    </row>
    <row r="291" spans="1:9">
      <c r="A291" s="628"/>
      <c r="B291" s="629"/>
      <c r="C291" s="629"/>
      <c r="D291" s="629"/>
      <c r="E291" s="629"/>
      <c r="F291" s="629"/>
      <c r="G291" s="629"/>
      <c r="H291" s="629"/>
      <c r="I291" s="629"/>
    </row>
    <row r="292" spans="1:9">
      <c r="A292" s="628"/>
      <c r="B292" s="629"/>
      <c r="C292" s="629"/>
      <c r="D292" s="629"/>
      <c r="E292" s="629"/>
      <c r="F292" s="629"/>
      <c r="G292" s="629"/>
      <c r="H292" s="629"/>
      <c r="I292" s="629"/>
    </row>
    <row r="293" spans="1:9">
      <c r="A293" s="628"/>
      <c r="B293" s="629"/>
      <c r="C293" s="629"/>
      <c r="D293" s="629"/>
      <c r="E293" s="629"/>
      <c r="F293" s="629"/>
      <c r="G293" s="629"/>
      <c r="H293" s="629"/>
      <c r="I293" s="629"/>
    </row>
    <row r="294" spans="1:9">
      <c r="A294" s="628"/>
      <c r="B294" s="685" t="s">
        <v>602</v>
      </c>
      <c r="C294" s="685"/>
      <c r="D294" s="685"/>
      <c r="E294" s="685"/>
      <c r="F294" s="685"/>
      <c r="G294" s="629"/>
      <c r="H294" s="629"/>
      <c r="I294" s="629"/>
    </row>
    <row r="295" spans="1:9">
      <c r="A295" s="628"/>
      <c r="B295" s="685" t="str">
        <f>"53,800 X "&amp;TEXT(F25,"#,##0")&amp;" = "&amp;TEXT(F277,"#,##0")</f>
        <v>53,800 X 24,164 = 1,344,291,648</v>
      </c>
      <c r="C295" s="629"/>
      <c r="D295" s="629"/>
      <c r="E295" s="629"/>
      <c r="F295" s="629"/>
      <c r="G295" s="629"/>
      <c r="H295" s="629"/>
      <c r="I295" s="629"/>
    </row>
    <row r="296" spans="1:9">
      <c r="A296" s="628"/>
      <c r="B296" s="629"/>
      <c r="C296" s="629"/>
      <c r="D296" s="629"/>
      <c r="E296" s="629"/>
      <c r="F296" s="629"/>
      <c r="G296" s="629"/>
      <c r="H296" s="629"/>
      <c r="I296" s="629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/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3" customWidth="1"/>
    <col min="4" max="4" width="16.140625" style="233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12" t="s">
        <v>603</v>
      </c>
      <c r="F1" s="4" t="s">
        <v>480</v>
      </c>
    </row>
    <row r="2" spans="1:32" ht="15">
      <c r="A2" s="3" t="s">
        <v>2</v>
      </c>
    </row>
    <row r="3" spans="1:32">
      <c r="C3" s="276" t="s">
        <v>604</v>
      </c>
      <c r="D3" s="276" t="s">
        <v>604</v>
      </c>
    </row>
    <row r="4" spans="1:32">
      <c r="C4" s="347">
        <v>2017</v>
      </c>
      <c r="D4" s="347" t="s">
        <v>605</v>
      </c>
      <c r="I4" s="686">
        <v>42736</v>
      </c>
      <c r="J4" s="686">
        <v>42767</v>
      </c>
      <c r="K4" s="686">
        <v>42795</v>
      </c>
      <c r="L4" s="686">
        <v>42826</v>
      </c>
      <c r="M4" s="686">
        <v>42856</v>
      </c>
      <c r="N4" s="686">
        <v>42887</v>
      </c>
      <c r="O4" s="686">
        <v>42917</v>
      </c>
      <c r="P4" s="686">
        <v>42948</v>
      </c>
      <c r="Q4" s="686">
        <v>42979</v>
      </c>
      <c r="R4" s="686">
        <v>43009</v>
      </c>
      <c r="S4" s="686">
        <v>43040</v>
      </c>
      <c r="T4" s="686">
        <v>43070</v>
      </c>
      <c r="U4" s="686">
        <v>43101</v>
      </c>
      <c r="V4" s="686">
        <v>43132</v>
      </c>
      <c r="W4" s="686">
        <v>43160</v>
      </c>
      <c r="X4" s="686">
        <v>43191</v>
      </c>
      <c r="Y4" s="686">
        <v>43221</v>
      </c>
      <c r="Z4" s="686">
        <v>43252</v>
      </c>
      <c r="AA4" s="686">
        <v>43282</v>
      </c>
      <c r="AB4" s="686">
        <v>43313</v>
      </c>
      <c r="AC4" s="686">
        <v>43344</v>
      </c>
      <c r="AD4" s="686">
        <v>43374</v>
      </c>
      <c r="AE4" s="686">
        <v>43405</v>
      </c>
      <c r="AF4" s="686">
        <v>43435</v>
      </c>
    </row>
    <row r="5" spans="1:32">
      <c r="A5" s="436" t="s">
        <v>42</v>
      </c>
      <c r="C5" s="234"/>
      <c r="D5" s="234"/>
    </row>
    <row r="6" spans="1:32">
      <c r="A6" s="687" t="s">
        <v>32</v>
      </c>
      <c r="B6" s="7"/>
      <c r="C6" s="438">
        <f>SUM(I6:T6)</f>
        <v>2528810</v>
      </c>
      <c r="D6" s="359">
        <f>SUM(O6:Z6)</f>
        <v>2541558</v>
      </c>
      <c r="F6" s="4" t="s">
        <v>606</v>
      </c>
      <c r="I6" s="688">
        <v>210519</v>
      </c>
      <c r="J6" s="688">
        <v>210639</v>
      </c>
      <c r="K6" s="688">
        <v>210630</v>
      </c>
      <c r="L6" s="688">
        <v>210500</v>
      </c>
      <c r="M6" s="688">
        <v>210220</v>
      </c>
      <c r="N6" s="688">
        <v>209616</v>
      </c>
      <c r="O6" s="688">
        <v>210093</v>
      </c>
      <c r="P6" s="688">
        <v>210123</v>
      </c>
      <c r="Q6" s="688">
        <v>210727</v>
      </c>
      <c r="R6" s="688">
        <v>211379</v>
      </c>
      <c r="S6" s="688">
        <v>211905</v>
      </c>
      <c r="T6" s="688">
        <v>212459</v>
      </c>
      <c r="U6" s="688">
        <v>212655</v>
      </c>
      <c r="V6" s="688">
        <v>212861</v>
      </c>
      <c r="W6" s="688">
        <v>212679</v>
      </c>
      <c r="X6" s="688">
        <v>212577</v>
      </c>
      <c r="Y6" s="688">
        <v>212331</v>
      </c>
      <c r="Z6" s="688">
        <v>211769</v>
      </c>
      <c r="AA6" s="688">
        <v>212213</v>
      </c>
      <c r="AB6" s="688">
        <v>212241</v>
      </c>
      <c r="AC6" s="688">
        <v>212881</v>
      </c>
      <c r="AD6" s="688">
        <v>213524</v>
      </c>
      <c r="AE6" s="688">
        <v>214127</v>
      </c>
      <c r="AF6" s="688">
        <v>214656</v>
      </c>
    </row>
    <row r="7" spans="1:32">
      <c r="A7" s="687" t="s">
        <v>36</v>
      </c>
      <c r="B7" s="7"/>
      <c r="C7" s="438">
        <f t="shared" ref="C7:C25" si="0">SUM(I7:T7)</f>
        <v>266179.82948797464</v>
      </c>
      <c r="D7" s="359">
        <f t="shared" ref="D7:D25" si="1">SUM(O7:Z7)</f>
        <v>267673.74680508953</v>
      </c>
      <c r="F7" s="4" t="s">
        <v>607</v>
      </c>
      <c r="I7" s="688">
        <v>22079.731774425392</v>
      </c>
      <c r="J7" s="688">
        <v>22138.753706976742</v>
      </c>
      <c r="K7" s="688">
        <v>22127.774213186472</v>
      </c>
      <c r="L7" s="688">
        <v>22150.751236354932</v>
      </c>
      <c r="M7" s="688">
        <v>22153.739886904339</v>
      </c>
      <c r="N7" s="688">
        <v>22169.728373403959</v>
      </c>
      <c r="O7" s="688">
        <v>22153.723691772237</v>
      </c>
      <c r="P7" s="688">
        <v>22189.720694868072</v>
      </c>
      <c r="Q7" s="688">
        <v>22193.720901623434</v>
      </c>
      <c r="R7" s="688">
        <v>22235.72385808071</v>
      </c>
      <c r="S7" s="688">
        <v>22261.728349611949</v>
      </c>
      <c r="T7" s="688">
        <v>22324.732800766404</v>
      </c>
      <c r="U7" s="688">
        <v>22328.735790664556</v>
      </c>
      <c r="V7" s="688">
        <v>22392.736125351152</v>
      </c>
      <c r="W7" s="688">
        <v>22372.734660215683</v>
      </c>
      <c r="X7" s="688">
        <v>22396.731364134786</v>
      </c>
      <c r="Y7" s="688">
        <v>22402.72970811644</v>
      </c>
      <c r="Z7" s="688">
        <v>22420.728859884115</v>
      </c>
      <c r="AA7" s="688">
        <v>22402.728900424128</v>
      </c>
      <c r="AB7" s="688">
        <v>22438.729334478452</v>
      </c>
      <c r="AC7" s="688">
        <v>22444.730054445983</v>
      </c>
      <c r="AD7" s="688">
        <v>22486.730817181196</v>
      </c>
      <c r="AE7" s="688">
        <v>22516.731397106236</v>
      </c>
      <c r="AF7" s="688">
        <v>22578.731651064096</v>
      </c>
    </row>
    <row r="8" spans="1:32">
      <c r="A8" s="687" t="s">
        <v>33</v>
      </c>
      <c r="B8" s="7"/>
      <c r="C8" s="438">
        <f t="shared" si="0"/>
        <v>111569</v>
      </c>
      <c r="D8" s="359">
        <f t="shared" si="1"/>
        <v>112808</v>
      </c>
      <c r="F8" s="4" t="s">
        <v>608</v>
      </c>
      <c r="I8" s="688">
        <v>9223</v>
      </c>
      <c r="J8" s="688">
        <v>9239</v>
      </c>
      <c r="K8" s="688">
        <v>9242</v>
      </c>
      <c r="L8" s="688">
        <v>9249</v>
      </c>
      <c r="M8" s="688">
        <v>9260</v>
      </c>
      <c r="N8" s="688">
        <v>9269</v>
      </c>
      <c r="O8" s="688">
        <v>9282</v>
      </c>
      <c r="P8" s="688">
        <v>9318</v>
      </c>
      <c r="Q8" s="688">
        <v>9332</v>
      </c>
      <c r="R8" s="688">
        <v>9363</v>
      </c>
      <c r="S8" s="688">
        <v>9379</v>
      </c>
      <c r="T8" s="688">
        <v>9413</v>
      </c>
      <c r="U8" s="688">
        <v>9429</v>
      </c>
      <c r="V8" s="688">
        <v>9445</v>
      </c>
      <c r="W8" s="688">
        <v>9448</v>
      </c>
      <c r="X8" s="688">
        <v>9456</v>
      </c>
      <c r="Y8" s="688">
        <v>9467</v>
      </c>
      <c r="Z8" s="688">
        <v>9476</v>
      </c>
      <c r="AA8" s="688">
        <v>9488</v>
      </c>
      <c r="AB8" s="688">
        <v>9524</v>
      </c>
      <c r="AC8" s="688">
        <v>9538</v>
      </c>
      <c r="AD8" s="688">
        <v>9570</v>
      </c>
      <c r="AE8" s="688">
        <v>9585</v>
      </c>
      <c r="AF8" s="688">
        <v>9619</v>
      </c>
    </row>
    <row r="9" spans="1:32">
      <c r="A9" s="687" t="s">
        <v>37</v>
      </c>
      <c r="B9" s="7"/>
      <c r="C9" s="438">
        <f t="shared" si="0"/>
        <v>23639.584979780746</v>
      </c>
      <c r="D9" s="359">
        <f t="shared" si="1"/>
        <v>23639.519703562837</v>
      </c>
      <c r="F9" s="4" t="s">
        <v>609</v>
      </c>
      <c r="I9" s="688">
        <v>1969.9634331676789</v>
      </c>
      <c r="J9" s="688">
        <v>1969.9804120548492</v>
      </c>
      <c r="K9" s="688">
        <v>1969.9935302484394</v>
      </c>
      <c r="L9" s="688">
        <v>1969.9811930572469</v>
      </c>
      <c r="M9" s="688">
        <v>1969.9668445963525</v>
      </c>
      <c r="N9" s="688">
        <v>1969.9571797735227</v>
      </c>
      <c r="O9" s="688">
        <v>1969.953078837191</v>
      </c>
      <c r="P9" s="688">
        <v>1969.9526427000806</v>
      </c>
      <c r="Q9" s="688">
        <v>1969.9545334031316</v>
      </c>
      <c r="R9" s="688">
        <v>1969.9575784780127</v>
      </c>
      <c r="S9" s="688">
        <v>1969.960842314782</v>
      </c>
      <c r="T9" s="688">
        <v>1969.9637111494601</v>
      </c>
      <c r="U9" s="688">
        <v>1969.9654149817291</v>
      </c>
      <c r="V9" s="688">
        <v>1969.9655801328997</v>
      </c>
      <c r="W9" s="688">
        <v>1969.9643441394041</v>
      </c>
      <c r="X9" s="688">
        <v>1969.9619119636511</v>
      </c>
      <c r="Y9" s="688">
        <v>1969.9603052058515</v>
      </c>
      <c r="Z9" s="688">
        <v>1969.959760256643</v>
      </c>
      <c r="AA9" s="688">
        <v>1969.9599752969029</v>
      </c>
      <c r="AB9" s="688">
        <v>1969.960550001879</v>
      </c>
      <c r="AC9" s="688">
        <v>1969.9612089436955</v>
      </c>
      <c r="AD9" s="688">
        <v>1969.9617652387426</v>
      </c>
      <c r="AE9" s="688">
        <v>1969.9621141354701</v>
      </c>
      <c r="AF9" s="688">
        <v>1969.9622201205275</v>
      </c>
    </row>
    <row r="10" spans="1:32">
      <c r="A10" s="687" t="s">
        <v>34</v>
      </c>
      <c r="B10" s="7"/>
      <c r="C10" s="438">
        <f t="shared" si="0"/>
        <v>670.63679999999988</v>
      </c>
      <c r="D10" s="359">
        <f t="shared" si="1"/>
        <v>671.96960000000013</v>
      </c>
      <c r="F10" s="4" t="s">
        <v>610</v>
      </c>
      <c r="I10" s="688">
        <v>55.767699999999998</v>
      </c>
      <c r="J10" s="688">
        <v>55.791699999999999</v>
      </c>
      <c r="K10" s="688">
        <v>55.814999999999998</v>
      </c>
      <c r="L10" s="688">
        <v>55.837499999999999</v>
      </c>
      <c r="M10" s="688">
        <v>55.859200000000001</v>
      </c>
      <c r="N10" s="688">
        <v>55.880299999999998</v>
      </c>
      <c r="O10" s="688">
        <v>55.900599999999997</v>
      </c>
      <c r="P10" s="688">
        <v>55.920200000000001</v>
      </c>
      <c r="Q10" s="688">
        <v>55.9392</v>
      </c>
      <c r="R10" s="688">
        <v>55.957599999999999</v>
      </c>
      <c r="S10" s="688">
        <v>55.975299999999997</v>
      </c>
      <c r="T10" s="688">
        <v>55.9925</v>
      </c>
      <c r="U10" s="688">
        <v>56.009</v>
      </c>
      <c r="V10" s="688">
        <v>56.025100000000002</v>
      </c>
      <c r="W10" s="688">
        <v>56.040599999999998</v>
      </c>
      <c r="X10" s="688">
        <v>56.055500000000002</v>
      </c>
      <c r="Y10" s="688">
        <v>56.07</v>
      </c>
      <c r="Z10" s="688">
        <v>56.084000000000003</v>
      </c>
      <c r="AA10" s="688">
        <v>56.0976</v>
      </c>
      <c r="AB10" s="688">
        <v>56.110700000000001</v>
      </c>
      <c r="AC10" s="688">
        <v>56.1233</v>
      </c>
      <c r="AD10" s="688">
        <v>56.1355</v>
      </c>
      <c r="AE10" s="688">
        <v>56.147300000000001</v>
      </c>
      <c r="AF10" s="688">
        <v>56.158799999999999</v>
      </c>
    </row>
    <row r="11" spans="1:32">
      <c r="A11" s="687" t="s">
        <v>38</v>
      </c>
      <c r="B11" s="7"/>
      <c r="C11" s="438">
        <f t="shared" si="0"/>
        <v>253.69607314617502</v>
      </c>
      <c r="D11" s="359">
        <f t="shared" si="1"/>
        <v>253.69131118641843</v>
      </c>
      <c r="F11" s="4" t="s">
        <v>611</v>
      </c>
      <c r="I11" s="688">
        <v>21.143641260154133</v>
      </c>
      <c r="J11" s="688">
        <v>21.143450282190713</v>
      </c>
      <c r="K11" s="688">
        <v>21.142229965815645</v>
      </c>
      <c r="L11" s="688">
        <v>21.139810080862851</v>
      </c>
      <c r="M11" s="688">
        <v>21.142943618099764</v>
      </c>
      <c r="N11" s="688">
        <v>21.138684063759058</v>
      </c>
      <c r="O11" s="688">
        <v>21.139666364124764</v>
      </c>
      <c r="P11" s="688">
        <v>21.14042800114569</v>
      </c>
      <c r="Q11" s="688">
        <v>21.140973601376025</v>
      </c>
      <c r="R11" s="688">
        <v>21.141314113622393</v>
      </c>
      <c r="S11" s="688">
        <v>21.141468165421692</v>
      </c>
      <c r="T11" s="688">
        <v>21.141463629602278</v>
      </c>
      <c r="U11" s="688">
        <v>21.141339428847914</v>
      </c>
      <c r="V11" s="688">
        <v>21.1411476095724</v>
      </c>
      <c r="W11" s="688">
        <v>21.140955720187538</v>
      </c>
      <c r="X11" s="688">
        <v>21.140849533051863</v>
      </c>
      <c r="Y11" s="688">
        <v>21.140936154067617</v>
      </c>
      <c r="Z11" s="688">
        <v>21.140768865398272</v>
      </c>
      <c r="AA11" s="688">
        <v>21.140942598868204</v>
      </c>
      <c r="AB11" s="688">
        <v>21.141048951763487</v>
      </c>
      <c r="AC11" s="688">
        <v>21.141100697648305</v>
      </c>
      <c r="AD11" s="688">
        <v>21.141111289004332</v>
      </c>
      <c r="AE11" s="688">
        <v>21.141094386952826</v>
      </c>
      <c r="AF11" s="688">
        <v>21.141063238747087</v>
      </c>
    </row>
    <row r="12" spans="1:32">
      <c r="A12" s="687" t="s">
        <v>40</v>
      </c>
      <c r="B12" s="7"/>
      <c r="C12" s="438">
        <f t="shared" si="0"/>
        <v>0</v>
      </c>
      <c r="D12" s="359">
        <f t="shared" si="1"/>
        <v>0</v>
      </c>
      <c r="F12" s="4" t="s">
        <v>612</v>
      </c>
      <c r="I12" s="688">
        <v>0</v>
      </c>
      <c r="J12" s="688">
        <v>0</v>
      </c>
      <c r="K12" s="688">
        <v>0</v>
      </c>
      <c r="L12" s="688">
        <v>0</v>
      </c>
      <c r="M12" s="688">
        <v>0</v>
      </c>
      <c r="N12" s="688">
        <v>0</v>
      </c>
      <c r="O12" s="688">
        <v>0</v>
      </c>
      <c r="P12" s="688">
        <v>0</v>
      </c>
      <c r="Q12" s="688">
        <v>0</v>
      </c>
      <c r="R12" s="688">
        <v>0</v>
      </c>
      <c r="S12" s="688">
        <v>0</v>
      </c>
      <c r="T12" s="688">
        <v>0</v>
      </c>
      <c r="U12" s="688">
        <v>0</v>
      </c>
      <c r="V12" s="688">
        <v>0</v>
      </c>
      <c r="W12" s="688">
        <v>0</v>
      </c>
      <c r="X12" s="688">
        <v>0</v>
      </c>
      <c r="Y12" s="688">
        <v>0</v>
      </c>
      <c r="Z12" s="688">
        <v>0</v>
      </c>
      <c r="AA12" s="688">
        <v>0</v>
      </c>
      <c r="AB12" s="688">
        <v>0</v>
      </c>
      <c r="AC12" s="688">
        <v>0</v>
      </c>
      <c r="AD12" s="688">
        <v>0</v>
      </c>
      <c r="AE12" s="688">
        <v>0</v>
      </c>
      <c r="AF12" s="688">
        <v>0</v>
      </c>
    </row>
    <row r="13" spans="1:32">
      <c r="A13" s="687" t="s">
        <v>39</v>
      </c>
      <c r="B13" s="7"/>
      <c r="C13" s="438">
        <f t="shared" si="0"/>
        <v>15163.338113103633</v>
      </c>
      <c r="D13" s="359">
        <f t="shared" si="1"/>
        <v>15271.462954065048</v>
      </c>
      <c r="F13" s="4" t="s">
        <v>613</v>
      </c>
      <c r="I13" s="688">
        <v>1253.4811772839839</v>
      </c>
      <c r="J13" s="688">
        <v>1247.2670309465379</v>
      </c>
      <c r="K13" s="688">
        <v>1252.3286277383791</v>
      </c>
      <c r="L13" s="688">
        <v>1255.693314752843</v>
      </c>
      <c r="M13" s="688">
        <v>1262.2076132993116</v>
      </c>
      <c r="N13" s="688">
        <v>1267.9209795566308</v>
      </c>
      <c r="O13" s="688">
        <v>1269.5648831533686</v>
      </c>
      <c r="P13" s="688">
        <v>1269.4682895748642</v>
      </c>
      <c r="Q13" s="688">
        <v>1267.5728596835995</v>
      </c>
      <c r="R13" s="688">
        <v>1275.2094491884097</v>
      </c>
      <c r="S13" s="688">
        <v>1273.75990805733</v>
      </c>
      <c r="T13" s="688">
        <v>1268.8639798683728</v>
      </c>
      <c r="U13" s="688">
        <v>1271.7872010919691</v>
      </c>
      <c r="V13" s="688">
        <v>1267.7036364093015</v>
      </c>
      <c r="W13" s="688">
        <v>1271.2170035311983</v>
      </c>
      <c r="X13" s="688">
        <v>1271.5381848472666</v>
      </c>
      <c r="Y13" s="688">
        <v>1279.3974406884686</v>
      </c>
      <c r="Z13" s="688">
        <v>1285.3801179708983</v>
      </c>
      <c r="AA13" s="688">
        <v>1285.8841211720871</v>
      </c>
      <c r="AB13" s="688">
        <v>1286.3036576736472</v>
      </c>
      <c r="AC13" s="688">
        <v>1284.7780383485456</v>
      </c>
      <c r="AD13" s="688">
        <v>1290.4921782372912</v>
      </c>
      <c r="AE13" s="688">
        <v>1289.5291973246981</v>
      </c>
      <c r="AF13" s="688">
        <v>1284.1707214303119</v>
      </c>
    </row>
    <row r="14" spans="1:32">
      <c r="A14" s="687" t="s">
        <v>35</v>
      </c>
      <c r="B14" s="7"/>
      <c r="C14" s="438">
        <f t="shared" si="0"/>
        <v>14431.448699999999</v>
      </c>
      <c r="D14" s="359">
        <f t="shared" si="1"/>
        <v>14419.420599999999</v>
      </c>
      <c r="F14" s="4" t="s">
        <v>614</v>
      </c>
      <c r="I14" s="688">
        <v>1204.2923000000001</v>
      </c>
      <c r="J14" s="688">
        <v>1200.2907</v>
      </c>
      <c r="K14" s="688">
        <v>1200.2895000000001</v>
      </c>
      <c r="L14" s="688">
        <v>1200.2883999999999</v>
      </c>
      <c r="M14" s="688">
        <v>1201.2876000000001</v>
      </c>
      <c r="N14" s="688">
        <v>1201.2869000000001</v>
      </c>
      <c r="O14" s="688">
        <v>1202.2864</v>
      </c>
      <c r="P14" s="688">
        <v>1202.2860000000001</v>
      </c>
      <c r="Q14" s="688">
        <v>1207.2855999999999</v>
      </c>
      <c r="R14" s="688">
        <v>1206.2853</v>
      </c>
      <c r="S14" s="688">
        <v>1203.2851000000001</v>
      </c>
      <c r="T14" s="688">
        <v>1202.2849000000001</v>
      </c>
      <c r="U14" s="688">
        <v>1202.2847999999999</v>
      </c>
      <c r="V14" s="688">
        <v>1199.2846</v>
      </c>
      <c r="W14" s="688">
        <v>1197.2846</v>
      </c>
      <c r="X14" s="688">
        <v>1198.2845</v>
      </c>
      <c r="Y14" s="688">
        <v>1199.2844</v>
      </c>
      <c r="Z14" s="688">
        <v>1199.2844</v>
      </c>
      <c r="AA14" s="688">
        <v>1201.2843</v>
      </c>
      <c r="AB14" s="688">
        <v>1201.2843</v>
      </c>
      <c r="AC14" s="688">
        <v>1205.2843</v>
      </c>
      <c r="AD14" s="688">
        <v>1205.2842000000001</v>
      </c>
      <c r="AE14" s="688">
        <v>1202.2842000000001</v>
      </c>
      <c r="AF14" s="688">
        <v>1201.2842000000001</v>
      </c>
    </row>
    <row r="15" spans="1:32">
      <c r="A15" s="687" t="s">
        <v>41</v>
      </c>
      <c r="B15" s="7"/>
      <c r="C15" s="438">
        <f t="shared" si="0"/>
        <v>4658.4548999999988</v>
      </c>
      <c r="D15" s="359">
        <f t="shared" si="1"/>
        <v>4684.4733999999999</v>
      </c>
      <c r="F15" s="4" t="s">
        <v>615</v>
      </c>
      <c r="I15" s="688">
        <v>386.21260000000001</v>
      </c>
      <c r="J15" s="688">
        <v>386.55950000000001</v>
      </c>
      <c r="K15" s="688">
        <v>386.94580000000002</v>
      </c>
      <c r="L15" s="688">
        <v>387.31650000000002</v>
      </c>
      <c r="M15" s="688">
        <v>387.66309999999999</v>
      </c>
      <c r="N15" s="688">
        <v>388.01780000000002</v>
      </c>
      <c r="O15" s="688">
        <v>388.38709999999998</v>
      </c>
      <c r="P15" s="688">
        <v>388.75229999999999</v>
      </c>
      <c r="Q15" s="688">
        <v>389.1087</v>
      </c>
      <c r="R15" s="688">
        <v>389.46710000000002</v>
      </c>
      <c r="S15" s="688">
        <v>389.83080000000001</v>
      </c>
      <c r="T15" s="688">
        <v>390.1936</v>
      </c>
      <c r="U15" s="688">
        <v>390.5532</v>
      </c>
      <c r="V15" s="688">
        <v>390.91320000000002</v>
      </c>
      <c r="W15" s="688">
        <v>391.27510000000001</v>
      </c>
      <c r="X15" s="688">
        <v>391.63679999999999</v>
      </c>
      <c r="Y15" s="688">
        <v>391.99740000000003</v>
      </c>
      <c r="Z15" s="688">
        <v>392.35809999999998</v>
      </c>
      <c r="AA15" s="688">
        <v>392.71940000000001</v>
      </c>
      <c r="AB15" s="688">
        <v>393.08069999999998</v>
      </c>
      <c r="AC15" s="688">
        <v>393.44170000000003</v>
      </c>
      <c r="AD15" s="688">
        <v>393.80259999999998</v>
      </c>
      <c r="AE15" s="688">
        <v>394.16370000000001</v>
      </c>
      <c r="AF15" s="688">
        <v>394.5249</v>
      </c>
    </row>
    <row r="16" spans="1:32">
      <c r="A16" s="687" t="s">
        <v>258</v>
      </c>
      <c r="B16" s="7"/>
      <c r="C16" s="438">
        <f t="shared" si="0"/>
        <v>1270762</v>
      </c>
      <c r="D16" s="359">
        <f t="shared" si="1"/>
        <v>1277319</v>
      </c>
      <c r="F16" s="4" t="s">
        <v>616</v>
      </c>
      <c r="I16" s="688">
        <v>105787</v>
      </c>
      <c r="J16" s="688">
        <v>105791</v>
      </c>
      <c r="K16" s="688">
        <v>105755</v>
      </c>
      <c r="L16" s="688">
        <v>105668</v>
      </c>
      <c r="M16" s="688">
        <v>105509</v>
      </c>
      <c r="N16" s="688">
        <v>105328</v>
      </c>
      <c r="O16" s="688">
        <v>105669</v>
      </c>
      <c r="P16" s="688">
        <v>105600</v>
      </c>
      <c r="Q16" s="688">
        <v>106191</v>
      </c>
      <c r="R16" s="688">
        <v>106249</v>
      </c>
      <c r="S16" s="688">
        <v>106432</v>
      </c>
      <c r="T16" s="688">
        <v>106783</v>
      </c>
      <c r="U16" s="688">
        <v>106870</v>
      </c>
      <c r="V16" s="688">
        <v>106879</v>
      </c>
      <c r="W16" s="688">
        <v>106845</v>
      </c>
      <c r="X16" s="688">
        <v>106764</v>
      </c>
      <c r="Y16" s="688">
        <v>106606</v>
      </c>
      <c r="Z16" s="688">
        <v>106431</v>
      </c>
      <c r="AA16" s="688">
        <v>106773</v>
      </c>
      <c r="AB16" s="688">
        <v>106707</v>
      </c>
      <c r="AC16" s="688">
        <v>107300</v>
      </c>
      <c r="AD16" s="688">
        <v>107362</v>
      </c>
      <c r="AE16" s="688">
        <v>107545</v>
      </c>
      <c r="AF16" s="688">
        <v>107899</v>
      </c>
    </row>
    <row r="17" spans="1:32">
      <c r="A17" s="687" t="s">
        <v>263</v>
      </c>
      <c r="B17" s="7"/>
      <c r="C17" s="438">
        <f t="shared" si="0"/>
        <v>191979.9706</v>
      </c>
      <c r="D17" s="359">
        <f t="shared" si="1"/>
        <v>193071.00450000001</v>
      </c>
      <c r="F17" s="4" t="s">
        <v>617</v>
      </c>
      <c r="I17" s="688">
        <v>15955.8267</v>
      </c>
      <c r="J17" s="688">
        <v>15946.827799999999</v>
      </c>
      <c r="K17" s="688">
        <v>15963.8287</v>
      </c>
      <c r="L17" s="688">
        <v>15953.829599999999</v>
      </c>
      <c r="M17" s="688">
        <v>15941.8303</v>
      </c>
      <c r="N17" s="688">
        <v>15958.831</v>
      </c>
      <c r="O17" s="688">
        <v>15993.8316</v>
      </c>
      <c r="P17" s="688">
        <v>15993.8321</v>
      </c>
      <c r="Q17" s="688">
        <v>16022.8326</v>
      </c>
      <c r="R17" s="688">
        <v>16049.833000000001</v>
      </c>
      <c r="S17" s="688">
        <v>16074.8334</v>
      </c>
      <c r="T17" s="688">
        <v>16123.8338</v>
      </c>
      <c r="U17" s="688">
        <v>16134.8341</v>
      </c>
      <c r="V17" s="688">
        <v>16132.8343</v>
      </c>
      <c r="W17" s="688">
        <v>16146.8346</v>
      </c>
      <c r="X17" s="688">
        <v>16131.834800000001</v>
      </c>
      <c r="Y17" s="688">
        <v>16123.834999999999</v>
      </c>
      <c r="Z17" s="688">
        <v>16141.8352</v>
      </c>
      <c r="AA17" s="688">
        <v>16175.835300000001</v>
      </c>
      <c r="AB17" s="688">
        <v>16177.835499999999</v>
      </c>
      <c r="AC17" s="688">
        <v>16205.8356</v>
      </c>
      <c r="AD17" s="688">
        <v>16230.8357</v>
      </c>
      <c r="AE17" s="688">
        <v>16258.835800000001</v>
      </c>
      <c r="AF17" s="688">
        <v>16308.8359</v>
      </c>
    </row>
    <row r="18" spans="1:32">
      <c r="A18" s="687" t="s">
        <v>259</v>
      </c>
      <c r="B18" s="7"/>
      <c r="C18" s="438">
        <f t="shared" si="0"/>
        <v>65243</v>
      </c>
      <c r="D18" s="359">
        <f t="shared" si="1"/>
        <v>66133</v>
      </c>
      <c r="F18" s="4" t="s">
        <v>618</v>
      </c>
      <c r="I18" s="688">
        <v>5389</v>
      </c>
      <c r="J18" s="688">
        <v>5390</v>
      </c>
      <c r="K18" s="688">
        <v>5391</v>
      </c>
      <c r="L18" s="688">
        <v>5402</v>
      </c>
      <c r="M18" s="688">
        <v>5415</v>
      </c>
      <c r="N18" s="688">
        <v>5424</v>
      </c>
      <c r="O18" s="688">
        <v>5435</v>
      </c>
      <c r="P18" s="688">
        <v>5450</v>
      </c>
      <c r="Q18" s="688">
        <v>5461</v>
      </c>
      <c r="R18" s="688">
        <v>5471</v>
      </c>
      <c r="S18" s="688">
        <v>5497</v>
      </c>
      <c r="T18" s="688">
        <v>5518</v>
      </c>
      <c r="U18" s="688">
        <v>5537</v>
      </c>
      <c r="V18" s="688">
        <v>5538</v>
      </c>
      <c r="W18" s="688">
        <v>5540</v>
      </c>
      <c r="X18" s="688">
        <v>5550</v>
      </c>
      <c r="Y18" s="688">
        <v>5564</v>
      </c>
      <c r="Z18" s="688">
        <v>5572</v>
      </c>
      <c r="AA18" s="688">
        <v>5584</v>
      </c>
      <c r="AB18" s="688">
        <v>5599</v>
      </c>
      <c r="AC18" s="688">
        <v>5610</v>
      </c>
      <c r="AD18" s="688">
        <v>5620</v>
      </c>
      <c r="AE18" s="688">
        <v>5645</v>
      </c>
      <c r="AF18" s="688">
        <v>5667</v>
      </c>
    </row>
    <row r="19" spans="1:32">
      <c r="A19" s="687" t="s">
        <v>264</v>
      </c>
      <c r="B19" s="7"/>
      <c r="C19" s="438">
        <f t="shared" si="0"/>
        <v>13609.08002883484</v>
      </c>
      <c r="D19" s="359">
        <f t="shared" si="1"/>
        <v>13609.090857369416</v>
      </c>
      <c r="F19" s="4" t="s">
        <v>619</v>
      </c>
      <c r="I19" s="688">
        <v>1134.1042338023988</v>
      </c>
      <c r="J19" s="688">
        <v>1134.1014938237759</v>
      </c>
      <c r="K19" s="688">
        <v>1134.1184066695323</v>
      </c>
      <c r="L19" s="688">
        <v>1134.0610446158053</v>
      </c>
      <c r="M19" s="688">
        <v>1134.0557999512521</v>
      </c>
      <c r="N19" s="688">
        <v>1134.0770350327748</v>
      </c>
      <c r="O19" s="688">
        <v>1134.0875329060007</v>
      </c>
      <c r="P19" s="688">
        <v>1134.0940371259255</v>
      </c>
      <c r="Q19" s="688">
        <v>1134.0965325613979</v>
      </c>
      <c r="R19" s="688">
        <v>1134.0968256858587</v>
      </c>
      <c r="S19" s="688">
        <v>1134.0949470566522</v>
      </c>
      <c r="T19" s="688">
        <v>1134.0921396034651</v>
      </c>
      <c r="U19" s="688">
        <v>1134.0900024029031</v>
      </c>
      <c r="V19" s="688">
        <v>1134.0888164529454</v>
      </c>
      <c r="W19" s="688">
        <v>1134.0877600053761</v>
      </c>
      <c r="X19" s="688">
        <v>1134.0852061166963</v>
      </c>
      <c r="Y19" s="688">
        <v>1134.0872195751037</v>
      </c>
      <c r="Z19" s="688">
        <v>1134.0898378770914</v>
      </c>
      <c r="AA19" s="688">
        <v>1134.0909047807845</v>
      </c>
      <c r="AB19" s="688">
        <v>1134.09118577035</v>
      </c>
      <c r="AC19" s="688">
        <v>1134.0909481573854</v>
      </c>
      <c r="AD19" s="688">
        <v>1134.0904827903844</v>
      </c>
      <c r="AE19" s="688">
        <v>1134.0899542157615</v>
      </c>
      <c r="AF19" s="688">
        <v>1134.0895381456874</v>
      </c>
    </row>
    <row r="20" spans="1:32">
      <c r="A20" s="687" t="s">
        <v>260</v>
      </c>
      <c r="B20" s="7"/>
      <c r="C20" s="438">
        <f t="shared" si="0"/>
        <v>230.17011708544277</v>
      </c>
      <c r="D20" s="359">
        <f t="shared" si="1"/>
        <v>230.15110867512271</v>
      </c>
      <c r="F20" s="4" t="s">
        <v>620</v>
      </c>
      <c r="I20" s="688">
        <v>19.185276078954839</v>
      </c>
      <c r="J20" s="688">
        <v>19.188554669224803</v>
      </c>
      <c r="K20" s="688">
        <v>19.191093051769247</v>
      </c>
      <c r="L20" s="688">
        <v>19.185800646201475</v>
      </c>
      <c r="M20" s="688">
        <v>19.171354693512903</v>
      </c>
      <c r="N20" s="688">
        <v>19.17404413311095</v>
      </c>
      <c r="O20" s="688">
        <v>19.175991849492604</v>
      </c>
      <c r="P20" s="688">
        <v>19.177634249161638</v>
      </c>
      <c r="Q20" s="688">
        <v>19.17895514549971</v>
      </c>
      <c r="R20" s="688">
        <v>19.179941793149439</v>
      </c>
      <c r="S20" s="688">
        <v>19.18058590886292</v>
      </c>
      <c r="T20" s="688">
        <v>19.180884866502215</v>
      </c>
      <c r="U20" s="688">
        <v>19.180843090453564</v>
      </c>
      <c r="V20" s="688">
        <v>19.180473674745127</v>
      </c>
      <c r="W20" s="688">
        <v>19.179800258538481</v>
      </c>
      <c r="X20" s="688">
        <v>19.178859192435919</v>
      </c>
      <c r="Y20" s="688">
        <v>19.178280737955458</v>
      </c>
      <c r="Z20" s="688">
        <v>19.178857908325668</v>
      </c>
      <c r="AA20" s="688">
        <v>19.179259056260225</v>
      </c>
      <c r="AB20" s="688">
        <v>19.17953132349086</v>
      </c>
      <c r="AC20" s="688">
        <v>19.179689413018298</v>
      </c>
      <c r="AD20" s="688">
        <v>19.179750601978181</v>
      </c>
      <c r="AE20" s="688">
        <v>19.179734669380579</v>
      </c>
      <c r="AF20" s="688">
        <v>19.179663732757049</v>
      </c>
    </row>
    <row r="21" spans="1:32">
      <c r="A21" s="687" t="s">
        <v>265</v>
      </c>
      <c r="B21" s="7"/>
      <c r="C21" s="438">
        <f t="shared" si="0"/>
        <v>109.85379581046982</v>
      </c>
      <c r="D21" s="359">
        <f t="shared" si="1"/>
        <v>109.8439435605251</v>
      </c>
      <c r="F21" s="4" t="s">
        <v>621</v>
      </c>
      <c r="I21" s="688">
        <v>9.1568157667117624</v>
      </c>
      <c r="J21" s="688">
        <v>9.1577226642948055</v>
      </c>
      <c r="K21" s="688">
        <v>9.1576917130950797</v>
      </c>
      <c r="L21" s="688">
        <v>9.1565603070822412</v>
      </c>
      <c r="M21" s="688">
        <v>9.1541452520596565</v>
      </c>
      <c r="N21" s="688">
        <v>9.1502404635119063</v>
      </c>
      <c r="O21" s="688">
        <v>9.1515588681780038</v>
      </c>
      <c r="P21" s="688">
        <v>9.1526323741066555</v>
      </c>
      <c r="Q21" s="688">
        <v>9.1534592345623054</v>
      </c>
      <c r="R21" s="688">
        <v>9.154043131148196</v>
      </c>
      <c r="S21" s="688">
        <v>9.154394425557598</v>
      </c>
      <c r="T21" s="688">
        <v>9.154531610161591</v>
      </c>
      <c r="U21" s="688">
        <v>9.1544829842058171</v>
      </c>
      <c r="V21" s="688">
        <v>9.1542885856636538</v>
      </c>
      <c r="W21" s="688">
        <v>9.1540024124443917</v>
      </c>
      <c r="X21" s="688">
        <v>9.1536949707235031</v>
      </c>
      <c r="Y21" s="688">
        <v>9.1534561926936071</v>
      </c>
      <c r="Z21" s="688">
        <v>9.1533987710797717</v>
      </c>
      <c r="AA21" s="688">
        <v>9.1536619633770897</v>
      </c>
      <c r="AB21" s="688">
        <v>9.1538372213103472</v>
      </c>
      <c r="AC21" s="688">
        <v>9.1539376252439908</v>
      </c>
      <c r="AD21" s="688">
        <v>9.1539774911341318</v>
      </c>
      <c r="AE21" s="688">
        <v>9.153972021132958</v>
      </c>
      <c r="AF21" s="688">
        <v>9.1539368207642369</v>
      </c>
    </row>
    <row r="22" spans="1:32">
      <c r="A22" s="687" t="s">
        <v>267</v>
      </c>
      <c r="B22" s="7"/>
      <c r="C22" s="438">
        <f t="shared" si="0"/>
        <v>12</v>
      </c>
      <c r="D22" s="359">
        <f t="shared" si="1"/>
        <v>12</v>
      </c>
      <c r="F22" s="4" t="s">
        <v>622</v>
      </c>
      <c r="I22" s="688">
        <v>1</v>
      </c>
      <c r="J22" s="688">
        <v>1</v>
      </c>
      <c r="K22" s="688">
        <v>1</v>
      </c>
      <c r="L22" s="688">
        <v>1</v>
      </c>
      <c r="M22" s="688">
        <v>1</v>
      </c>
      <c r="N22" s="688">
        <v>1</v>
      </c>
      <c r="O22" s="688">
        <v>1</v>
      </c>
      <c r="P22" s="688">
        <v>1</v>
      </c>
      <c r="Q22" s="688">
        <v>1</v>
      </c>
      <c r="R22" s="688">
        <v>1</v>
      </c>
      <c r="S22" s="688">
        <v>1</v>
      </c>
      <c r="T22" s="688">
        <v>1</v>
      </c>
      <c r="U22" s="688">
        <v>1</v>
      </c>
      <c r="V22" s="688">
        <v>1</v>
      </c>
      <c r="W22" s="688">
        <v>1</v>
      </c>
      <c r="X22" s="688">
        <v>1</v>
      </c>
      <c r="Y22" s="688">
        <v>1</v>
      </c>
      <c r="Z22" s="688">
        <v>1</v>
      </c>
      <c r="AA22" s="688">
        <v>1</v>
      </c>
      <c r="AB22" s="688">
        <v>1</v>
      </c>
      <c r="AC22" s="688">
        <v>1</v>
      </c>
      <c r="AD22" s="688">
        <v>1</v>
      </c>
      <c r="AE22" s="688">
        <v>1</v>
      </c>
      <c r="AF22" s="688">
        <v>1</v>
      </c>
    </row>
    <row r="23" spans="1:32">
      <c r="A23" s="687" t="s">
        <v>266</v>
      </c>
      <c r="C23" s="438">
        <f t="shared" si="0"/>
        <v>8913.2289000000001</v>
      </c>
      <c r="D23" s="359">
        <f t="shared" si="1"/>
        <v>8956.2910000000011</v>
      </c>
      <c r="F23" s="4" t="s">
        <v>623</v>
      </c>
      <c r="I23" s="688">
        <v>739.4787</v>
      </c>
      <c r="J23" s="688">
        <v>740.07730000000004</v>
      </c>
      <c r="K23" s="688">
        <v>740.67630000000008</v>
      </c>
      <c r="L23" s="688">
        <v>741.27419999999995</v>
      </c>
      <c r="M23" s="688">
        <v>741.8723</v>
      </c>
      <c r="N23" s="688">
        <v>742.4701</v>
      </c>
      <c r="O23" s="688">
        <v>743.06799999999998</v>
      </c>
      <c r="P23" s="688">
        <v>743.6662</v>
      </c>
      <c r="Q23" s="688">
        <v>744.26430000000005</v>
      </c>
      <c r="R23" s="688">
        <v>744.86240000000009</v>
      </c>
      <c r="S23" s="688">
        <v>745.46050000000002</v>
      </c>
      <c r="T23" s="688">
        <v>746.05860000000007</v>
      </c>
      <c r="U23" s="688">
        <v>746.6567</v>
      </c>
      <c r="V23" s="688">
        <v>747.25469999999996</v>
      </c>
      <c r="W23" s="688">
        <v>747.8528</v>
      </c>
      <c r="X23" s="688">
        <v>748.45089999999993</v>
      </c>
      <c r="Y23" s="688">
        <v>749.0489</v>
      </c>
      <c r="Z23" s="688">
        <v>749.64700000000005</v>
      </c>
      <c r="AA23" s="688">
        <v>750.24509999999998</v>
      </c>
      <c r="AB23" s="688">
        <v>750.84320000000002</v>
      </c>
      <c r="AC23" s="688">
        <v>751.44119999999998</v>
      </c>
      <c r="AD23" s="688">
        <v>752.03929999999991</v>
      </c>
      <c r="AE23" s="688">
        <v>752.63740000000007</v>
      </c>
      <c r="AF23" s="688">
        <v>753.23540000000003</v>
      </c>
    </row>
    <row r="24" spans="1:32">
      <c r="A24" s="687" t="s">
        <v>261</v>
      </c>
      <c r="C24" s="438">
        <f t="shared" si="0"/>
        <v>8372.1987000000008</v>
      </c>
      <c r="D24" s="359">
        <f t="shared" si="1"/>
        <v>8441.557499999999</v>
      </c>
      <c r="F24" s="4" t="s">
        <v>624</v>
      </c>
      <c r="I24" s="688">
        <v>695.45169999999996</v>
      </c>
      <c r="J24" s="688">
        <v>694.96490000000006</v>
      </c>
      <c r="K24" s="688">
        <v>693.55619999999999</v>
      </c>
      <c r="L24" s="688">
        <v>693.83710000000008</v>
      </c>
      <c r="M24" s="688">
        <v>695.26769999999999</v>
      </c>
      <c r="N24" s="688">
        <v>695.97469999999998</v>
      </c>
      <c r="O24" s="688">
        <v>697.07679999999993</v>
      </c>
      <c r="P24" s="688">
        <v>700.80610000000001</v>
      </c>
      <c r="Q24" s="688">
        <v>699.60220000000004</v>
      </c>
      <c r="R24" s="688">
        <v>701.62620000000004</v>
      </c>
      <c r="S24" s="688">
        <v>701.75059999999996</v>
      </c>
      <c r="T24" s="688">
        <v>702.28449999999998</v>
      </c>
      <c r="U24" s="688">
        <v>706.63609999999994</v>
      </c>
      <c r="V24" s="688">
        <v>706.64919999999995</v>
      </c>
      <c r="W24" s="688">
        <v>705.58929999999998</v>
      </c>
      <c r="X24" s="688">
        <v>705.51089999999999</v>
      </c>
      <c r="Y24" s="688">
        <v>706.06680000000006</v>
      </c>
      <c r="Z24" s="688">
        <v>707.9588</v>
      </c>
      <c r="AA24" s="688">
        <v>710.5467000000001</v>
      </c>
      <c r="AB24" s="688">
        <v>714.2835</v>
      </c>
      <c r="AC24" s="688">
        <v>712.06730000000005</v>
      </c>
      <c r="AD24" s="688">
        <v>713.66269999999997</v>
      </c>
      <c r="AE24" s="688">
        <v>714.49249999999995</v>
      </c>
      <c r="AF24" s="688">
        <v>715.06020000000001</v>
      </c>
    </row>
    <row r="25" spans="1:32">
      <c r="A25" s="687" t="s">
        <v>262</v>
      </c>
      <c r="B25" s="7"/>
      <c r="C25" s="438">
        <f t="shared" si="0"/>
        <v>1744.8934777139884</v>
      </c>
      <c r="D25" s="359">
        <f t="shared" si="1"/>
        <v>1744.9265272982959</v>
      </c>
      <c r="F25" s="4" t="s">
        <v>625</v>
      </c>
      <c r="I25" s="688">
        <v>145.39025415684668</v>
      </c>
      <c r="J25" s="688">
        <v>145.39229633490717</v>
      </c>
      <c r="K25" s="688">
        <v>145.39891322211079</v>
      </c>
      <c r="L25" s="688">
        <v>145.40390864374484</v>
      </c>
      <c r="M25" s="688">
        <v>145.42085529383101</v>
      </c>
      <c r="N25" s="688">
        <v>145.42393257557219</v>
      </c>
      <c r="O25" s="688">
        <v>145.41765568695197</v>
      </c>
      <c r="P25" s="688">
        <v>145.41317571104616</v>
      </c>
      <c r="Q25" s="688">
        <v>145.41016056849048</v>
      </c>
      <c r="R25" s="688">
        <v>145.40815409193934</v>
      </c>
      <c r="S25" s="688">
        <v>145.40713166597439</v>
      </c>
      <c r="T25" s="688">
        <v>145.40703976257331</v>
      </c>
      <c r="U25" s="688">
        <v>145.40778980949904</v>
      </c>
      <c r="V25" s="688">
        <v>145.40925111388674</v>
      </c>
      <c r="W25" s="688">
        <v>145.41066401213502</v>
      </c>
      <c r="X25" s="688">
        <v>145.41164324463702</v>
      </c>
      <c r="Y25" s="688">
        <v>145.41228779471137</v>
      </c>
      <c r="Z25" s="688">
        <v>145.4115738364514</v>
      </c>
      <c r="AA25" s="688">
        <v>145.41054394152465</v>
      </c>
      <c r="AB25" s="688">
        <v>145.40995129607239</v>
      </c>
      <c r="AC25" s="688">
        <v>145.4096825948246</v>
      </c>
      <c r="AD25" s="688">
        <v>145.40964276368578</v>
      </c>
      <c r="AE25" s="688">
        <v>145.40976681966464</v>
      </c>
      <c r="AF25" s="688">
        <v>145.40998641580549</v>
      </c>
    </row>
    <row r="26" spans="1:32">
      <c r="A26" s="428"/>
      <c r="B26" s="7"/>
      <c r="C26" s="359"/>
      <c r="D26" s="359"/>
    </row>
    <row r="27" spans="1:32">
      <c r="A27" s="436" t="s">
        <v>356</v>
      </c>
      <c r="B27" s="7"/>
      <c r="C27" s="359"/>
      <c r="D27" s="359"/>
    </row>
    <row r="28" spans="1:32" s="8" customFormat="1">
      <c r="A28" s="434" t="s">
        <v>31</v>
      </c>
      <c r="B28" s="9"/>
      <c r="C28" s="358">
        <f>SUM(C6:C15)</f>
        <v>2965375.9890540051</v>
      </c>
      <c r="D28" s="358">
        <f>SUM(D6:D15)</f>
        <v>2980980.2843739036</v>
      </c>
      <c r="F28" s="4" t="s">
        <v>626</v>
      </c>
      <c r="I28" s="358">
        <f>SUM(I6:I15)</f>
        <v>246712.59262613722</v>
      </c>
      <c r="J28" s="358">
        <f t="shared" ref="J28:AF28" si="2">SUM(J6:J15)</f>
        <v>246897.78650026032</v>
      </c>
      <c r="K28" s="358">
        <f t="shared" si="2"/>
        <v>246886.28890113911</v>
      </c>
      <c r="L28" s="358">
        <f t="shared" si="2"/>
        <v>246790.00795424587</v>
      </c>
      <c r="M28" s="358">
        <f t="shared" si="2"/>
        <v>246531.86718841811</v>
      </c>
      <c r="N28" s="358">
        <f t="shared" si="2"/>
        <v>245958.93021679786</v>
      </c>
      <c r="O28" s="358">
        <f t="shared" si="2"/>
        <v>246435.95542012691</v>
      </c>
      <c r="P28" s="358">
        <f t="shared" si="2"/>
        <v>246538.24055514415</v>
      </c>
      <c r="Q28" s="358">
        <f t="shared" si="2"/>
        <v>247163.72276831153</v>
      </c>
      <c r="R28" s="358">
        <f t="shared" si="2"/>
        <v>247895.74219986075</v>
      </c>
      <c r="S28" s="358">
        <f t="shared" si="2"/>
        <v>248459.68176814949</v>
      </c>
      <c r="T28" s="358">
        <f t="shared" si="2"/>
        <v>249105.17295541387</v>
      </c>
      <c r="U28" s="358">
        <f t="shared" si="2"/>
        <v>249324.47674616709</v>
      </c>
      <c r="V28" s="358">
        <f t="shared" si="2"/>
        <v>249603.76938950297</v>
      </c>
      <c r="W28" s="358">
        <f t="shared" si="2"/>
        <v>249406.6572636065</v>
      </c>
      <c r="X28" s="358">
        <f t="shared" si="2"/>
        <v>249338.34911047877</v>
      </c>
      <c r="Y28" s="358">
        <f t="shared" si="2"/>
        <v>249118.58019016482</v>
      </c>
      <c r="Z28" s="358">
        <f t="shared" si="2"/>
        <v>248589.93600697705</v>
      </c>
      <c r="AA28" s="358">
        <f t="shared" si="2"/>
        <v>249030.81523949199</v>
      </c>
      <c r="AB28" s="358">
        <f t="shared" si="2"/>
        <v>249131.61029110572</v>
      </c>
      <c r="AC28" s="358">
        <f t="shared" si="2"/>
        <v>249794.45970243585</v>
      </c>
      <c r="AD28" s="358">
        <f t="shared" si="2"/>
        <v>250517.54817194626</v>
      </c>
      <c r="AE28" s="358">
        <f t="shared" si="2"/>
        <v>251161.95900295337</v>
      </c>
      <c r="AF28" s="358">
        <f t="shared" si="2"/>
        <v>251780.97355585368</v>
      </c>
    </row>
    <row r="29" spans="1:32" s="8" customFormat="1">
      <c r="A29" s="425" t="s">
        <v>257</v>
      </c>
      <c r="B29" s="9"/>
      <c r="C29" s="358">
        <f>SUM(C16:C25)</f>
        <v>1560976.3956194445</v>
      </c>
      <c r="D29" s="358">
        <f>SUM(D16:D25)</f>
        <v>1569626.8654369034</v>
      </c>
      <c r="F29" s="4" t="s">
        <v>627</v>
      </c>
      <c r="I29" s="358">
        <f>SUM(I16:I25)</f>
        <v>129875.59367980492</v>
      </c>
      <c r="J29" s="358">
        <f t="shared" ref="J29:AF29" si="3">SUM(J16:J25)</f>
        <v>129871.71006749221</v>
      </c>
      <c r="K29" s="358">
        <f t="shared" si="3"/>
        <v>129852.92730465651</v>
      </c>
      <c r="L29" s="358">
        <f t="shared" si="3"/>
        <v>129767.74821421283</v>
      </c>
      <c r="M29" s="358">
        <f t="shared" si="3"/>
        <v>129611.77245519066</v>
      </c>
      <c r="N29" s="358">
        <f t="shared" si="3"/>
        <v>129458.10105220499</v>
      </c>
      <c r="O29" s="358">
        <f t="shared" si="3"/>
        <v>129846.80913931063</v>
      </c>
      <c r="P29" s="358">
        <f t="shared" si="3"/>
        <v>129797.14187946025</v>
      </c>
      <c r="Q29" s="358">
        <f t="shared" si="3"/>
        <v>130427.53820750992</v>
      </c>
      <c r="R29" s="358">
        <f t="shared" si="3"/>
        <v>130525.16056470209</v>
      </c>
      <c r="S29" s="358">
        <f t="shared" si="3"/>
        <v>130759.88155905704</v>
      </c>
      <c r="T29" s="358">
        <f t="shared" si="3"/>
        <v>131182.01149584269</v>
      </c>
      <c r="U29" s="358">
        <f t="shared" si="3"/>
        <v>131303.96001828706</v>
      </c>
      <c r="V29" s="358">
        <f t="shared" si="3"/>
        <v>131312.57102982726</v>
      </c>
      <c r="W29" s="358">
        <f t="shared" si="3"/>
        <v>131294.1089266885</v>
      </c>
      <c r="X29" s="358">
        <f t="shared" si="3"/>
        <v>131208.62600352449</v>
      </c>
      <c r="Y29" s="358">
        <f t="shared" si="3"/>
        <v>131057.78194430044</v>
      </c>
      <c r="Z29" s="358">
        <f t="shared" si="3"/>
        <v>130911.27466839294</v>
      </c>
      <c r="AA29" s="358">
        <f t="shared" si="3"/>
        <v>131302.46146974195</v>
      </c>
      <c r="AB29" s="358">
        <f t="shared" si="3"/>
        <v>131257.79670561122</v>
      </c>
      <c r="AC29" s="358">
        <f t="shared" si="3"/>
        <v>131888.17835779049</v>
      </c>
      <c r="AD29" s="358">
        <f t="shared" si="3"/>
        <v>131987.37155364719</v>
      </c>
      <c r="AE29" s="358">
        <f t="shared" si="3"/>
        <v>132224.79912772594</v>
      </c>
      <c r="AF29" s="358">
        <f t="shared" si="3"/>
        <v>132651.96462511504</v>
      </c>
    </row>
    <row r="30" spans="1:32" s="8" customFormat="1">
      <c r="A30" s="435"/>
      <c r="B30" s="9"/>
      <c r="C30" s="358"/>
      <c r="D30" s="358"/>
      <c r="F30" s="4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</row>
    <row r="31" spans="1:32">
      <c r="A31" s="689" t="s">
        <v>355</v>
      </c>
      <c r="B31" s="5"/>
      <c r="C31" s="359">
        <f>SUM(C6:C25)</f>
        <v>4526352.3846734501</v>
      </c>
      <c r="D31" s="359">
        <f>SUM(D6:D25)</f>
        <v>4550607.1498108068</v>
      </c>
      <c r="F31" s="4" t="s">
        <v>628</v>
      </c>
      <c r="I31" s="359">
        <f>SUM(I6:I25)</f>
        <v>376588.18630594201</v>
      </c>
      <c r="J31" s="359">
        <f t="shared" ref="J31:AF31" si="4">SUM(J6:J25)</f>
        <v>376769.4965677525</v>
      </c>
      <c r="K31" s="359">
        <f t="shared" si="4"/>
        <v>376739.21620579559</v>
      </c>
      <c r="L31" s="359">
        <f t="shared" si="4"/>
        <v>376557.75616845873</v>
      </c>
      <c r="M31" s="359">
        <f t="shared" si="4"/>
        <v>376143.63964360877</v>
      </c>
      <c r="N31" s="359">
        <f t="shared" si="4"/>
        <v>375417.03126900282</v>
      </c>
      <c r="O31" s="359">
        <f t="shared" si="4"/>
        <v>376282.76455943752</v>
      </c>
      <c r="P31" s="359">
        <f t="shared" si="4"/>
        <v>376335.38243460434</v>
      </c>
      <c r="Q31" s="359">
        <f t="shared" si="4"/>
        <v>377591.26097582147</v>
      </c>
      <c r="R31" s="359">
        <f t="shared" si="4"/>
        <v>378420.90276456281</v>
      </c>
      <c r="S31" s="359">
        <f t="shared" si="4"/>
        <v>379219.56332720659</v>
      </c>
      <c r="T31" s="359">
        <f t="shared" si="4"/>
        <v>380287.18445125659</v>
      </c>
      <c r="U31" s="359">
        <f t="shared" si="4"/>
        <v>380628.43676445412</v>
      </c>
      <c r="V31" s="359">
        <f t="shared" si="4"/>
        <v>380916.34041933011</v>
      </c>
      <c r="W31" s="359">
        <f t="shared" si="4"/>
        <v>380700.76619029499</v>
      </c>
      <c r="X31" s="359">
        <f t="shared" si="4"/>
        <v>380546.97511400323</v>
      </c>
      <c r="Y31" s="359">
        <f t="shared" si="4"/>
        <v>380176.36213446531</v>
      </c>
      <c r="Z31" s="359">
        <f t="shared" si="4"/>
        <v>379501.21067537001</v>
      </c>
      <c r="AA31" s="359">
        <f t="shared" si="4"/>
        <v>380333.27670923393</v>
      </c>
      <c r="AB31" s="359">
        <f t="shared" si="4"/>
        <v>380389.40699671692</v>
      </c>
      <c r="AC31" s="359">
        <f t="shared" si="4"/>
        <v>381682.63806022628</v>
      </c>
      <c r="AD31" s="359">
        <f t="shared" si="4"/>
        <v>382504.91972559341</v>
      </c>
      <c r="AE31" s="359">
        <f t="shared" si="4"/>
        <v>383386.75813067931</v>
      </c>
      <c r="AF31" s="359">
        <f t="shared" si="4"/>
        <v>384432.93818096875</v>
      </c>
    </row>
    <row r="32" spans="1:32">
      <c r="A32" s="615"/>
      <c r="B32" s="615"/>
      <c r="C32" s="615"/>
      <c r="D32" s="615"/>
    </row>
    <row r="33" spans="1:32">
      <c r="A33" s="615"/>
      <c r="B33" s="615"/>
      <c r="C33" s="615"/>
      <c r="D33" s="615"/>
    </row>
    <row r="34" spans="1:32">
      <c r="A34" s="615"/>
      <c r="B34" s="615"/>
      <c r="C34" s="690" t="s">
        <v>8</v>
      </c>
      <c r="D34" s="690" t="s">
        <v>8</v>
      </c>
    </row>
    <row r="35" spans="1:32">
      <c r="B35" s="9"/>
      <c r="C35" s="347">
        <f>C4</f>
        <v>2017</v>
      </c>
      <c r="D35" s="347" t="str">
        <f>D4</f>
        <v>12 ME 06.2018</v>
      </c>
      <c r="I35" s="686">
        <v>42736</v>
      </c>
      <c r="J35" s="686">
        <v>42767</v>
      </c>
      <c r="K35" s="686">
        <v>42795</v>
      </c>
      <c r="L35" s="686">
        <v>42826</v>
      </c>
      <c r="M35" s="686">
        <v>42856</v>
      </c>
      <c r="N35" s="686">
        <v>42887</v>
      </c>
      <c r="O35" s="686">
        <v>42917</v>
      </c>
      <c r="P35" s="686">
        <v>42948</v>
      </c>
      <c r="Q35" s="686">
        <v>42979</v>
      </c>
      <c r="R35" s="686">
        <v>43009</v>
      </c>
      <c r="S35" s="686">
        <v>43040</v>
      </c>
      <c r="T35" s="686">
        <v>43070</v>
      </c>
      <c r="U35" s="686">
        <v>43101</v>
      </c>
      <c r="V35" s="686">
        <v>43132</v>
      </c>
      <c r="W35" s="686">
        <v>43160</v>
      </c>
      <c r="X35" s="686">
        <v>43191</v>
      </c>
      <c r="Y35" s="686">
        <v>43221</v>
      </c>
      <c r="Z35" s="686">
        <v>43252</v>
      </c>
      <c r="AA35" s="686">
        <v>43282</v>
      </c>
      <c r="AB35" s="686">
        <v>43313</v>
      </c>
      <c r="AC35" s="686">
        <v>43344</v>
      </c>
      <c r="AD35" s="686">
        <v>43374</v>
      </c>
      <c r="AE35" s="686">
        <v>43405</v>
      </c>
      <c r="AF35" s="686">
        <v>43435</v>
      </c>
    </row>
    <row r="36" spans="1:32" hidden="1">
      <c r="A36" s="6" t="s">
        <v>43</v>
      </c>
      <c r="C36" s="235"/>
      <c r="D36" s="359"/>
    </row>
    <row r="37" spans="1:32" hidden="1">
      <c r="B37" s="7" t="s">
        <v>31</v>
      </c>
      <c r="C37" s="235">
        <v>5752629623.1252184</v>
      </c>
      <c r="D37" s="359"/>
    </row>
    <row r="38" spans="1:32" hidden="1">
      <c r="C38" s="236"/>
      <c r="D38" s="359"/>
    </row>
    <row r="39" spans="1:32">
      <c r="D39" s="359"/>
    </row>
    <row r="40" spans="1:32" ht="15">
      <c r="A40" s="433" t="s">
        <v>44</v>
      </c>
      <c r="B40" s="435"/>
      <c r="C40" s="234"/>
      <c r="D40" s="359"/>
    </row>
    <row r="41" spans="1:32">
      <c r="A41" s="436" t="s">
        <v>45</v>
      </c>
      <c r="B41" s="435"/>
      <c r="C41" s="359"/>
      <c r="D41" s="359"/>
    </row>
    <row r="42" spans="1:32">
      <c r="A42" s="427" t="s">
        <v>36</v>
      </c>
      <c r="B42" s="430" t="s">
        <v>357</v>
      </c>
      <c r="C42" s="438">
        <f t="shared" ref="C42:C52" si="5">SUM(I42:T42)</f>
        <v>390215.48</v>
      </c>
      <c r="D42" s="359">
        <f t="shared" ref="D42:D52" si="6">SUM(O42:Z42)</f>
        <v>390215.48</v>
      </c>
      <c r="F42" s="4" t="s">
        <v>629</v>
      </c>
      <c r="I42" s="688">
        <v>31379.5</v>
      </c>
      <c r="J42" s="688">
        <v>31621.03</v>
      </c>
      <c r="K42" s="688">
        <v>31496.87</v>
      </c>
      <c r="L42" s="688">
        <v>28333.7</v>
      </c>
      <c r="M42" s="688">
        <v>28732.37</v>
      </c>
      <c r="N42" s="688">
        <v>28120.3</v>
      </c>
      <c r="O42" s="688">
        <v>31520.149999999998</v>
      </c>
      <c r="P42" s="688">
        <v>37174.28</v>
      </c>
      <c r="Q42" s="688">
        <v>37696.14</v>
      </c>
      <c r="R42" s="688">
        <v>36015.129999999997</v>
      </c>
      <c r="S42" s="688">
        <v>32889.79</v>
      </c>
      <c r="T42" s="688">
        <v>35236.22</v>
      </c>
      <c r="U42" s="688">
        <v>31379.5</v>
      </c>
      <c r="V42" s="688">
        <v>31621.03</v>
      </c>
      <c r="W42" s="688">
        <v>31496.87</v>
      </c>
      <c r="X42" s="688">
        <v>28333.7</v>
      </c>
      <c r="Y42" s="688">
        <v>28732.37</v>
      </c>
      <c r="Z42" s="688">
        <v>28120.3</v>
      </c>
      <c r="AA42" s="688">
        <v>31520.149999999998</v>
      </c>
      <c r="AB42" s="688">
        <v>37174.28</v>
      </c>
      <c r="AC42" s="688">
        <v>37696.14</v>
      </c>
      <c r="AD42" s="688">
        <v>36015.129999999997</v>
      </c>
      <c r="AE42" s="688">
        <v>32889.79</v>
      </c>
      <c r="AF42" s="688">
        <v>35236.22</v>
      </c>
    </row>
    <row r="43" spans="1:32">
      <c r="A43" s="427" t="s">
        <v>33</v>
      </c>
      <c r="B43" s="430" t="s">
        <v>357</v>
      </c>
      <c r="C43" s="438">
        <f t="shared" si="5"/>
        <v>12068.519999999999</v>
      </c>
      <c r="D43" s="359">
        <f t="shared" si="6"/>
        <v>12068.519999999997</v>
      </c>
      <c r="F43" s="4" t="s">
        <v>630</v>
      </c>
      <c r="I43" s="688">
        <v>970.5</v>
      </c>
      <c r="J43" s="688">
        <v>977.96999999999991</v>
      </c>
      <c r="K43" s="688">
        <v>974.13</v>
      </c>
      <c r="L43" s="688">
        <v>876.3</v>
      </c>
      <c r="M43" s="688">
        <v>888.63</v>
      </c>
      <c r="N43" s="688">
        <v>869.69999999999993</v>
      </c>
      <c r="O43" s="688">
        <v>974.84999999999991</v>
      </c>
      <c r="P43" s="688">
        <v>1149.72</v>
      </c>
      <c r="Q43" s="688">
        <v>1165.8599999999999</v>
      </c>
      <c r="R43" s="688">
        <v>1113.8699999999999</v>
      </c>
      <c r="S43" s="688">
        <v>1017.2099999999999</v>
      </c>
      <c r="T43" s="688">
        <v>1089.78</v>
      </c>
      <c r="U43" s="688">
        <v>970.5</v>
      </c>
      <c r="V43" s="688">
        <v>977.96999999999991</v>
      </c>
      <c r="W43" s="688">
        <v>974.13</v>
      </c>
      <c r="X43" s="688">
        <v>876.3</v>
      </c>
      <c r="Y43" s="688">
        <v>888.63</v>
      </c>
      <c r="Z43" s="688">
        <v>869.69999999999993</v>
      </c>
      <c r="AA43" s="688">
        <v>974.84999999999991</v>
      </c>
      <c r="AB43" s="688">
        <v>1149.72</v>
      </c>
      <c r="AC43" s="688">
        <v>1165.8599999999999</v>
      </c>
      <c r="AD43" s="688">
        <v>1113.8699999999999</v>
      </c>
      <c r="AE43" s="688">
        <v>1017.2099999999999</v>
      </c>
      <c r="AF43" s="688">
        <v>1089.78</v>
      </c>
    </row>
    <row r="44" spans="1:32">
      <c r="A44" s="427" t="s">
        <v>37</v>
      </c>
      <c r="B44" s="430" t="s">
        <v>358</v>
      </c>
      <c r="C44" s="438">
        <f t="shared" si="5"/>
        <v>2693173.2799999993</v>
      </c>
      <c r="D44" s="359">
        <f t="shared" si="6"/>
        <v>2693173.28</v>
      </c>
      <c r="F44" s="4" t="s">
        <v>631</v>
      </c>
      <c r="I44" s="688">
        <v>211116.5</v>
      </c>
      <c r="J44" s="688">
        <v>214424.98</v>
      </c>
      <c r="K44" s="688">
        <v>216484.94</v>
      </c>
      <c r="L44" s="688">
        <v>206100.86</v>
      </c>
      <c r="M44" s="688">
        <v>216928.88</v>
      </c>
      <c r="N44" s="688">
        <v>226776.9</v>
      </c>
      <c r="O44" s="688">
        <v>236474</v>
      </c>
      <c r="P44" s="688">
        <v>249477.62</v>
      </c>
      <c r="Q44" s="688">
        <v>250191.06</v>
      </c>
      <c r="R44" s="688">
        <v>234915.8</v>
      </c>
      <c r="S44" s="688">
        <v>213076.5</v>
      </c>
      <c r="T44" s="688">
        <v>217205.24</v>
      </c>
      <c r="U44" s="688">
        <v>211116.5</v>
      </c>
      <c r="V44" s="688">
        <v>214424.98</v>
      </c>
      <c r="W44" s="688">
        <v>216484.94</v>
      </c>
      <c r="X44" s="688">
        <v>206100.86</v>
      </c>
      <c r="Y44" s="688">
        <v>216928.88</v>
      </c>
      <c r="Z44" s="688">
        <v>226776.9</v>
      </c>
      <c r="AA44" s="688">
        <v>236474</v>
      </c>
      <c r="AB44" s="688">
        <v>249477.62</v>
      </c>
      <c r="AC44" s="688">
        <v>250191.06</v>
      </c>
      <c r="AD44" s="688">
        <v>234915.8</v>
      </c>
      <c r="AE44" s="688">
        <v>213076.5</v>
      </c>
      <c r="AF44" s="688">
        <v>217205.24</v>
      </c>
    </row>
    <row r="45" spans="1:32">
      <c r="A45" s="427" t="s">
        <v>34</v>
      </c>
      <c r="B45" s="430" t="s">
        <v>358</v>
      </c>
      <c r="C45" s="438">
        <f t="shared" si="5"/>
        <v>54962.720000000001</v>
      </c>
      <c r="D45" s="359">
        <f t="shared" si="6"/>
        <v>54962.720000000001</v>
      </c>
      <c r="F45" s="4" t="s">
        <v>632</v>
      </c>
      <c r="I45" s="688">
        <v>4308.5</v>
      </c>
      <c r="J45" s="688">
        <v>4376.0200000000004</v>
      </c>
      <c r="K45" s="688">
        <v>4418.0600000000004</v>
      </c>
      <c r="L45" s="688">
        <v>4206.1400000000003</v>
      </c>
      <c r="M45" s="688">
        <v>4427.12</v>
      </c>
      <c r="N45" s="688">
        <v>4628.1000000000004</v>
      </c>
      <c r="O45" s="688">
        <v>4826</v>
      </c>
      <c r="P45" s="688">
        <v>5091.38</v>
      </c>
      <c r="Q45" s="688">
        <v>5105.9400000000005</v>
      </c>
      <c r="R45" s="688">
        <v>4794.2</v>
      </c>
      <c r="S45" s="688">
        <v>4348.5</v>
      </c>
      <c r="T45" s="688">
        <v>4432.76</v>
      </c>
      <c r="U45" s="688">
        <v>4308.5</v>
      </c>
      <c r="V45" s="688">
        <v>4376.0200000000004</v>
      </c>
      <c r="W45" s="688">
        <v>4418.0600000000004</v>
      </c>
      <c r="X45" s="688">
        <v>4206.1400000000003</v>
      </c>
      <c r="Y45" s="688">
        <v>4427.12</v>
      </c>
      <c r="Z45" s="688">
        <v>4628.1000000000004</v>
      </c>
      <c r="AA45" s="688">
        <v>4826</v>
      </c>
      <c r="AB45" s="688">
        <v>5091.38</v>
      </c>
      <c r="AC45" s="688">
        <v>5105.9400000000005</v>
      </c>
      <c r="AD45" s="688">
        <v>4794.2</v>
      </c>
      <c r="AE45" s="688">
        <v>4348.5</v>
      </c>
      <c r="AF45" s="688">
        <v>4432.76</v>
      </c>
    </row>
    <row r="46" spans="1:32">
      <c r="A46" s="427" t="s">
        <v>38</v>
      </c>
      <c r="B46" s="430" t="s">
        <v>633</v>
      </c>
      <c r="C46" s="438">
        <f t="shared" si="5"/>
        <v>1290752</v>
      </c>
      <c r="D46" s="359">
        <f t="shared" si="6"/>
        <v>1290752</v>
      </c>
      <c r="F46" s="4" t="s">
        <v>634</v>
      </c>
      <c r="I46" s="688">
        <v>105360</v>
      </c>
      <c r="J46" s="688">
        <v>103977</v>
      </c>
      <c r="K46" s="688">
        <v>104178</v>
      </c>
      <c r="L46" s="688">
        <v>107987</v>
      </c>
      <c r="M46" s="688">
        <v>110309</v>
      </c>
      <c r="N46" s="688">
        <v>114795</v>
      </c>
      <c r="O46" s="688">
        <v>112860</v>
      </c>
      <c r="P46" s="688">
        <v>109967</v>
      </c>
      <c r="Q46" s="688">
        <v>108524</v>
      </c>
      <c r="R46" s="688">
        <v>100931</v>
      </c>
      <c r="S46" s="688">
        <v>105340</v>
      </c>
      <c r="T46" s="688">
        <v>106524</v>
      </c>
      <c r="U46" s="688">
        <v>105360</v>
      </c>
      <c r="V46" s="688">
        <v>103977</v>
      </c>
      <c r="W46" s="688">
        <v>104178</v>
      </c>
      <c r="X46" s="688">
        <v>107987</v>
      </c>
      <c r="Y46" s="688">
        <v>110309</v>
      </c>
      <c r="Z46" s="688">
        <v>114795</v>
      </c>
      <c r="AA46" s="688">
        <v>112860</v>
      </c>
      <c r="AB46" s="688">
        <v>109967</v>
      </c>
      <c r="AC46" s="688">
        <v>108524</v>
      </c>
      <c r="AD46" s="688">
        <v>100931</v>
      </c>
      <c r="AE46" s="688">
        <v>105340</v>
      </c>
      <c r="AF46" s="688">
        <v>106524</v>
      </c>
    </row>
    <row r="47" spans="1:32">
      <c r="A47" s="427" t="s">
        <v>263</v>
      </c>
      <c r="B47" s="430" t="s">
        <v>357</v>
      </c>
      <c r="C47" s="438">
        <f t="shared" si="5"/>
        <v>238763.27152173902</v>
      </c>
      <c r="D47" s="359">
        <f t="shared" si="6"/>
        <v>238763.27152173911</v>
      </c>
      <c r="F47" s="4" t="s">
        <v>635</v>
      </c>
      <c r="I47" s="688">
        <v>20269.259999999998</v>
      </c>
      <c r="J47" s="688">
        <v>18862.47</v>
      </c>
      <c r="K47" s="688">
        <v>17665.560000000001</v>
      </c>
      <c r="L47" s="688">
        <v>16912.169999999998</v>
      </c>
      <c r="M47" s="688">
        <v>18290.25</v>
      </c>
      <c r="N47" s="688">
        <v>22031.46</v>
      </c>
      <c r="O47" s="688">
        <v>22090.86</v>
      </c>
      <c r="P47" s="688">
        <v>20284.11</v>
      </c>
      <c r="Q47" s="688">
        <v>20268.27</v>
      </c>
      <c r="R47" s="688">
        <v>21081.06</v>
      </c>
      <c r="S47" s="688">
        <v>20723.6915217391</v>
      </c>
      <c r="T47" s="688">
        <v>20284.11</v>
      </c>
      <c r="U47" s="688">
        <v>20269.259999999998</v>
      </c>
      <c r="V47" s="688">
        <v>18862.47</v>
      </c>
      <c r="W47" s="688">
        <v>17665.560000000001</v>
      </c>
      <c r="X47" s="688">
        <v>16912.169999999998</v>
      </c>
      <c r="Y47" s="688">
        <v>18290.25</v>
      </c>
      <c r="Z47" s="688">
        <v>22031.46</v>
      </c>
      <c r="AA47" s="688">
        <v>22090.86</v>
      </c>
      <c r="AB47" s="688">
        <v>20284.11</v>
      </c>
      <c r="AC47" s="688">
        <v>20268.27</v>
      </c>
      <c r="AD47" s="688">
        <v>21081.06</v>
      </c>
      <c r="AE47" s="688">
        <v>20723.6915217391</v>
      </c>
      <c r="AF47" s="688">
        <v>20284.11</v>
      </c>
    </row>
    <row r="48" spans="1:32">
      <c r="A48" s="427" t="s">
        <v>259</v>
      </c>
      <c r="B48" s="430" t="s">
        <v>357</v>
      </c>
      <c r="C48" s="438">
        <f t="shared" si="5"/>
        <v>2411.7502173913044</v>
      </c>
      <c r="D48" s="359">
        <f t="shared" si="6"/>
        <v>2411.750217391304</v>
      </c>
      <c r="F48" s="4" t="s">
        <v>636</v>
      </c>
      <c r="I48" s="688">
        <v>204.74</v>
      </c>
      <c r="J48" s="688">
        <v>190.53</v>
      </c>
      <c r="K48" s="688">
        <v>178.44</v>
      </c>
      <c r="L48" s="688">
        <v>170.83</v>
      </c>
      <c r="M48" s="688">
        <v>184.75</v>
      </c>
      <c r="N48" s="688">
        <v>222.54</v>
      </c>
      <c r="O48" s="688">
        <v>223.14000000000001</v>
      </c>
      <c r="P48" s="688">
        <v>204.89000000000001</v>
      </c>
      <c r="Q48" s="688">
        <v>204.73000000000002</v>
      </c>
      <c r="R48" s="688">
        <v>212.94</v>
      </c>
      <c r="S48" s="688">
        <v>209.33021739130399</v>
      </c>
      <c r="T48" s="688">
        <v>204.89000000000001</v>
      </c>
      <c r="U48" s="688">
        <v>204.74</v>
      </c>
      <c r="V48" s="688">
        <v>190.53</v>
      </c>
      <c r="W48" s="688">
        <v>178.44</v>
      </c>
      <c r="X48" s="688">
        <v>170.83</v>
      </c>
      <c r="Y48" s="688">
        <v>184.75</v>
      </c>
      <c r="Z48" s="688">
        <v>222.54</v>
      </c>
      <c r="AA48" s="688">
        <v>223.14000000000001</v>
      </c>
      <c r="AB48" s="688">
        <v>204.89000000000001</v>
      </c>
      <c r="AC48" s="688">
        <v>204.73000000000002</v>
      </c>
      <c r="AD48" s="688">
        <v>212.94</v>
      </c>
      <c r="AE48" s="688">
        <v>209.33021739130399</v>
      </c>
      <c r="AF48" s="688">
        <v>204.89000000000001</v>
      </c>
    </row>
    <row r="49" spans="1:32">
      <c r="A49" s="427" t="s">
        <v>264</v>
      </c>
      <c r="B49" s="430" t="s">
        <v>358</v>
      </c>
      <c r="C49" s="438">
        <f t="shared" si="5"/>
        <v>1321052.637228261</v>
      </c>
      <c r="D49" s="359">
        <f t="shared" si="6"/>
        <v>1321052.637228261</v>
      </c>
      <c r="F49" s="4" t="s">
        <v>637</v>
      </c>
      <c r="I49" s="688">
        <v>109965.24</v>
      </c>
      <c r="J49" s="688">
        <v>110539.44</v>
      </c>
      <c r="K49" s="688">
        <v>105349.86</v>
      </c>
      <c r="L49" s="688">
        <v>103470.84</v>
      </c>
      <c r="M49" s="688">
        <v>109377.18</v>
      </c>
      <c r="N49" s="688">
        <v>110350.35</v>
      </c>
      <c r="O49" s="688">
        <v>114397.47</v>
      </c>
      <c r="P49" s="688">
        <v>111514.59</v>
      </c>
      <c r="Q49" s="688">
        <v>110934.45</v>
      </c>
      <c r="R49" s="688">
        <v>111638.34</v>
      </c>
      <c r="S49" s="688">
        <v>112000.287228261</v>
      </c>
      <c r="T49" s="688">
        <v>111514.59</v>
      </c>
      <c r="U49" s="688">
        <v>109965.24</v>
      </c>
      <c r="V49" s="688">
        <v>110539.44</v>
      </c>
      <c r="W49" s="688">
        <v>105349.86</v>
      </c>
      <c r="X49" s="688">
        <v>103470.84</v>
      </c>
      <c r="Y49" s="688">
        <v>109377.18</v>
      </c>
      <c r="Z49" s="688">
        <v>110350.35</v>
      </c>
      <c r="AA49" s="688">
        <v>114397.47</v>
      </c>
      <c r="AB49" s="688">
        <v>111514.59</v>
      </c>
      <c r="AC49" s="688">
        <v>110934.45</v>
      </c>
      <c r="AD49" s="688">
        <v>111638.34</v>
      </c>
      <c r="AE49" s="688">
        <v>112000.287228261</v>
      </c>
      <c r="AF49" s="688">
        <v>111514.59</v>
      </c>
    </row>
    <row r="50" spans="1:32">
      <c r="A50" s="427" t="s">
        <v>260</v>
      </c>
      <c r="B50" s="430" t="s">
        <v>358</v>
      </c>
      <c r="C50" s="438">
        <f t="shared" si="5"/>
        <v>13343.9660326087</v>
      </c>
      <c r="D50" s="359">
        <f t="shared" si="6"/>
        <v>13343.966032608698</v>
      </c>
      <c r="F50" s="4" t="s">
        <v>638</v>
      </c>
      <c r="I50" s="688">
        <v>1110.76</v>
      </c>
      <c r="J50" s="688">
        <v>1116.56</v>
      </c>
      <c r="K50" s="688">
        <v>1064.1400000000001</v>
      </c>
      <c r="L50" s="688">
        <v>1045.1600000000001</v>
      </c>
      <c r="M50" s="688">
        <v>1104.82</v>
      </c>
      <c r="N50" s="688">
        <v>1114.6500000000001</v>
      </c>
      <c r="O50" s="688">
        <v>1155.53</v>
      </c>
      <c r="P50" s="688">
        <v>1126.4100000000001</v>
      </c>
      <c r="Q50" s="688">
        <v>1120.55</v>
      </c>
      <c r="R50" s="688">
        <v>1127.6600000000001</v>
      </c>
      <c r="S50" s="688">
        <v>1131.3160326087</v>
      </c>
      <c r="T50" s="688">
        <v>1126.4100000000001</v>
      </c>
      <c r="U50" s="688">
        <v>1110.76</v>
      </c>
      <c r="V50" s="688">
        <v>1116.56</v>
      </c>
      <c r="W50" s="688">
        <v>1064.1400000000001</v>
      </c>
      <c r="X50" s="688">
        <v>1045.1600000000001</v>
      </c>
      <c r="Y50" s="688">
        <v>1104.82</v>
      </c>
      <c r="Z50" s="688">
        <v>1114.6500000000001</v>
      </c>
      <c r="AA50" s="688">
        <v>1155.53</v>
      </c>
      <c r="AB50" s="688">
        <v>1126.4100000000001</v>
      </c>
      <c r="AC50" s="688">
        <v>1120.55</v>
      </c>
      <c r="AD50" s="688">
        <v>1127.6600000000001</v>
      </c>
      <c r="AE50" s="688">
        <v>1131.3160326087</v>
      </c>
      <c r="AF50" s="688">
        <v>1126.4100000000001</v>
      </c>
    </row>
    <row r="51" spans="1:32">
      <c r="A51" s="427" t="s">
        <v>265</v>
      </c>
      <c r="B51" s="430" t="s">
        <v>633</v>
      </c>
      <c r="C51" s="438">
        <f t="shared" si="5"/>
        <v>347184.28623188409</v>
      </c>
      <c r="D51" s="359">
        <f t="shared" si="6"/>
        <v>347184.28623188409</v>
      </c>
      <c r="F51" s="4" t="s">
        <v>639</v>
      </c>
      <c r="I51" s="688">
        <v>27040</v>
      </c>
      <c r="J51" s="688">
        <v>26866</v>
      </c>
      <c r="K51" s="688">
        <v>27629</v>
      </c>
      <c r="L51" s="688">
        <v>27965</v>
      </c>
      <c r="M51" s="688">
        <v>28882</v>
      </c>
      <c r="N51" s="688">
        <v>29368</v>
      </c>
      <c r="O51" s="688">
        <v>28850</v>
      </c>
      <c r="P51" s="688">
        <v>30459</v>
      </c>
      <c r="Q51" s="688">
        <v>31747</v>
      </c>
      <c r="R51" s="688">
        <v>28744</v>
      </c>
      <c r="S51" s="688">
        <v>29175.2862318841</v>
      </c>
      <c r="T51" s="688">
        <v>30459</v>
      </c>
      <c r="U51" s="688">
        <v>27040</v>
      </c>
      <c r="V51" s="688">
        <v>26866</v>
      </c>
      <c r="W51" s="688">
        <v>27629</v>
      </c>
      <c r="X51" s="688">
        <v>27965</v>
      </c>
      <c r="Y51" s="688">
        <v>28882</v>
      </c>
      <c r="Z51" s="688">
        <v>29368</v>
      </c>
      <c r="AA51" s="688">
        <v>28850</v>
      </c>
      <c r="AB51" s="688">
        <v>30459</v>
      </c>
      <c r="AC51" s="688">
        <v>31747</v>
      </c>
      <c r="AD51" s="688">
        <v>28744</v>
      </c>
      <c r="AE51" s="688">
        <v>29175.2862318841</v>
      </c>
      <c r="AF51" s="688">
        <v>30459</v>
      </c>
    </row>
    <row r="52" spans="1:32">
      <c r="A52" s="427" t="s">
        <v>267</v>
      </c>
      <c r="B52" s="430" t="s">
        <v>633</v>
      </c>
      <c r="C52" s="438">
        <f t="shared" si="5"/>
        <v>624000</v>
      </c>
      <c r="D52" s="359">
        <f t="shared" si="6"/>
        <v>624000</v>
      </c>
      <c r="F52" s="4" t="s">
        <v>640</v>
      </c>
      <c r="I52" s="688">
        <v>52000</v>
      </c>
      <c r="J52" s="688">
        <v>52000</v>
      </c>
      <c r="K52" s="688">
        <v>52000</v>
      </c>
      <c r="L52" s="688">
        <v>52000</v>
      </c>
      <c r="M52" s="688">
        <v>52000</v>
      </c>
      <c r="N52" s="688">
        <v>52000</v>
      </c>
      <c r="O52" s="688">
        <v>52000</v>
      </c>
      <c r="P52" s="688">
        <v>52000</v>
      </c>
      <c r="Q52" s="688">
        <v>52000</v>
      </c>
      <c r="R52" s="688">
        <v>52000</v>
      </c>
      <c r="S52" s="688">
        <v>52000</v>
      </c>
      <c r="T52" s="688">
        <v>52000</v>
      </c>
      <c r="U52" s="688">
        <v>52000</v>
      </c>
      <c r="V52" s="688">
        <v>52000</v>
      </c>
      <c r="W52" s="688">
        <v>52000</v>
      </c>
      <c r="X52" s="688">
        <v>52000</v>
      </c>
      <c r="Y52" s="688">
        <v>52000</v>
      </c>
      <c r="Z52" s="688">
        <v>52000</v>
      </c>
      <c r="AA52" s="688">
        <v>52000</v>
      </c>
      <c r="AB52" s="688">
        <v>52000</v>
      </c>
      <c r="AC52" s="688">
        <v>52000</v>
      </c>
      <c r="AD52" s="688">
        <v>52000</v>
      </c>
      <c r="AE52" s="688">
        <v>52000</v>
      </c>
      <c r="AF52" s="688">
        <v>52000</v>
      </c>
    </row>
    <row r="53" spans="1:32">
      <c r="A53" s="427" t="s">
        <v>641</v>
      </c>
      <c r="B53" s="277" t="s">
        <v>642</v>
      </c>
      <c r="C53" s="359"/>
      <c r="D53" s="359"/>
      <c r="F53" s="4" t="s">
        <v>643</v>
      </c>
      <c r="I53" s="688">
        <v>16432</v>
      </c>
      <c r="J53" s="688">
        <v>5293</v>
      </c>
      <c r="K53" s="688">
        <v>22118</v>
      </c>
      <c r="L53" s="688">
        <v>27390</v>
      </c>
      <c r="M53" s="688">
        <v>13192</v>
      </c>
      <c r="N53" s="688">
        <v>13029</v>
      </c>
      <c r="O53" s="688">
        <v>20840</v>
      </c>
      <c r="P53" s="688">
        <v>34590</v>
      </c>
      <c r="Q53" s="688">
        <v>34030</v>
      </c>
      <c r="R53" s="688">
        <v>15790</v>
      </c>
      <c r="S53" s="688">
        <v>11128.119565217399</v>
      </c>
      <c r="T53" s="688">
        <v>34590</v>
      </c>
      <c r="U53" s="688">
        <v>16432</v>
      </c>
      <c r="V53" s="688">
        <v>5293</v>
      </c>
      <c r="W53" s="688">
        <v>22118</v>
      </c>
      <c r="X53" s="688">
        <v>27390</v>
      </c>
      <c r="Y53" s="688">
        <v>13192</v>
      </c>
      <c r="Z53" s="688">
        <v>13029</v>
      </c>
      <c r="AA53" s="688">
        <v>20840</v>
      </c>
      <c r="AB53" s="688">
        <v>34590</v>
      </c>
      <c r="AC53" s="688">
        <v>34030</v>
      </c>
      <c r="AD53" s="688">
        <v>15790</v>
      </c>
      <c r="AE53" s="688">
        <v>11128.119565217399</v>
      </c>
      <c r="AF53" s="688">
        <v>34590</v>
      </c>
    </row>
    <row r="54" spans="1:32">
      <c r="A54" s="615"/>
      <c r="B54" s="615"/>
      <c r="C54" s="615"/>
      <c r="D54" s="359"/>
    </row>
    <row r="55" spans="1:32">
      <c r="A55" s="691" t="s">
        <v>46</v>
      </c>
      <c r="B55" s="615"/>
      <c r="C55" s="615"/>
      <c r="D55" s="359"/>
    </row>
    <row r="56" spans="1:32" s="8" customFormat="1">
      <c r="A56" s="692" t="s">
        <v>31</v>
      </c>
      <c r="B56" s="615"/>
      <c r="C56" s="556">
        <f>SUM(C42:C46)</f>
        <v>4441172</v>
      </c>
      <c r="D56" s="556">
        <f>SUM(D42:D46)</f>
        <v>4441172</v>
      </c>
      <c r="F56" s="4" t="s">
        <v>644</v>
      </c>
      <c r="I56" s="556">
        <f>SUM(I42:I46)</f>
        <v>353135</v>
      </c>
      <c r="J56" s="556">
        <f t="shared" ref="J56:AF56" si="7">SUM(J42:J46)</f>
        <v>355377</v>
      </c>
      <c r="K56" s="556">
        <f t="shared" si="7"/>
        <v>357552</v>
      </c>
      <c r="L56" s="556">
        <f t="shared" si="7"/>
        <v>347504</v>
      </c>
      <c r="M56" s="556">
        <f t="shared" si="7"/>
        <v>361286</v>
      </c>
      <c r="N56" s="556">
        <f t="shared" si="7"/>
        <v>375190</v>
      </c>
      <c r="O56" s="556">
        <f t="shared" si="7"/>
        <v>386655</v>
      </c>
      <c r="P56" s="556">
        <f t="shared" si="7"/>
        <v>402860</v>
      </c>
      <c r="Q56" s="556">
        <f t="shared" si="7"/>
        <v>402683</v>
      </c>
      <c r="R56" s="556">
        <f t="shared" si="7"/>
        <v>377770</v>
      </c>
      <c r="S56" s="556">
        <f t="shared" si="7"/>
        <v>356672</v>
      </c>
      <c r="T56" s="556">
        <f t="shared" si="7"/>
        <v>364488</v>
      </c>
      <c r="U56" s="556">
        <f t="shared" si="7"/>
        <v>353135</v>
      </c>
      <c r="V56" s="556">
        <f t="shared" si="7"/>
        <v>355377</v>
      </c>
      <c r="W56" s="556">
        <f t="shared" si="7"/>
        <v>357552</v>
      </c>
      <c r="X56" s="556">
        <f t="shared" si="7"/>
        <v>347504</v>
      </c>
      <c r="Y56" s="556">
        <f t="shared" si="7"/>
        <v>361286</v>
      </c>
      <c r="Z56" s="556">
        <f t="shared" si="7"/>
        <v>375190</v>
      </c>
      <c r="AA56" s="556">
        <f t="shared" si="7"/>
        <v>386655</v>
      </c>
      <c r="AB56" s="556">
        <f t="shared" si="7"/>
        <v>402860</v>
      </c>
      <c r="AC56" s="556">
        <f t="shared" si="7"/>
        <v>402683</v>
      </c>
      <c r="AD56" s="556">
        <f t="shared" si="7"/>
        <v>377770</v>
      </c>
      <c r="AE56" s="556">
        <f t="shared" si="7"/>
        <v>356672</v>
      </c>
      <c r="AF56" s="556">
        <f t="shared" si="7"/>
        <v>364488</v>
      </c>
    </row>
    <row r="57" spans="1:32" s="8" customFormat="1">
      <c r="A57" s="693" t="s">
        <v>257</v>
      </c>
      <c r="B57" s="615"/>
      <c r="C57" s="556">
        <f>SUM(C47:C53)</f>
        <v>2546755.9112318838</v>
      </c>
      <c r="D57" s="556">
        <f>SUM(D47:D53)</f>
        <v>2546755.9112318838</v>
      </c>
      <c r="F57" s="4" t="s">
        <v>645</v>
      </c>
      <c r="I57" s="556">
        <f>SUM(I47:I53)</f>
        <v>227022</v>
      </c>
      <c r="J57" s="556">
        <f t="shared" ref="J57:AF57" si="8">SUM(J47:J53)</f>
        <v>214868</v>
      </c>
      <c r="K57" s="556">
        <f t="shared" si="8"/>
        <v>226005</v>
      </c>
      <c r="L57" s="556">
        <f t="shared" si="8"/>
        <v>228954</v>
      </c>
      <c r="M57" s="556">
        <f t="shared" si="8"/>
        <v>223031</v>
      </c>
      <c r="N57" s="556">
        <f t="shared" si="8"/>
        <v>228116</v>
      </c>
      <c r="O57" s="556">
        <f t="shared" si="8"/>
        <v>239557</v>
      </c>
      <c r="P57" s="556">
        <f t="shared" si="8"/>
        <v>250179</v>
      </c>
      <c r="Q57" s="556">
        <f t="shared" si="8"/>
        <v>250305</v>
      </c>
      <c r="R57" s="556">
        <f t="shared" si="8"/>
        <v>230594</v>
      </c>
      <c r="S57" s="556">
        <f t="shared" si="8"/>
        <v>226368.03079710162</v>
      </c>
      <c r="T57" s="556">
        <f t="shared" si="8"/>
        <v>250179</v>
      </c>
      <c r="U57" s="556">
        <f t="shared" si="8"/>
        <v>227022</v>
      </c>
      <c r="V57" s="556">
        <f t="shared" si="8"/>
        <v>214868</v>
      </c>
      <c r="W57" s="556">
        <f t="shared" si="8"/>
        <v>226005</v>
      </c>
      <c r="X57" s="556">
        <f t="shared" si="8"/>
        <v>228954</v>
      </c>
      <c r="Y57" s="556">
        <f t="shared" si="8"/>
        <v>223031</v>
      </c>
      <c r="Z57" s="556">
        <f t="shared" si="8"/>
        <v>228116</v>
      </c>
      <c r="AA57" s="556">
        <f t="shared" si="8"/>
        <v>239557</v>
      </c>
      <c r="AB57" s="556">
        <f t="shared" si="8"/>
        <v>250179</v>
      </c>
      <c r="AC57" s="556">
        <f t="shared" si="8"/>
        <v>250305</v>
      </c>
      <c r="AD57" s="556">
        <f t="shared" si="8"/>
        <v>230594</v>
      </c>
      <c r="AE57" s="556">
        <f t="shared" si="8"/>
        <v>226368.03079710162</v>
      </c>
      <c r="AF57" s="556">
        <f t="shared" si="8"/>
        <v>250179</v>
      </c>
    </row>
    <row r="58" spans="1:32">
      <c r="A58" s="694"/>
      <c r="B58" s="615"/>
      <c r="C58" s="615"/>
      <c r="D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615"/>
      <c r="Z58" s="615"/>
      <c r="AA58" s="615"/>
      <c r="AB58" s="615"/>
      <c r="AC58" s="615"/>
      <c r="AD58" s="615"/>
      <c r="AE58" s="615"/>
      <c r="AF58" s="615"/>
    </row>
    <row r="59" spans="1:32">
      <c r="A59" s="695" t="s">
        <v>355</v>
      </c>
      <c r="B59" s="615"/>
      <c r="C59" s="556">
        <f>SUM(C42:C52)</f>
        <v>6987927.9112318829</v>
      </c>
      <c r="D59" s="556">
        <f>SUM(D42:D52)</f>
        <v>6987927.9112318829</v>
      </c>
      <c r="F59" s="4" t="s">
        <v>646</v>
      </c>
      <c r="I59" s="556">
        <f>SUM(I42:I52)</f>
        <v>563725</v>
      </c>
      <c r="J59" s="556">
        <f t="shared" ref="J59:AF59" si="9">SUM(J42:J52)</f>
        <v>564952</v>
      </c>
      <c r="K59" s="556">
        <f t="shared" si="9"/>
        <v>561439</v>
      </c>
      <c r="L59" s="556">
        <f t="shared" si="9"/>
        <v>549068</v>
      </c>
      <c r="M59" s="556">
        <f t="shared" si="9"/>
        <v>571125</v>
      </c>
      <c r="N59" s="556">
        <f t="shared" si="9"/>
        <v>590277</v>
      </c>
      <c r="O59" s="556">
        <f t="shared" si="9"/>
        <v>605372</v>
      </c>
      <c r="P59" s="556">
        <f t="shared" si="9"/>
        <v>618449</v>
      </c>
      <c r="Q59" s="556">
        <f t="shared" si="9"/>
        <v>618958</v>
      </c>
      <c r="R59" s="556">
        <f t="shared" si="9"/>
        <v>592574</v>
      </c>
      <c r="S59" s="556">
        <f t="shared" si="9"/>
        <v>571911.91123188427</v>
      </c>
      <c r="T59" s="556">
        <f t="shared" si="9"/>
        <v>580077</v>
      </c>
      <c r="U59" s="556">
        <f t="shared" si="9"/>
        <v>563725</v>
      </c>
      <c r="V59" s="556">
        <f t="shared" si="9"/>
        <v>564952</v>
      </c>
      <c r="W59" s="556">
        <f t="shared" si="9"/>
        <v>561439</v>
      </c>
      <c r="X59" s="556">
        <f t="shared" si="9"/>
        <v>549068</v>
      </c>
      <c r="Y59" s="556">
        <f t="shared" si="9"/>
        <v>571125</v>
      </c>
      <c r="Z59" s="556">
        <f t="shared" si="9"/>
        <v>590277</v>
      </c>
      <c r="AA59" s="556">
        <f t="shared" si="9"/>
        <v>605372</v>
      </c>
      <c r="AB59" s="556">
        <f t="shared" si="9"/>
        <v>618449</v>
      </c>
      <c r="AC59" s="556">
        <f t="shared" si="9"/>
        <v>618958</v>
      </c>
      <c r="AD59" s="556">
        <f t="shared" si="9"/>
        <v>592574</v>
      </c>
      <c r="AE59" s="556">
        <f t="shared" si="9"/>
        <v>571911.91123188427</v>
      </c>
      <c r="AF59" s="556">
        <f t="shared" si="9"/>
        <v>580077</v>
      </c>
    </row>
    <row r="63" spans="1:32">
      <c r="A63" s="512" t="s">
        <v>603</v>
      </c>
      <c r="F63" s="4" t="s">
        <v>474</v>
      </c>
    </row>
    <row r="65" spans="1:32">
      <c r="C65" s="276" t="s">
        <v>647</v>
      </c>
      <c r="D65" s="276" t="s">
        <v>647</v>
      </c>
    </row>
    <row r="66" spans="1:32">
      <c r="C66" s="347">
        <v>2017</v>
      </c>
      <c r="D66" s="347" t="s">
        <v>605</v>
      </c>
      <c r="I66" s="686">
        <v>42736</v>
      </c>
      <c r="J66" s="686">
        <v>42767</v>
      </c>
      <c r="K66" s="686">
        <v>42795</v>
      </c>
      <c r="L66" s="686">
        <v>42826</v>
      </c>
      <c r="M66" s="686">
        <v>42856</v>
      </c>
      <c r="N66" s="686">
        <v>42887</v>
      </c>
      <c r="O66" s="686">
        <v>42917</v>
      </c>
      <c r="P66" s="686">
        <v>42948</v>
      </c>
      <c r="Q66" s="686">
        <v>42979</v>
      </c>
      <c r="R66" s="686">
        <v>43009</v>
      </c>
      <c r="S66" s="686">
        <v>43040</v>
      </c>
      <c r="T66" s="686">
        <v>43070</v>
      </c>
      <c r="U66" s="686">
        <v>43101</v>
      </c>
      <c r="V66" s="686">
        <v>43132</v>
      </c>
      <c r="W66" s="686">
        <v>43160</v>
      </c>
      <c r="X66" s="686">
        <v>43191</v>
      </c>
      <c r="Y66" s="686">
        <v>43221</v>
      </c>
      <c r="Z66" s="686">
        <v>43252</v>
      </c>
      <c r="AA66" s="686">
        <v>43282</v>
      </c>
      <c r="AB66" s="686">
        <v>43313</v>
      </c>
      <c r="AC66" s="686">
        <v>43344</v>
      </c>
      <c r="AD66" s="686">
        <v>43374</v>
      </c>
      <c r="AE66" s="686">
        <v>43405</v>
      </c>
      <c r="AF66" s="686">
        <v>43435</v>
      </c>
    </row>
    <row r="68" spans="1:32">
      <c r="A68" s="429" t="s">
        <v>268</v>
      </c>
      <c r="B68" s="615"/>
    </row>
    <row r="69" spans="1:32">
      <c r="A69" s="426" t="s">
        <v>32</v>
      </c>
      <c r="B69" s="615"/>
      <c r="C69" s="438">
        <f t="shared" ref="C69:C88" si="10">SUM(I69:T69)</f>
        <v>2465339689.415597</v>
      </c>
      <c r="D69" s="359">
        <f t="shared" ref="D69:D88" si="11">SUM(O69:Z69)</f>
        <v>2475322184.7001238</v>
      </c>
      <c r="F69" s="512" t="s">
        <v>612</v>
      </c>
      <c r="I69" s="688">
        <v>281897851.83514953</v>
      </c>
      <c r="J69" s="688">
        <v>229740569.88516009</v>
      </c>
      <c r="K69" s="688">
        <v>229810112.70137602</v>
      </c>
      <c r="L69" s="688">
        <v>185300106.28126484</v>
      </c>
      <c r="M69" s="688">
        <v>167916178.15093824</v>
      </c>
      <c r="N69" s="688">
        <v>157384792.28540018</v>
      </c>
      <c r="O69" s="688">
        <v>185494264.10145715</v>
      </c>
      <c r="P69" s="688">
        <v>185309755.93272012</v>
      </c>
      <c r="Q69" s="688">
        <v>154137988.36984262</v>
      </c>
      <c r="R69" s="688">
        <v>180634659.25088105</v>
      </c>
      <c r="S69" s="688">
        <v>223126523.33787501</v>
      </c>
      <c r="T69" s="688">
        <v>284586887.28353214</v>
      </c>
      <c r="U69" s="688">
        <v>282889431.22450137</v>
      </c>
      <c r="V69" s="688">
        <v>231422738.09382573</v>
      </c>
      <c r="W69" s="688">
        <v>231296085.99921384</v>
      </c>
      <c r="X69" s="688">
        <v>187416077.94519928</v>
      </c>
      <c r="Y69" s="688">
        <v>169792546.70335954</v>
      </c>
      <c r="Z69" s="688">
        <v>159215226.45771614</v>
      </c>
      <c r="AA69" s="688">
        <v>186884674.92675442</v>
      </c>
      <c r="AB69" s="688">
        <v>186928493.15943271</v>
      </c>
      <c r="AC69" s="688">
        <v>155383321.08720142</v>
      </c>
      <c r="AD69" s="688">
        <v>181141650.10460058</v>
      </c>
      <c r="AE69" s="688">
        <v>224314380.85177499</v>
      </c>
      <c r="AF69" s="688">
        <v>285479555.99141622</v>
      </c>
    </row>
    <row r="70" spans="1:32">
      <c r="A70" s="426" t="s">
        <v>36</v>
      </c>
      <c r="B70" s="615"/>
      <c r="C70" s="438">
        <f t="shared" si="10"/>
        <v>535895759.06985378</v>
      </c>
      <c r="D70" s="359">
        <f t="shared" si="11"/>
        <v>538353249.76583123</v>
      </c>
      <c r="F70" s="512" t="s">
        <v>613</v>
      </c>
      <c r="I70" s="688">
        <v>50928471.059914827</v>
      </c>
      <c r="J70" s="688">
        <v>43707722.457051411</v>
      </c>
      <c r="K70" s="688">
        <v>46115064.413349248</v>
      </c>
      <c r="L70" s="688">
        <v>40306814.078187265</v>
      </c>
      <c r="M70" s="688">
        <v>39777725.488285668</v>
      </c>
      <c r="N70" s="688">
        <v>40153504.181232542</v>
      </c>
      <c r="O70" s="688">
        <v>47121413.441800505</v>
      </c>
      <c r="P70" s="688">
        <v>46036934.207380421</v>
      </c>
      <c r="Q70" s="688">
        <v>39163925.767574422</v>
      </c>
      <c r="R70" s="688">
        <v>44113096.002704047</v>
      </c>
      <c r="S70" s="688">
        <v>46313992.859878831</v>
      </c>
      <c r="T70" s="688">
        <v>52157095.112494662</v>
      </c>
      <c r="U70" s="688">
        <v>51314363.49724225</v>
      </c>
      <c r="V70" s="688">
        <v>44134157.225317076</v>
      </c>
      <c r="W70" s="688">
        <v>46438198.32769002</v>
      </c>
      <c r="X70" s="688">
        <v>40774226.188191049</v>
      </c>
      <c r="Y70" s="688">
        <v>40156113.403163411</v>
      </c>
      <c r="Z70" s="688">
        <v>40629733.732394457</v>
      </c>
      <c r="AA70" s="688">
        <v>47678873.24286855</v>
      </c>
      <c r="AB70" s="688">
        <v>46466292.267056882</v>
      </c>
      <c r="AC70" s="688">
        <v>39549671.828841977</v>
      </c>
      <c r="AD70" s="688">
        <v>44696038.274035312</v>
      </c>
      <c r="AE70" s="688">
        <v>47101746.252143025</v>
      </c>
      <c r="AF70" s="688">
        <v>52701174.505614489</v>
      </c>
    </row>
    <row r="71" spans="1:32">
      <c r="A71" s="426" t="s">
        <v>33</v>
      </c>
      <c r="B71" s="615"/>
      <c r="C71" s="438">
        <f t="shared" si="10"/>
        <v>58983593.83447095</v>
      </c>
      <c r="D71" s="359">
        <f t="shared" si="11"/>
        <v>59570697.156424507</v>
      </c>
      <c r="F71" s="512" t="s">
        <v>614</v>
      </c>
      <c r="I71" s="688">
        <v>6613720.4720587824</v>
      </c>
      <c r="J71" s="688">
        <v>5552767.7196848653</v>
      </c>
      <c r="K71" s="688">
        <v>5615964.6207591752</v>
      </c>
      <c r="L71" s="688">
        <v>4544451.2987116193</v>
      </c>
      <c r="M71" s="688">
        <v>4151655.0745443925</v>
      </c>
      <c r="N71" s="688">
        <v>3898951.9680052111</v>
      </c>
      <c r="O71" s="688">
        <v>4212626.8676785883</v>
      </c>
      <c r="P71" s="688">
        <v>4139423.4026508932</v>
      </c>
      <c r="Q71" s="688">
        <v>3713765.2647269899</v>
      </c>
      <c r="R71" s="688">
        <v>4470096.3637570562</v>
      </c>
      <c r="S71" s="688">
        <v>5356894.3970154002</v>
      </c>
      <c r="T71" s="688">
        <v>6713276.3848779732</v>
      </c>
      <c r="U71" s="688">
        <v>6751035.9236954208</v>
      </c>
      <c r="V71" s="688">
        <v>5681764.3238802077</v>
      </c>
      <c r="W71" s="688">
        <v>5670244.8228958799</v>
      </c>
      <c r="X71" s="688">
        <v>4625600.8100916054</v>
      </c>
      <c r="Y71" s="688">
        <v>4236557.6188208796</v>
      </c>
      <c r="Z71" s="688">
        <v>3999410.9763336144</v>
      </c>
      <c r="AA71" s="688">
        <v>4350297.1861378197</v>
      </c>
      <c r="AB71" s="688">
        <v>4202673.3983472912</v>
      </c>
      <c r="AC71" s="688">
        <v>3762743.820286084</v>
      </c>
      <c r="AD71" s="688">
        <v>4573549.3280913178</v>
      </c>
      <c r="AE71" s="688">
        <v>5470367.1522686984</v>
      </c>
      <c r="AF71" s="688">
        <v>6860449.0377611667</v>
      </c>
    </row>
    <row r="72" spans="1:32">
      <c r="A72" s="426" t="s">
        <v>37</v>
      </c>
      <c r="B72" s="615"/>
      <c r="C72" s="438">
        <f t="shared" si="10"/>
        <v>1396147116.7293799</v>
      </c>
      <c r="D72" s="359">
        <f t="shared" si="11"/>
        <v>1394903544.6031742</v>
      </c>
      <c r="F72" s="512" t="s">
        <v>615</v>
      </c>
      <c r="I72" s="688">
        <v>120973910.87099975</v>
      </c>
      <c r="J72" s="688">
        <v>105265454.0975022</v>
      </c>
      <c r="K72" s="688">
        <v>113969926.63645588</v>
      </c>
      <c r="L72" s="688">
        <v>104028277.23717929</v>
      </c>
      <c r="M72" s="688">
        <v>108393256.10599269</v>
      </c>
      <c r="N72" s="688">
        <v>112384138.54899205</v>
      </c>
      <c r="O72" s="688">
        <v>128639653.78678557</v>
      </c>
      <c r="P72" s="688">
        <v>125397995.26590674</v>
      </c>
      <c r="Q72" s="688">
        <v>108992046.80825058</v>
      </c>
      <c r="R72" s="688">
        <v>121654041.16322048</v>
      </c>
      <c r="S72" s="688">
        <v>119983881.1812876</v>
      </c>
      <c r="T72" s="688">
        <v>126464535.0268074</v>
      </c>
      <c r="U72" s="688">
        <v>120658668.32458073</v>
      </c>
      <c r="V72" s="688">
        <v>105183527.85466981</v>
      </c>
      <c r="W72" s="688">
        <v>113422550.3813684</v>
      </c>
      <c r="X72" s="688">
        <v>103881043.44389942</v>
      </c>
      <c r="Y72" s="688">
        <v>107953612.1268871</v>
      </c>
      <c r="Z72" s="688">
        <v>112671989.23951058</v>
      </c>
      <c r="AA72" s="688">
        <v>128976875.36763254</v>
      </c>
      <c r="AB72" s="688">
        <v>125141245.06562559</v>
      </c>
      <c r="AC72" s="688">
        <v>108852581.8372914</v>
      </c>
      <c r="AD72" s="688">
        <v>122204888.57169689</v>
      </c>
      <c r="AE72" s="688">
        <v>121003633.78422445</v>
      </c>
      <c r="AF72" s="688">
        <v>126681570.83050977</v>
      </c>
    </row>
    <row r="73" spans="1:32">
      <c r="A73" s="426" t="s">
        <v>34</v>
      </c>
      <c r="B73" s="615"/>
      <c r="C73" s="438">
        <f t="shared" si="10"/>
        <v>37893004.528706931</v>
      </c>
      <c r="D73" s="359">
        <f t="shared" si="11"/>
        <v>37957083.991519839</v>
      </c>
      <c r="F73" s="512" t="s">
        <v>616</v>
      </c>
      <c r="I73" s="688">
        <v>3840864.8129021898</v>
      </c>
      <c r="J73" s="688">
        <v>3281645.9828648251</v>
      </c>
      <c r="K73" s="688">
        <v>3384226.619456456</v>
      </c>
      <c r="L73" s="688">
        <v>2885458.8244791599</v>
      </c>
      <c r="M73" s="688">
        <v>2787627.0525010377</v>
      </c>
      <c r="N73" s="688">
        <v>2725061.9676265325</v>
      </c>
      <c r="O73" s="688">
        <v>3110520.0685026739</v>
      </c>
      <c r="P73" s="688">
        <v>3088992.5572866742</v>
      </c>
      <c r="Q73" s="688">
        <v>2677574.1823481242</v>
      </c>
      <c r="R73" s="688">
        <v>3045789.9812560235</v>
      </c>
      <c r="S73" s="688">
        <v>3258353.7548114751</v>
      </c>
      <c r="T73" s="688">
        <v>3806888.7246717676</v>
      </c>
      <c r="U73" s="688">
        <v>3842446.6016380615</v>
      </c>
      <c r="V73" s="688">
        <v>3294698.3575078682</v>
      </c>
      <c r="W73" s="688">
        <v>3389614.5744137261</v>
      </c>
      <c r="X73" s="688">
        <v>2901971.7020086683</v>
      </c>
      <c r="Y73" s="688">
        <v>2796401.270151169</v>
      </c>
      <c r="Z73" s="688">
        <v>2743832.2169236057</v>
      </c>
      <c r="AA73" s="688">
        <v>3122268.3588184672</v>
      </c>
      <c r="AB73" s="688">
        <v>3091241.1355973342</v>
      </c>
      <c r="AC73" s="688">
        <v>2681582.2425185805</v>
      </c>
      <c r="AD73" s="688">
        <v>3060487.7768566976</v>
      </c>
      <c r="AE73" s="688">
        <v>3281749.190762836</v>
      </c>
      <c r="AF73" s="688">
        <v>3809777.1070800675</v>
      </c>
    </row>
    <row r="74" spans="1:32">
      <c r="A74" s="426" t="s">
        <v>38</v>
      </c>
      <c r="B74" s="615"/>
      <c r="C74" s="438">
        <f t="shared" si="10"/>
        <v>1145620987.8967597</v>
      </c>
      <c r="D74" s="359">
        <f t="shared" si="11"/>
        <v>1156202202.2462847</v>
      </c>
      <c r="F74" s="512" t="s">
        <v>617</v>
      </c>
      <c r="I74" s="688">
        <v>93324317.886907801</v>
      </c>
      <c r="J74" s="688">
        <v>96421635.05969125</v>
      </c>
      <c r="K74" s="688">
        <v>90930294.289534092</v>
      </c>
      <c r="L74" s="688">
        <v>96444819.618737862</v>
      </c>
      <c r="M74" s="688">
        <v>93222361.854130387</v>
      </c>
      <c r="N74" s="688">
        <v>95565743.789982408</v>
      </c>
      <c r="O74" s="688">
        <v>94406936.743390724</v>
      </c>
      <c r="P74" s="688">
        <v>96658343.57759504</v>
      </c>
      <c r="Q74" s="688">
        <v>100190143.30775703</v>
      </c>
      <c r="R74" s="688">
        <v>95780659.868429869</v>
      </c>
      <c r="S74" s="688">
        <v>97954294.652885824</v>
      </c>
      <c r="T74" s="688">
        <v>94721437.247717395</v>
      </c>
      <c r="U74" s="688">
        <v>96403075.908734605</v>
      </c>
      <c r="V74" s="688">
        <v>97303249.489110827</v>
      </c>
      <c r="W74" s="688">
        <v>91939976.405045122</v>
      </c>
      <c r="X74" s="688">
        <v>97939993.174184233</v>
      </c>
      <c r="Y74" s="688">
        <v>95177161.746524036</v>
      </c>
      <c r="Z74" s="688">
        <v>97726930.124910027</v>
      </c>
      <c r="AA74" s="688">
        <v>96127279.604984492</v>
      </c>
      <c r="AB74" s="688">
        <v>98577476.416299999</v>
      </c>
      <c r="AC74" s="688">
        <v>101694186.05432308</v>
      </c>
      <c r="AD74" s="688">
        <v>97277085.790460616</v>
      </c>
      <c r="AE74" s="688">
        <v>99757720.873667896</v>
      </c>
      <c r="AF74" s="688">
        <v>95963154.754362822</v>
      </c>
    </row>
    <row r="75" spans="1:32">
      <c r="A75" s="426" t="s">
        <v>40</v>
      </c>
      <c r="B75" s="615"/>
      <c r="C75" s="438">
        <f t="shared" si="10"/>
        <v>0</v>
      </c>
      <c r="D75" s="359">
        <f t="shared" si="11"/>
        <v>0</v>
      </c>
      <c r="F75" s="512" t="s">
        <v>618</v>
      </c>
      <c r="I75" s="688">
        <v>0</v>
      </c>
      <c r="J75" s="688">
        <v>0</v>
      </c>
      <c r="K75" s="688">
        <v>0</v>
      </c>
      <c r="L75" s="688">
        <v>0</v>
      </c>
      <c r="M75" s="688">
        <v>0</v>
      </c>
      <c r="N75" s="688">
        <v>0</v>
      </c>
      <c r="O75" s="688">
        <v>0</v>
      </c>
      <c r="P75" s="688">
        <v>0</v>
      </c>
      <c r="Q75" s="688">
        <v>0</v>
      </c>
      <c r="R75" s="688">
        <v>0</v>
      </c>
      <c r="S75" s="688">
        <v>0</v>
      </c>
      <c r="T75" s="688">
        <v>0</v>
      </c>
      <c r="U75" s="688">
        <v>0</v>
      </c>
      <c r="V75" s="688">
        <v>0</v>
      </c>
      <c r="W75" s="688">
        <v>0</v>
      </c>
      <c r="X75" s="688">
        <v>0</v>
      </c>
      <c r="Y75" s="688">
        <v>0</v>
      </c>
      <c r="Z75" s="688">
        <v>0</v>
      </c>
      <c r="AA75" s="688">
        <v>0</v>
      </c>
      <c r="AB75" s="688">
        <v>0</v>
      </c>
      <c r="AC75" s="688">
        <v>0</v>
      </c>
      <c r="AD75" s="688">
        <v>0</v>
      </c>
      <c r="AE75" s="688">
        <v>0</v>
      </c>
      <c r="AF75" s="688">
        <v>0</v>
      </c>
    </row>
    <row r="76" spans="1:32">
      <c r="A76" s="426" t="s">
        <v>39</v>
      </c>
      <c r="B76" s="615"/>
      <c r="C76" s="438">
        <f t="shared" si="10"/>
        <v>125774079.55454713</v>
      </c>
      <c r="D76" s="359">
        <f t="shared" si="11"/>
        <v>125307432.74115688</v>
      </c>
      <c r="F76" s="512" t="s">
        <v>619</v>
      </c>
      <c r="I76" s="688">
        <v>3896076.6284332215</v>
      </c>
      <c r="J76" s="688">
        <v>3416841.3385814568</v>
      </c>
      <c r="K76" s="688">
        <v>4173307.0060633132</v>
      </c>
      <c r="L76" s="688">
        <v>6124989.1700909361</v>
      </c>
      <c r="M76" s="688">
        <v>11117074.821815658</v>
      </c>
      <c r="N76" s="688">
        <v>16189364.44182473</v>
      </c>
      <c r="O76" s="688">
        <v>21980869.950520698</v>
      </c>
      <c r="P76" s="688">
        <v>22895486.287135646</v>
      </c>
      <c r="Q76" s="688">
        <v>16594115.124810424</v>
      </c>
      <c r="R76" s="688">
        <v>10583135.652796689</v>
      </c>
      <c r="S76" s="688">
        <v>4769540.9657196421</v>
      </c>
      <c r="T76" s="688">
        <v>4033278.1667547259</v>
      </c>
      <c r="U76" s="688">
        <v>3886046.0568444533</v>
      </c>
      <c r="V76" s="688">
        <v>3418810.3916243427</v>
      </c>
      <c r="W76" s="688">
        <v>4130260.4272395885</v>
      </c>
      <c r="X76" s="688">
        <v>5926581.8011624832</v>
      </c>
      <c r="Y76" s="688">
        <v>10846878.75957473</v>
      </c>
      <c r="Z76" s="688">
        <v>16242429.156973463</v>
      </c>
      <c r="AA76" s="688">
        <v>22074366.611076541</v>
      </c>
      <c r="AB76" s="688">
        <v>23116385.160544135</v>
      </c>
      <c r="AC76" s="688">
        <v>17112633.097687554</v>
      </c>
      <c r="AD76" s="688">
        <v>11055691.392735029</v>
      </c>
      <c r="AE76" s="688">
        <v>4900174.5926546995</v>
      </c>
      <c r="AF76" s="688">
        <v>4040088.0528263478</v>
      </c>
    </row>
    <row r="77" spans="1:32">
      <c r="A77" s="426" t="s">
        <v>35</v>
      </c>
      <c r="B77" s="615"/>
      <c r="C77" s="438">
        <f t="shared" si="10"/>
        <v>7893772.3243414396</v>
      </c>
      <c r="D77" s="359">
        <f t="shared" si="11"/>
        <v>7934070.5970124993</v>
      </c>
      <c r="F77" s="512" t="s">
        <v>620</v>
      </c>
      <c r="I77" s="688">
        <v>309328.52645770169</v>
      </c>
      <c r="J77" s="688">
        <v>267042.14408405608</v>
      </c>
      <c r="K77" s="688">
        <v>289345.42716240551</v>
      </c>
      <c r="L77" s="688">
        <v>351933.73295303312</v>
      </c>
      <c r="M77" s="688">
        <v>568439.98673052166</v>
      </c>
      <c r="N77" s="688">
        <v>887378.18105850404</v>
      </c>
      <c r="O77" s="688">
        <v>1405843.815441695</v>
      </c>
      <c r="P77" s="688">
        <v>1533268.5648889029</v>
      </c>
      <c r="Q77" s="688">
        <v>1041790.4117260235</v>
      </c>
      <c r="R77" s="688">
        <v>640534.73832346988</v>
      </c>
      <c r="S77" s="688">
        <v>304492.20213157142</v>
      </c>
      <c r="T77" s="688">
        <v>294374.59338355419</v>
      </c>
      <c r="U77" s="688">
        <v>306326.67283373722</v>
      </c>
      <c r="V77" s="688">
        <v>264399.49449096271</v>
      </c>
      <c r="W77" s="688">
        <v>285288.87211670901</v>
      </c>
      <c r="X77" s="688">
        <v>369529.33993649401</v>
      </c>
      <c r="Y77" s="688">
        <v>590906.21008184343</v>
      </c>
      <c r="Z77" s="688">
        <v>897315.68165753642</v>
      </c>
      <c r="AA77" s="688">
        <v>1416391.8449989511</v>
      </c>
      <c r="AB77" s="688">
        <v>1564104.1646913791</v>
      </c>
      <c r="AC77" s="688">
        <v>1072663.288553379</v>
      </c>
      <c r="AD77" s="688">
        <v>668983.74506776896</v>
      </c>
      <c r="AE77" s="688">
        <v>310162.84640814288</v>
      </c>
      <c r="AF77" s="688">
        <v>293984.34165594069</v>
      </c>
    </row>
    <row r="78" spans="1:32">
      <c r="A78" s="437" t="s">
        <v>41</v>
      </c>
      <c r="B78" s="615"/>
      <c r="C78" s="438">
        <f t="shared" si="10"/>
        <v>24453677.284240972</v>
      </c>
      <c r="D78" s="359">
        <f t="shared" si="11"/>
        <v>24397324.476858344</v>
      </c>
      <c r="F78" s="512" t="s">
        <v>621</v>
      </c>
      <c r="I78" s="688">
        <v>2042042.5107866661</v>
      </c>
      <c r="J78" s="688">
        <v>2041401.7147684535</v>
      </c>
      <c r="K78" s="688">
        <v>2040830.9214222287</v>
      </c>
      <c r="L78" s="688">
        <v>2039980.0603323383</v>
      </c>
      <c r="M78" s="688">
        <v>2039100.1229356448</v>
      </c>
      <c r="N78" s="688">
        <v>2038049.4295486589</v>
      </c>
      <c r="O78" s="688">
        <v>2037249.5825243932</v>
      </c>
      <c r="P78" s="688">
        <v>2036489.5824049907</v>
      </c>
      <c r="Q78" s="688">
        <v>2035731.1736141164</v>
      </c>
      <c r="R78" s="688">
        <v>2034994.5730776018</v>
      </c>
      <c r="S78" s="688">
        <v>2034267.061157004</v>
      </c>
      <c r="T78" s="688">
        <v>2033540.5516688814</v>
      </c>
      <c r="U78" s="688">
        <v>2032800.5822596806</v>
      </c>
      <c r="V78" s="688">
        <v>2032028.4727886803</v>
      </c>
      <c r="W78" s="688">
        <v>2031249.5258853436</v>
      </c>
      <c r="X78" s="688">
        <v>2030448.1343462314</v>
      </c>
      <c r="Y78" s="688">
        <v>2029657.0874533188</v>
      </c>
      <c r="Z78" s="688">
        <v>2028868.149678099</v>
      </c>
      <c r="AA78" s="688">
        <v>2028104.3209312558</v>
      </c>
      <c r="AB78" s="688">
        <v>2027340.9788021517</v>
      </c>
      <c r="AC78" s="688">
        <v>2026579.9218340793</v>
      </c>
      <c r="AD78" s="688">
        <v>2025816.3204791006</v>
      </c>
      <c r="AE78" s="688">
        <v>2025052.6395696169</v>
      </c>
      <c r="AF78" s="688">
        <v>2024283.8468677872</v>
      </c>
    </row>
    <row r="79" spans="1:32">
      <c r="A79" s="426" t="s">
        <v>258</v>
      </c>
      <c r="B79" s="615"/>
      <c r="C79" s="438">
        <f t="shared" si="10"/>
        <v>1190385278.1034238</v>
      </c>
      <c r="D79" s="359">
        <f t="shared" si="11"/>
        <v>1194981940.6792972</v>
      </c>
      <c r="F79" s="512" t="s">
        <v>622</v>
      </c>
      <c r="I79" s="688">
        <v>134405539.46820459</v>
      </c>
      <c r="J79" s="688">
        <v>108963109.81780878</v>
      </c>
      <c r="K79" s="688">
        <v>111269887.03823321</v>
      </c>
      <c r="L79" s="688">
        <v>90857355.546603307</v>
      </c>
      <c r="M79" s="688">
        <v>81654899.752093852</v>
      </c>
      <c r="N79" s="688">
        <v>75881735.750619665</v>
      </c>
      <c r="O79" s="688">
        <v>89241997.8338622</v>
      </c>
      <c r="P79" s="688">
        <v>85112294.211226106</v>
      </c>
      <c r="Q79" s="688">
        <v>71590351.510817856</v>
      </c>
      <c r="R79" s="688">
        <v>87094125.878816858</v>
      </c>
      <c r="S79" s="688">
        <v>112870435.25753665</v>
      </c>
      <c r="T79" s="688">
        <v>141443546.03760079</v>
      </c>
      <c r="U79" s="688">
        <v>135347400.58404681</v>
      </c>
      <c r="V79" s="688">
        <v>109711030.13404059</v>
      </c>
      <c r="W79" s="688">
        <v>111903113.98813067</v>
      </c>
      <c r="X79" s="688">
        <v>91850237.223266706</v>
      </c>
      <c r="Y79" s="688">
        <v>82527596.664878339</v>
      </c>
      <c r="Z79" s="688">
        <v>76289811.35507375</v>
      </c>
      <c r="AA79" s="688">
        <v>89932409.71280241</v>
      </c>
      <c r="AB79" s="688">
        <v>85527685.588358566</v>
      </c>
      <c r="AC79" s="688">
        <v>71959549.795592621</v>
      </c>
      <c r="AD79" s="688">
        <v>86924215.99853918</v>
      </c>
      <c r="AE79" s="688">
        <v>113458988.60944696</v>
      </c>
      <c r="AF79" s="688">
        <v>142227956.8031795</v>
      </c>
    </row>
    <row r="80" spans="1:32">
      <c r="A80" s="426" t="s">
        <v>263</v>
      </c>
      <c r="B80" s="615"/>
      <c r="C80" s="438">
        <f t="shared" si="10"/>
        <v>339335834.57906741</v>
      </c>
      <c r="D80" s="359">
        <f t="shared" si="11"/>
        <v>340979406.5209074</v>
      </c>
      <c r="F80" s="512" t="s">
        <v>623</v>
      </c>
      <c r="I80" s="688">
        <v>32687346.145106059</v>
      </c>
      <c r="J80" s="688">
        <v>27370282.33874923</v>
      </c>
      <c r="K80" s="688">
        <v>29145158.182185803</v>
      </c>
      <c r="L80" s="688">
        <v>25503815.895650413</v>
      </c>
      <c r="M80" s="688">
        <v>25011909.489257254</v>
      </c>
      <c r="N80" s="688">
        <v>25153385.622106481</v>
      </c>
      <c r="O80" s="688">
        <v>29956247.380569097</v>
      </c>
      <c r="P80" s="688">
        <v>29339555.566259023</v>
      </c>
      <c r="Q80" s="688">
        <v>24430519.411767293</v>
      </c>
      <c r="R80" s="688">
        <v>26780920.607303284</v>
      </c>
      <c r="S80" s="688">
        <v>29582390.071243916</v>
      </c>
      <c r="T80" s="688">
        <v>34374303.868869461</v>
      </c>
      <c r="U80" s="688">
        <v>32995273.243758149</v>
      </c>
      <c r="V80" s="688">
        <v>27635536.3529814</v>
      </c>
      <c r="W80" s="688">
        <v>29366767.837268837</v>
      </c>
      <c r="X80" s="688">
        <v>25803820.916059922</v>
      </c>
      <c r="Y80" s="688">
        <v>25275028.084889408</v>
      </c>
      <c r="Z80" s="688">
        <v>25439043.179937661</v>
      </c>
      <c r="AA80" s="688">
        <v>30321159.931996435</v>
      </c>
      <c r="AB80" s="688">
        <v>29624369.100123174</v>
      </c>
      <c r="AC80" s="688">
        <v>24767396.862217359</v>
      </c>
      <c r="AD80" s="688">
        <v>27087476.627944589</v>
      </c>
      <c r="AE80" s="688">
        <v>30022155.846009962</v>
      </c>
      <c r="AF80" s="688">
        <v>34735250.464186251</v>
      </c>
    </row>
    <row r="81" spans="1:32">
      <c r="A81" s="426" t="s">
        <v>259</v>
      </c>
      <c r="B81" s="615"/>
      <c r="C81" s="438">
        <f t="shared" si="10"/>
        <v>26709209.646391127</v>
      </c>
      <c r="D81" s="359">
        <f t="shared" si="11"/>
        <v>27096423.595130846</v>
      </c>
      <c r="F81" s="512" t="s">
        <v>624</v>
      </c>
      <c r="I81" s="688">
        <v>3058894.7522638366</v>
      </c>
      <c r="J81" s="688">
        <v>2473238.8326813434</v>
      </c>
      <c r="K81" s="688">
        <v>2461601.9743109597</v>
      </c>
      <c r="L81" s="688">
        <v>2004399.940601367</v>
      </c>
      <c r="M81" s="688">
        <v>1791733.0082904112</v>
      </c>
      <c r="N81" s="688">
        <v>1684204.829777909</v>
      </c>
      <c r="O81" s="688">
        <v>1907133.8046438498</v>
      </c>
      <c r="P81" s="688">
        <v>1877274.3339366219</v>
      </c>
      <c r="Q81" s="688">
        <v>1660320.2271794286</v>
      </c>
      <c r="R81" s="688">
        <v>1992561.7802704894</v>
      </c>
      <c r="S81" s="688">
        <v>2548862.1885088459</v>
      </c>
      <c r="T81" s="688">
        <v>3248983.9739260683</v>
      </c>
      <c r="U81" s="688">
        <v>3138112.7629084317</v>
      </c>
      <c r="V81" s="688">
        <v>2545430.4204149712</v>
      </c>
      <c r="W81" s="688">
        <v>2525924.185996708</v>
      </c>
      <c r="X81" s="688">
        <v>2071497.1842696331</v>
      </c>
      <c r="Y81" s="688">
        <v>1845831.6436738821</v>
      </c>
      <c r="Z81" s="688">
        <v>1734491.0894019161</v>
      </c>
      <c r="AA81" s="688">
        <v>1963648.6914108032</v>
      </c>
      <c r="AB81" s="688">
        <v>1920120.8665702781</v>
      </c>
      <c r="AC81" s="688">
        <v>1703183.1174590858</v>
      </c>
      <c r="AD81" s="688">
        <v>2036299.8856590544</v>
      </c>
      <c r="AE81" s="688">
        <v>2609184.9899267508</v>
      </c>
      <c r="AF81" s="688">
        <v>3331623.4853356341</v>
      </c>
    </row>
    <row r="82" spans="1:32">
      <c r="A82" s="426" t="s">
        <v>264</v>
      </c>
      <c r="B82" s="615"/>
      <c r="C82" s="438">
        <f t="shared" si="10"/>
        <v>672399683.50773418</v>
      </c>
      <c r="D82" s="359">
        <f t="shared" si="11"/>
        <v>672365850.0029242</v>
      </c>
      <c r="F82" s="512" t="s">
        <v>625</v>
      </c>
      <c r="I82" s="688">
        <v>58705688.672889099</v>
      </c>
      <c r="J82" s="688">
        <v>50775891.497975782</v>
      </c>
      <c r="K82" s="688">
        <v>55874054.611349985</v>
      </c>
      <c r="L82" s="688">
        <v>50859445.563261896</v>
      </c>
      <c r="M82" s="688">
        <v>52163036.580697536</v>
      </c>
      <c r="N82" s="688">
        <v>53179243.481219426</v>
      </c>
      <c r="O82" s="688">
        <v>62138552.239847951</v>
      </c>
      <c r="P82" s="688">
        <v>61134249.627716303</v>
      </c>
      <c r="Q82" s="688">
        <v>51982528.903718017</v>
      </c>
      <c r="R82" s="688">
        <v>56054102.40617568</v>
      </c>
      <c r="S82" s="688">
        <v>57523031.933842823</v>
      </c>
      <c r="T82" s="688">
        <v>62009857.989039704</v>
      </c>
      <c r="U82" s="688">
        <v>58686916.482998982</v>
      </c>
      <c r="V82" s="688">
        <v>50732848.98508738</v>
      </c>
      <c r="W82" s="688">
        <v>55729447.19213555</v>
      </c>
      <c r="X82" s="688">
        <v>50888186.9307651</v>
      </c>
      <c r="Y82" s="688">
        <v>52154410.363534637</v>
      </c>
      <c r="Z82" s="688">
        <v>53331716.948061943</v>
      </c>
      <c r="AA82" s="688">
        <v>62355969.544691451</v>
      </c>
      <c r="AB82" s="688">
        <v>61045244.137945823</v>
      </c>
      <c r="AC82" s="688">
        <v>52193369.188832715</v>
      </c>
      <c r="AD82" s="688">
        <v>56292626.576722138</v>
      </c>
      <c r="AE82" s="688">
        <v>58040197.715779036</v>
      </c>
      <c r="AF82" s="688">
        <v>62160009.964186937</v>
      </c>
    </row>
    <row r="83" spans="1:32">
      <c r="A83" s="426" t="s">
        <v>260</v>
      </c>
      <c r="B83" s="615"/>
      <c r="C83" s="438">
        <f t="shared" si="10"/>
        <v>9077337.8130688723</v>
      </c>
      <c r="D83" s="359">
        <f t="shared" si="11"/>
        <v>9075917.3700684831</v>
      </c>
      <c r="F83" s="512" t="s">
        <v>648</v>
      </c>
      <c r="I83" s="688">
        <v>943552.29956998117</v>
      </c>
      <c r="J83" s="688">
        <v>782653.04388266359</v>
      </c>
      <c r="K83" s="688">
        <v>817298.05181806604</v>
      </c>
      <c r="L83" s="688">
        <v>685075.52526460006</v>
      </c>
      <c r="M83" s="688">
        <v>656258.33729800605</v>
      </c>
      <c r="N83" s="688">
        <v>640449.07941588003</v>
      </c>
      <c r="O83" s="688">
        <v>750716.86114396434</v>
      </c>
      <c r="P83" s="688">
        <v>734132.67797126947</v>
      </c>
      <c r="Q83" s="688">
        <v>620191.19771996804</v>
      </c>
      <c r="R83" s="688">
        <v>688744.04259918793</v>
      </c>
      <c r="S83" s="688">
        <v>792882.99595139269</v>
      </c>
      <c r="T83" s="688">
        <v>965383.7004338929</v>
      </c>
      <c r="U83" s="688">
        <v>942540.09482174355</v>
      </c>
      <c r="V83" s="688">
        <v>780995.0432734408</v>
      </c>
      <c r="W83" s="688">
        <v>816040.50099605997</v>
      </c>
      <c r="X83" s="688">
        <v>686229.88404082309</v>
      </c>
      <c r="Y83" s="688">
        <v>657175.35970667144</v>
      </c>
      <c r="Z83" s="688">
        <v>640885.01141006849</v>
      </c>
      <c r="AA83" s="688">
        <v>752018.13582365704</v>
      </c>
      <c r="AB83" s="688">
        <v>732028.63679539086</v>
      </c>
      <c r="AC83" s="688">
        <v>621621.1664717833</v>
      </c>
      <c r="AD83" s="688">
        <v>687714.66201481258</v>
      </c>
      <c r="AE83" s="688">
        <v>794019.66626284481</v>
      </c>
      <c r="AF83" s="688">
        <v>962843.92143727327</v>
      </c>
    </row>
    <row r="84" spans="1:32">
      <c r="A84" s="426" t="s">
        <v>265</v>
      </c>
      <c r="B84" s="615"/>
      <c r="C84" s="438">
        <f t="shared" si="10"/>
        <v>339059645.97780299</v>
      </c>
      <c r="D84" s="359">
        <f t="shared" si="11"/>
        <v>344738299.9987452</v>
      </c>
      <c r="F84" s="512" t="s">
        <v>649</v>
      </c>
      <c r="I84" s="688">
        <v>28305189.06850506</v>
      </c>
      <c r="J84" s="688">
        <v>28934353.290570069</v>
      </c>
      <c r="K84" s="688">
        <v>27492914.665233955</v>
      </c>
      <c r="L84" s="688">
        <v>28975492.969842236</v>
      </c>
      <c r="M84" s="688">
        <v>27948136.839211773</v>
      </c>
      <c r="N84" s="688">
        <v>27941028.109483782</v>
      </c>
      <c r="O84" s="688">
        <v>27760183.567819811</v>
      </c>
      <c r="P84" s="688">
        <v>28408244.513930522</v>
      </c>
      <c r="Q84" s="688">
        <v>28912144.126510918</v>
      </c>
      <c r="R84" s="688">
        <v>27901430.59136204</v>
      </c>
      <c r="S84" s="688">
        <v>28670574.112858959</v>
      </c>
      <c r="T84" s="688">
        <v>27809954.122473925</v>
      </c>
      <c r="U84" s="688">
        <v>29283733.027405109</v>
      </c>
      <c r="V84" s="688">
        <v>29895011.369893909</v>
      </c>
      <c r="W84" s="688">
        <v>28437673.885073818</v>
      </c>
      <c r="X84" s="688">
        <v>29908372.158683695</v>
      </c>
      <c r="Y84" s="688">
        <v>28876838.36578542</v>
      </c>
      <c r="Z84" s="688">
        <v>28874140.15694705</v>
      </c>
      <c r="AA84" s="688">
        <v>28688262.770706993</v>
      </c>
      <c r="AB84" s="688">
        <v>29335738.138625026</v>
      </c>
      <c r="AC84" s="688">
        <v>29842445.885650277</v>
      </c>
      <c r="AD84" s="688">
        <v>28837299.263599519</v>
      </c>
      <c r="AE84" s="688">
        <v>29612913.087647982</v>
      </c>
      <c r="AF84" s="688">
        <v>28758464.179872446</v>
      </c>
    </row>
    <row r="85" spans="1:32">
      <c r="A85" s="426" t="s">
        <v>267</v>
      </c>
      <c r="B85" s="615"/>
      <c r="C85" s="438">
        <f t="shared" si="10"/>
        <v>457412100</v>
      </c>
      <c r="D85" s="359">
        <f t="shared" si="11"/>
        <v>460151543</v>
      </c>
      <c r="F85" s="512" t="s">
        <v>626</v>
      </c>
      <c r="I85" s="688">
        <v>38627250</v>
      </c>
      <c r="J85" s="688">
        <v>36090693</v>
      </c>
      <c r="K85" s="688">
        <v>38577221</v>
      </c>
      <c r="L85" s="688">
        <v>36310159</v>
      </c>
      <c r="M85" s="688">
        <v>37893940</v>
      </c>
      <c r="N85" s="688">
        <v>37443219</v>
      </c>
      <c r="O85" s="688">
        <v>40233723</v>
      </c>
      <c r="P85" s="688">
        <v>39900688</v>
      </c>
      <c r="Q85" s="688">
        <v>38181877</v>
      </c>
      <c r="R85" s="688">
        <v>39518213</v>
      </c>
      <c r="S85" s="688">
        <v>36699092</v>
      </c>
      <c r="T85" s="688">
        <v>37936025</v>
      </c>
      <c r="U85" s="688">
        <v>39163194</v>
      </c>
      <c r="V85" s="688">
        <v>36531956</v>
      </c>
      <c r="W85" s="688">
        <v>38904036</v>
      </c>
      <c r="X85" s="688">
        <v>36866549</v>
      </c>
      <c r="Y85" s="688">
        <v>38397932</v>
      </c>
      <c r="Z85" s="688">
        <v>37818258</v>
      </c>
      <c r="AA85" s="688">
        <v>40533899</v>
      </c>
      <c r="AB85" s="688">
        <v>40235570</v>
      </c>
      <c r="AC85" s="688">
        <v>38552141</v>
      </c>
      <c r="AD85" s="688">
        <v>39831466</v>
      </c>
      <c r="AE85" s="688">
        <v>36940485</v>
      </c>
      <c r="AF85" s="688">
        <v>38189824</v>
      </c>
    </row>
    <row r="86" spans="1:32">
      <c r="A86" s="426" t="s">
        <v>266</v>
      </c>
      <c r="B86" s="615"/>
      <c r="C86" s="438">
        <f t="shared" si="10"/>
        <v>51024916.547818907</v>
      </c>
      <c r="D86" s="359">
        <f t="shared" si="11"/>
        <v>50675815.657660708</v>
      </c>
      <c r="F86" s="512" t="s">
        <v>627</v>
      </c>
      <c r="I86" s="688">
        <v>3035567.1298822658</v>
      </c>
      <c r="J86" s="688">
        <v>2656784.7100313837</v>
      </c>
      <c r="K86" s="688">
        <v>3006228.6984267291</v>
      </c>
      <c r="L86" s="688">
        <v>3028690.6945361309</v>
      </c>
      <c r="M86" s="688">
        <v>3831167.4213756751</v>
      </c>
      <c r="N86" s="688">
        <v>5074157.9256976973</v>
      </c>
      <c r="O86" s="688">
        <v>7205523.1920138281</v>
      </c>
      <c r="P86" s="688">
        <v>7488852.2613325249</v>
      </c>
      <c r="Q86" s="688">
        <v>5456072.7489104848</v>
      </c>
      <c r="R86" s="688">
        <v>4153514.2553024678</v>
      </c>
      <c r="S86" s="688">
        <v>3023400.3896492189</v>
      </c>
      <c r="T86" s="688">
        <v>3064957.1206604997</v>
      </c>
      <c r="U86" s="688">
        <v>2990407.9939498259</v>
      </c>
      <c r="V86" s="688">
        <v>2619249.7522874502</v>
      </c>
      <c r="W86" s="688">
        <v>2954158.7858158024</v>
      </c>
      <c r="X86" s="688">
        <v>2974771.6600199733</v>
      </c>
      <c r="Y86" s="688">
        <v>3738711.639648472</v>
      </c>
      <c r="Z86" s="688">
        <v>5006195.8580701575</v>
      </c>
      <c r="AA86" s="688">
        <v>7155044.6575771198</v>
      </c>
      <c r="AB86" s="688">
        <v>7488712.4952577781</v>
      </c>
      <c r="AC86" s="688">
        <v>5543936.7555470476</v>
      </c>
      <c r="AD86" s="688">
        <v>4211824.6494986452</v>
      </c>
      <c r="AE86" s="688">
        <v>3029209.0907117538</v>
      </c>
      <c r="AF86" s="688">
        <v>3030038.5659789545</v>
      </c>
    </row>
    <row r="87" spans="1:32">
      <c r="A87" s="426" t="s">
        <v>261</v>
      </c>
      <c r="B87" s="615"/>
      <c r="C87" s="438">
        <f t="shared" si="10"/>
        <v>4796289.480537354</v>
      </c>
      <c r="D87" s="359">
        <f t="shared" si="11"/>
        <v>4744644.7361099487</v>
      </c>
      <c r="F87" s="512" t="s">
        <v>650</v>
      </c>
      <c r="I87" s="688">
        <v>240061.06588300748</v>
      </c>
      <c r="J87" s="688">
        <v>190653.36731107946</v>
      </c>
      <c r="K87" s="688">
        <v>186970.01115493895</v>
      </c>
      <c r="L87" s="688">
        <v>172354.83953158458</v>
      </c>
      <c r="M87" s="688">
        <v>299102.62141613872</v>
      </c>
      <c r="N87" s="688">
        <v>458016.75455748924</v>
      </c>
      <c r="O87" s="688">
        <v>850159.72744383686</v>
      </c>
      <c r="P87" s="688">
        <v>954175.79492049897</v>
      </c>
      <c r="Q87" s="688">
        <v>637070.09022434545</v>
      </c>
      <c r="R87" s="688">
        <v>353047.3096220732</v>
      </c>
      <c r="S87" s="688">
        <v>220437.51146302617</v>
      </c>
      <c r="T87" s="688">
        <v>234240.38700933373</v>
      </c>
      <c r="U87" s="688">
        <v>233157.58784261142</v>
      </c>
      <c r="V87" s="688">
        <v>184800.54762726856</v>
      </c>
      <c r="W87" s="688">
        <v>183448.63136166165</v>
      </c>
      <c r="X87" s="688">
        <v>168892.55223120208</v>
      </c>
      <c r="Y87" s="688">
        <v>285981.90279181697</v>
      </c>
      <c r="Z87" s="688">
        <v>439232.69357227476</v>
      </c>
      <c r="AA87" s="688">
        <v>830519.90740037709</v>
      </c>
      <c r="AB87" s="688">
        <v>938490.5434738152</v>
      </c>
      <c r="AC87" s="688">
        <v>631561.21639597532</v>
      </c>
      <c r="AD87" s="688">
        <v>349406.62738456955</v>
      </c>
      <c r="AE87" s="688">
        <v>213166.4570050654</v>
      </c>
      <c r="AF87" s="688">
        <v>226135.49674717197</v>
      </c>
    </row>
    <row r="88" spans="1:32">
      <c r="A88" s="437" t="s">
        <v>262</v>
      </c>
      <c r="B88" s="615"/>
      <c r="C88" s="438">
        <f t="shared" si="10"/>
        <v>13528779</v>
      </c>
      <c r="D88" s="359">
        <f t="shared" si="11"/>
        <v>13556850.2609</v>
      </c>
      <c r="F88" s="512" t="s">
        <v>628</v>
      </c>
      <c r="I88" s="688">
        <v>1124885</v>
      </c>
      <c r="J88" s="688">
        <v>1125474</v>
      </c>
      <c r="K88" s="688">
        <v>1126004</v>
      </c>
      <c r="L88" s="688">
        <v>1126954</v>
      </c>
      <c r="M88" s="688">
        <v>1126393</v>
      </c>
      <c r="N88" s="688">
        <v>1127285</v>
      </c>
      <c r="O88" s="688">
        <v>1127678</v>
      </c>
      <c r="P88" s="688">
        <v>1128252</v>
      </c>
      <c r="Q88" s="688">
        <v>1128065</v>
      </c>
      <c r="R88" s="688">
        <v>1128991</v>
      </c>
      <c r="S88" s="688">
        <v>1129227</v>
      </c>
      <c r="T88" s="688">
        <v>1129571</v>
      </c>
      <c r="U88" s="688">
        <v>1129605</v>
      </c>
      <c r="V88" s="688">
        <v>1130482</v>
      </c>
      <c r="W88" s="688">
        <v>1130700</v>
      </c>
      <c r="X88" s="688">
        <v>1131032</v>
      </c>
      <c r="Y88" s="688">
        <v>1131238</v>
      </c>
      <c r="Z88" s="688">
        <v>1132009.2609000001</v>
      </c>
      <c r="AA88" s="688">
        <v>1132222.0055</v>
      </c>
      <c r="AB88" s="688">
        <v>1132588.7502000001</v>
      </c>
      <c r="AC88" s="688">
        <v>1132880.4948</v>
      </c>
      <c r="AD88" s="688">
        <v>1133506.2394000001</v>
      </c>
      <c r="AE88" s="688">
        <v>1133715.9839999999</v>
      </c>
      <c r="AF88" s="688">
        <v>1134122.7286</v>
      </c>
    </row>
    <row r="89" spans="1:32">
      <c r="A89" s="423"/>
      <c r="B89" s="615"/>
      <c r="F89" s="512"/>
    </row>
    <row r="90" spans="1:32">
      <c r="A90" s="429" t="s">
        <v>269</v>
      </c>
      <c r="B90" s="615"/>
      <c r="F90" s="512"/>
    </row>
    <row r="91" spans="1:32">
      <c r="A91" s="422" t="s">
        <v>31</v>
      </c>
      <c r="B91" s="1">
        <f>C91/C$94</f>
        <v>0.65133420005878084</v>
      </c>
      <c r="C91" s="358">
        <f>SUM(C69:C78)</f>
        <v>5798001680.6378975</v>
      </c>
      <c r="D91" s="358">
        <f>SUM(D69:D78)</f>
        <v>5819947790.2783852</v>
      </c>
      <c r="E91" s="1">
        <f>D91/D$94</f>
        <v>0.65112363208224699</v>
      </c>
      <c r="F91" s="512" t="s">
        <v>651</v>
      </c>
      <c r="I91" s="358">
        <f>SUM(I69:I78)</f>
        <v>563826584.6036104</v>
      </c>
      <c r="J91" s="358">
        <f t="shared" ref="J91:AF91" si="12">SUM(J69:J78)</f>
        <v>489695080.39938855</v>
      </c>
      <c r="K91" s="358">
        <f t="shared" si="12"/>
        <v>496329072.63557893</v>
      </c>
      <c r="L91" s="358">
        <f t="shared" si="12"/>
        <v>442026830.30193633</v>
      </c>
      <c r="M91" s="358">
        <f t="shared" si="12"/>
        <v>429973418.65787423</v>
      </c>
      <c r="N91" s="358">
        <f t="shared" si="12"/>
        <v>431226984.79367089</v>
      </c>
      <c r="O91" s="358">
        <f t="shared" si="12"/>
        <v>488409378.35810202</v>
      </c>
      <c r="P91" s="358">
        <f t="shared" si="12"/>
        <v>487096689.37796944</v>
      </c>
      <c r="Q91" s="358">
        <f t="shared" si="12"/>
        <v>428547080.41065031</v>
      </c>
      <c r="R91" s="358">
        <f t="shared" si="12"/>
        <v>462957007.5944463</v>
      </c>
      <c r="S91" s="358">
        <f t="shared" si="12"/>
        <v>503102240.41276228</v>
      </c>
      <c r="T91" s="358">
        <f t="shared" si="12"/>
        <v>574811313.09190857</v>
      </c>
      <c r="U91" s="358">
        <f t="shared" si="12"/>
        <v>568084194.79233027</v>
      </c>
      <c r="V91" s="358">
        <f t="shared" si="12"/>
        <v>492735373.70321554</v>
      </c>
      <c r="W91" s="358">
        <f t="shared" si="12"/>
        <v>498603469.33586866</v>
      </c>
      <c r="X91" s="358">
        <f t="shared" si="12"/>
        <v>445865472.53901947</v>
      </c>
      <c r="Y91" s="358">
        <f t="shared" si="12"/>
        <v>433579834.92601597</v>
      </c>
      <c r="Z91" s="358">
        <f t="shared" si="12"/>
        <v>436155735.73609757</v>
      </c>
      <c r="AA91" s="358">
        <f t="shared" si="12"/>
        <v>492659131.464203</v>
      </c>
      <c r="AB91" s="358">
        <f t="shared" si="12"/>
        <v>491115251.7463975</v>
      </c>
      <c r="AC91" s="358">
        <f t="shared" si="12"/>
        <v>432135963.17853755</v>
      </c>
      <c r="AD91" s="358">
        <f t="shared" si="12"/>
        <v>466704191.30402327</v>
      </c>
      <c r="AE91" s="358">
        <f t="shared" si="12"/>
        <v>508164988.18347436</v>
      </c>
      <c r="AF91" s="358">
        <f t="shared" si="12"/>
        <v>577854038.46809471</v>
      </c>
    </row>
    <row r="92" spans="1:32">
      <c r="A92" s="421" t="s">
        <v>257</v>
      </c>
      <c r="B92" s="1">
        <f>C92/C$94</f>
        <v>0.34866579994121899</v>
      </c>
      <c r="C92" s="358">
        <f>SUM(C79:C88)</f>
        <v>3103729074.6558447</v>
      </c>
      <c r="D92" s="358">
        <f>SUM(D79:D88)</f>
        <v>3118366691.8217435</v>
      </c>
      <c r="E92" s="1">
        <f t="shared" ref="E92:E94" si="13">D92/D$94</f>
        <v>0.34887636791775284</v>
      </c>
      <c r="F92" s="512" t="s">
        <v>652</v>
      </c>
      <c r="I92" s="358">
        <f>SUM(I79:I88)</f>
        <v>301133973.60230386</v>
      </c>
      <c r="J92" s="358">
        <f t="shared" ref="J92:AF92" si="14">SUM(J79:J88)</f>
        <v>259363133.89901039</v>
      </c>
      <c r="K92" s="358">
        <f t="shared" si="14"/>
        <v>269957338.2327137</v>
      </c>
      <c r="L92" s="358">
        <f t="shared" si="14"/>
        <v>239523743.97529149</v>
      </c>
      <c r="M92" s="358">
        <f t="shared" si="14"/>
        <v>232376577.04964063</v>
      </c>
      <c r="N92" s="358">
        <f t="shared" si="14"/>
        <v>228582725.55287832</v>
      </c>
      <c r="O92" s="358">
        <f t="shared" si="14"/>
        <v>261171915.60734457</v>
      </c>
      <c r="P92" s="358">
        <f t="shared" si="14"/>
        <v>256077718.98729289</v>
      </c>
      <c r="Q92" s="358">
        <f t="shared" si="14"/>
        <v>224599140.21684831</v>
      </c>
      <c r="R92" s="358">
        <f t="shared" si="14"/>
        <v>245665650.87145206</v>
      </c>
      <c r="S92" s="358">
        <f t="shared" si="14"/>
        <v>273060333.46105486</v>
      </c>
      <c r="T92" s="358">
        <f t="shared" si="14"/>
        <v>312216823.20001364</v>
      </c>
      <c r="U92" s="358">
        <f t="shared" si="14"/>
        <v>303910340.7777316</v>
      </c>
      <c r="V92" s="358">
        <f t="shared" si="14"/>
        <v>261767340.60560644</v>
      </c>
      <c r="W92" s="358">
        <f t="shared" si="14"/>
        <v>271951311.00677907</v>
      </c>
      <c r="X92" s="358">
        <f t="shared" si="14"/>
        <v>242349589.50933704</v>
      </c>
      <c r="Y92" s="358">
        <f t="shared" si="14"/>
        <v>234890744.02490866</v>
      </c>
      <c r="Z92" s="358">
        <f t="shared" si="14"/>
        <v>230705783.5533748</v>
      </c>
      <c r="AA92" s="358">
        <f t="shared" si="14"/>
        <v>263665154.35790923</v>
      </c>
      <c r="AB92" s="358">
        <f t="shared" si="14"/>
        <v>257980548.25734985</v>
      </c>
      <c r="AC92" s="358">
        <f t="shared" si="14"/>
        <v>226948085.48296687</v>
      </c>
      <c r="AD92" s="358">
        <f t="shared" si="14"/>
        <v>247391836.53076249</v>
      </c>
      <c r="AE92" s="358">
        <f t="shared" si="14"/>
        <v>275854036.4467904</v>
      </c>
      <c r="AF92" s="358">
        <f t="shared" si="14"/>
        <v>314756269.60952419</v>
      </c>
    </row>
    <row r="93" spans="1:32">
      <c r="A93" s="435"/>
      <c r="B93" s="486"/>
      <c r="C93" s="358"/>
      <c r="D93" s="358"/>
      <c r="E93" s="1"/>
      <c r="F93" s="512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</row>
    <row r="94" spans="1:32">
      <c r="A94" s="696" t="s">
        <v>355</v>
      </c>
      <c r="B94" s="1">
        <f>C94/C$94</f>
        <v>1</v>
      </c>
      <c r="C94" s="359">
        <f>SUM(C69:C88)</f>
        <v>8901730755.2937431</v>
      </c>
      <c r="D94" s="359">
        <f>SUM(D69:D88)</f>
        <v>8938314482.1001301</v>
      </c>
      <c r="E94" s="1">
        <f t="shared" si="13"/>
        <v>1</v>
      </c>
      <c r="F94" s="512" t="s">
        <v>653</v>
      </c>
      <c r="I94" s="359">
        <f>SUM(I69:I88)</f>
        <v>864960558.20591426</v>
      </c>
      <c r="J94" s="359">
        <f t="shared" ref="J94:AF94" si="15">SUM(J69:J88)</f>
        <v>749058214.29839885</v>
      </c>
      <c r="K94" s="359">
        <f t="shared" si="15"/>
        <v>766286410.86829245</v>
      </c>
      <c r="L94" s="359">
        <f t="shared" si="15"/>
        <v>681550574.27722776</v>
      </c>
      <c r="M94" s="359">
        <f t="shared" si="15"/>
        <v>662349995.70751488</v>
      </c>
      <c r="N94" s="359">
        <f t="shared" si="15"/>
        <v>659809710.34654927</v>
      </c>
      <c r="O94" s="359">
        <f t="shared" si="15"/>
        <v>749581293.96544659</v>
      </c>
      <c r="P94" s="359">
        <f t="shared" si="15"/>
        <v>743174408.36526215</v>
      </c>
      <c r="Q94" s="359">
        <f t="shared" si="15"/>
        <v>653146220.62749851</v>
      </c>
      <c r="R94" s="359">
        <f t="shared" si="15"/>
        <v>708622658.46589828</v>
      </c>
      <c r="S94" s="359">
        <f t="shared" si="15"/>
        <v>776162573.87381721</v>
      </c>
      <c r="T94" s="359">
        <f t="shared" si="15"/>
        <v>887028136.29192221</v>
      </c>
      <c r="U94" s="359">
        <f t="shared" si="15"/>
        <v>871994535.57006192</v>
      </c>
      <c r="V94" s="359">
        <f t="shared" si="15"/>
        <v>754502714.30882204</v>
      </c>
      <c r="W94" s="359">
        <f t="shared" si="15"/>
        <v>770554780.34264767</v>
      </c>
      <c r="X94" s="359">
        <f t="shared" si="15"/>
        <v>688215062.04835665</v>
      </c>
      <c r="Y94" s="359">
        <f t="shared" si="15"/>
        <v>668470578.95092475</v>
      </c>
      <c r="Z94" s="359">
        <f t="shared" si="15"/>
        <v>666861519.28947246</v>
      </c>
      <c r="AA94" s="359">
        <f t="shared" si="15"/>
        <v>756324285.8221122</v>
      </c>
      <c r="AB94" s="359">
        <f t="shared" si="15"/>
        <v>749095800.00374722</v>
      </c>
      <c r="AC94" s="359">
        <f t="shared" si="15"/>
        <v>659084048.66150439</v>
      </c>
      <c r="AD94" s="359">
        <f t="shared" si="15"/>
        <v>714096027.83478594</v>
      </c>
      <c r="AE94" s="359">
        <f t="shared" si="15"/>
        <v>784019024.63026464</v>
      </c>
      <c r="AF94" s="359">
        <f t="shared" si="15"/>
        <v>892610308.07761884</v>
      </c>
    </row>
    <row r="95" spans="1:32">
      <c r="A95" s="435"/>
      <c r="B95" s="615"/>
      <c r="F95" s="512"/>
    </row>
    <row r="96" spans="1:32">
      <c r="A96" s="435"/>
      <c r="B96" s="615"/>
      <c r="F96" s="512"/>
    </row>
    <row r="97" spans="1:32">
      <c r="A97" s="435"/>
      <c r="B97" s="615"/>
      <c r="F97" s="512"/>
    </row>
    <row r="98" spans="1:32">
      <c r="A98" s="432" t="s">
        <v>475</v>
      </c>
      <c r="B98" s="615"/>
      <c r="F98" s="512"/>
    </row>
    <row r="99" spans="1:32">
      <c r="A99" s="435" t="s">
        <v>476</v>
      </c>
      <c r="B99" s="615"/>
      <c r="F99" s="512" t="s">
        <v>654</v>
      </c>
      <c r="I99" s="688">
        <v>922231110.14597964</v>
      </c>
      <c r="J99" s="688">
        <v>798654669.259408</v>
      </c>
      <c r="K99" s="688">
        <v>817023574.86756849</v>
      </c>
      <c r="L99" s="688">
        <v>726677230.27745783</v>
      </c>
      <c r="M99" s="688">
        <v>706205347.80628514</v>
      </c>
      <c r="N99" s="688">
        <v>703496865.70695078</v>
      </c>
      <c r="O99" s="688">
        <v>799212382.94641912</v>
      </c>
      <c r="P99" s="688">
        <v>792381286.24081707</v>
      </c>
      <c r="Q99" s="688">
        <v>696392174.67480385</v>
      </c>
      <c r="R99" s="688">
        <v>755541804.52702665</v>
      </c>
      <c r="S99" s="688">
        <v>827553655.90555179</v>
      </c>
      <c r="T99" s="688">
        <v>945759821.18767691</v>
      </c>
      <c r="U99" s="688">
        <v>929730819.45843053</v>
      </c>
      <c r="V99" s="688">
        <v>804459659.14150953</v>
      </c>
      <c r="W99" s="688">
        <v>821574560.55298829</v>
      </c>
      <c r="X99" s="688">
        <v>733782985.44445729</v>
      </c>
      <c r="Y99" s="688">
        <v>712731185.57514107</v>
      </c>
      <c r="Z99" s="688">
        <v>711015587.25820708</v>
      </c>
      <c r="AA99" s="688">
        <v>806401840.09181392</v>
      </c>
      <c r="AB99" s="688">
        <v>798694743.58006978</v>
      </c>
      <c r="AC99" s="688">
        <v>702723156.69208276</v>
      </c>
      <c r="AD99" s="688">
        <v>761377575.25832796</v>
      </c>
      <c r="AE99" s="688">
        <v>835930296.01265037</v>
      </c>
      <c r="AF99" s="688">
        <v>951711598.33417082</v>
      </c>
    </row>
    <row r="100" spans="1:32">
      <c r="A100" s="435" t="s">
        <v>477</v>
      </c>
      <c r="B100" s="615"/>
      <c r="F100" s="512" t="s">
        <v>655</v>
      </c>
      <c r="I100" s="688">
        <v>57270551.940065339</v>
      </c>
      <c r="J100" s="688">
        <v>49596454.961009234</v>
      </c>
      <c r="K100" s="688">
        <v>50737163.999275997</v>
      </c>
      <c r="L100" s="688">
        <v>45126656.000230134</v>
      </c>
      <c r="M100" s="688">
        <v>43855352.098770306</v>
      </c>
      <c r="N100" s="688">
        <v>43687155.360401645</v>
      </c>
      <c r="O100" s="688">
        <v>49631088.980972625</v>
      </c>
      <c r="P100" s="688">
        <v>49206877.875554748</v>
      </c>
      <c r="Q100" s="688">
        <v>43245954.047305331</v>
      </c>
      <c r="R100" s="688">
        <v>46919146.061128356</v>
      </c>
      <c r="S100" s="688">
        <v>51391082.031734765</v>
      </c>
      <c r="T100" s="688">
        <v>58731684.89575474</v>
      </c>
      <c r="U100" s="688">
        <v>57736283.88836854</v>
      </c>
      <c r="V100" s="688">
        <v>49956944.832687743</v>
      </c>
      <c r="W100" s="688">
        <v>51019780.210340574</v>
      </c>
      <c r="X100" s="688">
        <v>45567923.396100797</v>
      </c>
      <c r="Y100" s="688">
        <v>44260606.624216266</v>
      </c>
      <c r="Z100" s="688">
        <v>44154067.968734659</v>
      </c>
      <c r="AA100" s="688">
        <v>50077554.269701652</v>
      </c>
      <c r="AB100" s="688">
        <v>49598943.576322332</v>
      </c>
      <c r="AC100" s="688">
        <v>43639108.030578338</v>
      </c>
      <c r="AD100" s="688">
        <v>47281547.423542172</v>
      </c>
      <c r="AE100" s="688">
        <v>51911271.382385589</v>
      </c>
      <c r="AF100" s="688">
        <v>59101290.256552018</v>
      </c>
    </row>
    <row r="101" spans="1:32">
      <c r="A101" s="615"/>
      <c r="B101" s="615"/>
      <c r="F101" s="512"/>
      <c r="I101" s="688"/>
      <c r="J101" s="688"/>
      <c r="K101" s="688"/>
      <c r="L101" s="688"/>
      <c r="M101" s="688"/>
      <c r="N101" s="688"/>
      <c r="O101" s="688"/>
      <c r="P101" s="688"/>
      <c r="Q101" s="688"/>
      <c r="R101" s="688"/>
      <c r="S101" s="688"/>
      <c r="T101" s="688"/>
      <c r="U101" s="688"/>
      <c r="V101" s="688"/>
      <c r="W101" s="688"/>
      <c r="X101" s="688"/>
      <c r="Y101" s="688"/>
      <c r="Z101" s="688"/>
      <c r="AA101" s="688"/>
      <c r="AB101" s="688"/>
      <c r="AC101" s="688"/>
      <c r="AD101" s="688"/>
      <c r="AE101" s="688"/>
      <c r="AF101" s="688"/>
    </row>
    <row r="102" spans="1:32">
      <c r="A102" s="435" t="s">
        <v>478</v>
      </c>
      <c r="B102" s="615"/>
      <c r="F102" s="512" t="s">
        <v>656</v>
      </c>
      <c r="I102" s="688">
        <f>I94</f>
        <v>864960558.20591426</v>
      </c>
      <c r="J102" s="688">
        <f t="shared" ref="J102:AF102" si="16">J94</f>
        <v>749058214.29839885</v>
      </c>
      <c r="K102" s="688">
        <f t="shared" si="16"/>
        <v>766286410.86829245</v>
      </c>
      <c r="L102" s="688">
        <f t="shared" si="16"/>
        <v>681550574.27722776</v>
      </c>
      <c r="M102" s="688">
        <f t="shared" si="16"/>
        <v>662349995.70751488</v>
      </c>
      <c r="N102" s="688">
        <f t="shared" si="16"/>
        <v>659809710.34654927</v>
      </c>
      <c r="O102" s="688">
        <f t="shared" si="16"/>
        <v>749581293.96544659</v>
      </c>
      <c r="P102" s="688">
        <f t="shared" si="16"/>
        <v>743174408.36526215</v>
      </c>
      <c r="Q102" s="688">
        <f t="shared" si="16"/>
        <v>653146220.62749851</v>
      </c>
      <c r="R102" s="688">
        <f t="shared" si="16"/>
        <v>708622658.46589828</v>
      </c>
      <c r="S102" s="688">
        <f t="shared" si="16"/>
        <v>776162573.87381721</v>
      </c>
      <c r="T102" s="688">
        <f t="shared" si="16"/>
        <v>887028136.29192221</v>
      </c>
      <c r="U102" s="688">
        <f t="shared" si="16"/>
        <v>871994535.57006192</v>
      </c>
      <c r="V102" s="688">
        <f t="shared" si="16"/>
        <v>754502714.30882204</v>
      </c>
      <c r="W102" s="688">
        <f t="shared" si="16"/>
        <v>770554780.34264767</v>
      </c>
      <c r="X102" s="688">
        <f t="shared" si="16"/>
        <v>688215062.04835665</v>
      </c>
      <c r="Y102" s="688">
        <f t="shared" si="16"/>
        <v>668470578.95092475</v>
      </c>
      <c r="Z102" s="688">
        <f t="shared" si="16"/>
        <v>666861519.28947246</v>
      </c>
      <c r="AA102" s="688">
        <f t="shared" si="16"/>
        <v>756324285.8221122</v>
      </c>
      <c r="AB102" s="688">
        <f t="shared" si="16"/>
        <v>749095800.00374722</v>
      </c>
      <c r="AC102" s="688">
        <f t="shared" si="16"/>
        <v>659084048.66150439</v>
      </c>
      <c r="AD102" s="688">
        <f t="shared" si="16"/>
        <v>714096027.83478594</v>
      </c>
      <c r="AE102" s="688">
        <f t="shared" si="16"/>
        <v>784019024.63026464</v>
      </c>
      <c r="AF102" s="688">
        <f t="shared" si="16"/>
        <v>892610308.07761884</v>
      </c>
    </row>
    <row r="103" spans="1:32">
      <c r="A103" s="615"/>
      <c r="B103" s="615"/>
      <c r="F103" s="512"/>
      <c r="I103" s="688"/>
      <c r="J103" s="688"/>
      <c r="K103" s="688"/>
      <c r="L103" s="688"/>
      <c r="M103" s="688"/>
      <c r="N103" s="688"/>
      <c r="O103" s="688"/>
      <c r="P103" s="688"/>
      <c r="Q103" s="688"/>
      <c r="R103" s="688"/>
      <c r="S103" s="688"/>
      <c r="T103" s="688"/>
      <c r="U103" s="688"/>
      <c r="V103" s="688"/>
      <c r="W103" s="688"/>
      <c r="X103" s="688"/>
      <c r="Y103" s="688"/>
      <c r="Z103" s="688"/>
      <c r="AA103" s="688"/>
      <c r="AB103" s="688"/>
      <c r="AC103" s="688"/>
      <c r="AD103" s="688"/>
      <c r="AE103" s="688"/>
      <c r="AF103" s="688"/>
    </row>
    <row r="104" spans="1:32">
      <c r="A104" s="435" t="s">
        <v>479</v>
      </c>
      <c r="B104" s="615"/>
      <c r="F104" s="512" t="s">
        <v>657</v>
      </c>
      <c r="I104" s="688">
        <f>I99-I100-I102</f>
        <v>0</v>
      </c>
      <c r="J104" s="688">
        <f t="shared" ref="J104:AF104" si="17">J99-J100-J102</f>
        <v>0</v>
      </c>
      <c r="K104" s="688">
        <f t="shared" si="17"/>
        <v>0</v>
      </c>
      <c r="L104" s="688">
        <f t="shared" si="17"/>
        <v>0</v>
      </c>
      <c r="M104" s="688">
        <f t="shared" si="17"/>
        <v>0</v>
      </c>
      <c r="N104" s="688">
        <f t="shared" si="17"/>
        <v>0</v>
      </c>
      <c r="O104" s="688">
        <f t="shared" si="17"/>
        <v>0</v>
      </c>
      <c r="P104" s="688">
        <f t="shared" si="17"/>
        <v>0</v>
      </c>
      <c r="Q104" s="688">
        <f t="shared" si="17"/>
        <v>0</v>
      </c>
      <c r="R104" s="688">
        <f t="shared" si="17"/>
        <v>0</v>
      </c>
      <c r="S104" s="688">
        <f t="shared" si="17"/>
        <v>0</v>
      </c>
      <c r="T104" s="688">
        <f t="shared" si="17"/>
        <v>0</v>
      </c>
      <c r="U104" s="688">
        <f t="shared" si="17"/>
        <v>0</v>
      </c>
      <c r="V104" s="688">
        <f t="shared" si="17"/>
        <v>0</v>
      </c>
      <c r="W104" s="688">
        <f t="shared" si="17"/>
        <v>0</v>
      </c>
      <c r="X104" s="688">
        <f t="shared" si="17"/>
        <v>0</v>
      </c>
      <c r="Y104" s="688">
        <f t="shared" si="17"/>
        <v>0</v>
      </c>
      <c r="Z104" s="688">
        <f t="shared" si="17"/>
        <v>0</v>
      </c>
      <c r="AA104" s="688">
        <f t="shared" si="17"/>
        <v>0</v>
      </c>
      <c r="AB104" s="688">
        <f t="shared" si="17"/>
        <v>0</v>
      </c>
      <c r="AC104" s="688">
        <f t="shared" si="17"/>
        <v>0</v>
      </c>
      <c r="AD104" s="688">
        <f t="shared" si="17"/>
        <v>0</v>
      </c>
      <c r="AE104" s="688">
        <f t="shared" si="17"/>
        <v>0</v>
      </c>
      <c r="AF104" s="688">
        <f t="shared" si="17"/>
        <v>0</v>
      </c>
    </row>
    <row r="192" spans="2:2" ht="15">
      <c r="B192" s="697"/>
    </row>
    <row r="242" spans="5:5">
      <c r="E242" s="458"/>
    </row>
    <row r="243" spans="5:5">
      <c r="E243" s="458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K29" sqref="K29"/>
    </sheetView>
  </sheetViews>
  <sheetFormatPr defaultColWidth="9.140625" defaultRowHeight="12.75"/>
  <cols>
    <col min="1" max="1" width="26" style="317" customWidth="1"/>
    <col min="2" max="2" width="9.140625" style="317"/>
    <col min="3" max="3" width="9.42578125" style="317" customWidth="1"/>
    <col min="4" max="4" width="9.85546875" style="317" customWidth="1"/>
    <col min="5" max="5" width="8" style="317" customWidth="1"/>
    <col min="6" max="6" width="12.140625" style="317" customWidth="1"/>
    <col min="7" max="7" width="3.7109375" style="317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17"/>
  </cols>
  <sheetData>
    <row r="1" spans="1:17">
      <c r="A1" s="857" t="s">
        <v>6</v>
      </c>
      <c r="B1" s="53"/>
      <c r="C1" s="53"/>
      <c r="D1" s="53"/>
      <c r="E1" s="53"/>
      <c r="F1" s="53"/>
      <c r="G1" s="53"/>
      <c r="H1" s="500"/>
    </row>
    <row r="2" spans="1:17">
      <c r="A2" s="53" t="s">
        <v>125</v>
      </c>
      <c r="B2" s="53"/>
      <c r="C2" s="53"/>
      <c r="D2" s="53"/>
      <c r="E2" s="53"/>
      <c r="F2" s="53"/>
      <c r="G2" s="53"/>
      <c r="H2" s="500"/>
    </row>
    <row r="3" spans="1:17">
      <c r="A3" s="54" t="s">
        <v>658</v>
      </c>
      <c r="B3" s="53"/>
      <c r="C3" s="53"/>
      <c r="D3" s="53"/>
      <c r="E3" s="53"/>
      <c r="F3" s="53"/>
      <c r="G3" s="53"/>
      <c r="H3" s="500"/>
    </row>
    <row r="4" spans="1:17">
      <c r="G4" s="70"/>
      <c r="L4" s="501"/>
      <c r="M4" s="501"/>
      <c r="N4" s="501"/>
      <c r="O4" s="501"/>
    </row>
    <row r="5" spans="1:17">
      <c r="D5" s="111" t="s">
        <v>678</v>
      </c>
      <c r="F5" s="791" t="s">
        <v>675</v>
      </c>
      <c r="G5" s="70"/>
      <c r="H5" s="111"/>
      <c r="L5" s="501"/>
      <c r="M5" s="501"/>
      <c r="N5" s="501"/>
      <c r="O5" s="501"/>
    </row>
    <row r="6" spans="1:17">
      <c r="D6" s="318" t="s">
        <v>88</v>
      </c>
      <c r="E6" s="318"/>
      <c r="F6" s="318" t="s">
        <v>8</v>
      </c>
      <c r="G6" s="70"/>
      <c r="L6" s="498"/>
      <c r="M6" s="498"/>
      <c r="N6" s="498"/>
      <c r="O6" s="501"/>
    </row>
    <row r="7" spans="1:17">
      <c r="D7" s="318" t="s">
        <v>87</v>
      </c>
      <c r="E7" s="318"/>
      <c r="F7" s="318" t="s">
        <v>5</v>
      </c>
      <c r="G7" s="70"/>
      <c r="L7" s="498"/>
      <c r="M7" s="498"/>
      <c r="N7" s="498"/>
      <c r="O7" s="501"/>
    </row>
    <row r="8" spans="1:17">
      <c r="D8" s="56" t="s">
        <v>97</v>
      </c>
      <c r="E8" s="56"/>
      <c r="F8" s="56" t="s">
        <v>126</v>
      </c>
      <c r="G8" s="71"/>
      <c r="L8" s="387"/>
      <c r="M8" s="387"/>
      <c r="N8" s="387"/>
      <c r="O8" s="501"/>
    </row>
    <row r="9" spans="1:17">
      <c r="A9" s="317" t="s">
        <v>9</v>
      </c>
      <c r="E9" s="1"/>
      <c r="F9" s="858">
        <v>0.65629999999999999</v>
      </c>
      <c r="G9" s="72"/>
      <c r="L9" s="501"/>
      <c r="M9" s="502"/>
      <c r="N9" s="502"/>
      <c r="O9" s="501"/>
    </row>
    <row r="10" spans="1:17">
      <c r="G10" s="70"/>
      <c r="L10" s="501"/>
      <c r="M10" s="501"/>
      <c r="N10" s="501"/>
      <c r="O10" s="501"/>
    </row>
    <row r="11" spans="1:17">
      <c r="A11" s="317" t="s">
        <v>10</v>
      </c>
      <c r="D11" s="57">
        <v>75430</v>
      </c>
      <c r="E11" s="57"/>
      <c r="F11" s="57">
        <f>ROUND(F$9*D11,0)-1</f>
        <v>49504</v>
      </c>
      <c r="G11" s="63"/>
      <c r="H11" s="503"/>
      <c r="L11" s="504"/>
      <c r="M11" s="504"/>
      <c r="N11" s="504"/>
      <c r="O11" s="501"/>
    </row>
    <row r="12" spans="1:17">
      <c r="A12" s="317" t="s">
        <v>11</v>
      </c>
      <c r="D12" s="58">
        <v>407</v>
      </c>
      <c r="E12" s="58"/>
      <c r="F12" s="58">
        <f>ROUND(F$9*D12,0)</f>
        <v>267</v>
      </c>
      <c r="G12" s="60"/>
      <c r="H12" s="503"/>
      <c r="L12" s="505"/>
      <c r="M12" s="505"/>
      <c r="N12" s="505"/>
      <c r="O12" s="501"/>
    </row>
    <row r="13" spans="1:17">
      <c r="A13" s="317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03"/>
      <c r="L13" s="505"/>
      <c r="M13" s="505"/>
      <c r="N13" s="505"/>
      <c r="O13" s="501"/>
    </row>
    <row r="14" spans="1:17">
      <c r="A14" s="317" t="s">
        <v>378</v>
      </c>
      <c r="C14" s="417" t="s">
        <v>97</v>
      </c>
      <c r="D14" s="245">
        <f>16015-D15-D16</f>
        <v>15864</v>
      </c>
      <c r="E14" s="58"/>
      <c r="F14" s="58">
        <f t="shared" si="0"/>
        <v>10412</v>
      </c>
      <c r="G14" s="60"/>
      <c r="H14" s="503"/>
      <c r="I14" s="506"/>
      <c r="J14" s="506"/>
      <c r="K14" s="507"/>
      <c r="L14" s="507"/>
      <c r="N14" s="505"/>
      <c r="O14" s="501"/>
    </row>
    <row r="15" spans="1:17" s="417" customFormat="1">
      <c r="A15" s="417" t="s">
        <v>378</v>
      </c>
      <c r="C15" s="417" t="s">
        <v>471</v>
      </c>
      <c r="D15" s="245">
        <v>100</v>
      </c>
      <c r="E15" s="58"/>
      <c r="F15" s="58">
        <f>D15</f>
        <v>100</v>
      </c>
      <c r="G15" s="60"/>
      <c r="H15" s="508"/>
      <c r="I15" s="36"/>
      <c r="J15" s="36"/>
      <c r="K15" s="36"/>
      <c r="L15" s="505"/>
      <c r="M15" s="505"/>
      <c r="N15" s="505"/>
      <c r="O15" s="501"/>
      <c r="P15" s="73"/>
      <c r="Q15" s="73"/>
    </row>
    <row r="16" spans="1:17" s="417" customFormat="1">
      <c r="A16" s="417" t="s">
        <v>378</v>
      </c>
      <c r="C16" s="417" t="s">
        <v>472</v>
      </c>
      <c r="D16" s="245">
        <v>51</v>
      </c>
      <c r="E16" s="58"/>
      <c r="F16" s="58">
        <v>0</v>
      </c>
      <c r="G16" s="60"/>
      <c r="H16" s="508"/>
      <c r="I16" s="36"/>
      <c r="J16" s="36"/>
      <c r="K16" s="36"/>
      <c r="L16" s="505"/>
      <c r="M16" s="505"/>
      <c r="N16" s="505"/>
      <c r="O16" s="501"/>
      <c r="P16" s="73"/>
      <c r="Q16" s="73"/>
    </row>
    <row r="17" spans="1:17">
      <c r="A17" s="317" t="s">
        <v>13</v>
      </c>
      <c r="D17" s="496">
        <f>0-D18</f>
        <v>0</v>
      </c>
      <c r="E17" s="58"/>
      <c r="F17" s="58">
        <f t="shared" si="0"/>
        <v>0</v>
      </c>
      <c r="G17" s="60"/>
      <c r="H17" s="503"/>
      <c r="L17" s="505"/>
      <c r="M17" s="505"/>
      <c r="N17" s="505"/>
      <c r="O17" s="501"/>
    </row>
    <row r="18" spans="1:17">
      <c r="A18" s="317" t="s">
        <v>127</v>
      </c>
      <c r="D18" s="246">
        <v>0</v>
      </c>
      <c r="E18" s="60"/>
      <c r="F18" s="58">
        <f>D18</f>
        <v>0</v>
      </c>
      <c r="G18" s="60"/>
      <c r="H18" s="503"/>
      <c r="L18" s="505"/>
      <c r="M18" s="505"/>
      <c r="N18" s="505"/>
      <c r="O18" s="501"/>
    </row>
    <row r="19" spans="1:17">
      <c r="A19" s="317" t="s">
        <v>14</v>
      </c>
      <c r="D19" s="58">
        <f>SUM(D11:D18)</f>
        <v>91852</v>
      </c>
      <c r="E19" s="60"/>
      <c r="F19" s="324">
        <f>SUM(F11:F18)</f>
        <v>60283</v>
      </c>
      <c r="G19" s="60"/>
      <c r="H19" s="503"/>
      <c r="L19" s="505"/>
      <c r="M19" s="505"/>
      <c r="N19" s="505"/>
      <c r="O19" s="501"/>
    </row>
    <row r="20" spans="1:17">
      <c r="D20" s="58"/>
      <c r="E20" s="60"/>
      <c r="F20" s="58"/>
      <c r="G20" s="60"/>
      <c r="H20" s="503"/>
      <c r="L20" s="505"/>
      <c r="M20" s="505"/>
      <c r="N20" s="505"/>
      <c r="O20" s="501"/>
    </row>
    <row r="21" spans="1:17">
      <c r="D21" s="58"/>
      <c r="E21" s="60"/>
      <c r="F21" s="58"/>
      <c r="G21" s="60"/>
      <c r="H21" s="503"/>
      <c r="L21" s="505"/>
      <c r="M21" s="505"/>
      <c r="N21" s="505"/>
      <c r="O21" s="501"/>
    </row>
    <row r="22" spans="1:17">
      <c r="A22" s="317" t="s">
        <v>15</v>
      </c>
      <c r="D22" s="58">
        <v>28629</v>
      </c>
      <c r="E22" s="60"/>
      <c r="F22" s="58">
        <f t="shared" ref="F22:F34" si="1">ROUND(F$9*D22,0)</f>
        <v>18789</v>
      </c>
      <c r="G22" s="60"/>
      <c r="H22" s="503"/>
      <c r="L22" s="505"/>
      <c r="M22" s="505"/>
      <c r="N22" s="505"/>
      <c r="O22" s="501"/>
    </row>
    <row r="23" spans="1:17">
      <c r="A23" s="317" t="s">
        <v>16</v>
      </c>
      <c r="D23" s="58">
        <v>0</v>
      </c>
      <c r="E23" s="60"/>
      <c r="F23" s="58">
        <f t="shared" si="1"/>
        <v>0</v>
      </c>
      <c r="G23" s="60"/>
      <c r="H23" s="503"/>
      <c r="L23" s="505"/>
      <c r="M23" s="505"/>
      <c r="N23" s="505"/>
      <c r="O23" s="501"/>
    </row>
    <row r="24" spans="1:17">
      <c r="A24" s="317" t="s">
        <v>17</v>
      </c>
      <c r="D24" s="58">
        <v>89765</v>
      </c>
      <c r="E24" s="60"/>
      <c r="F24" s="58">
        <f t="shared" si="1"/>
        <v>58913</v>
      </c>
      <c r="G24" s="60"/>
      <c r="H24" s="503"/>
      <c r="L24" s="505"/>
      <c r="M24" s="505"/>
      <c r="N24" s="505"/>
      <c r="O24" s="501"/>
    </row>
    <row r="25" spans="1:17">
      <c r="A25" s="317" t="s">
        <v>18</v>
      </c>
      <c r="D25" s="58">
        <v>1038</v>
      </c>
      <c r="E25" s="60"/>
      <c r="F25" s="58">
        <f t="shared" si="1"/>
        <v>681</v>
      </c>
      <c r="G25" s="60"/>
      <c r="H25" s="503"/>
      <c r="L25" s="505"/>
      <c r="M25" s="505"/>
      <c r="N25" s="505"/>
      <c r="O25" s="501"/>
    </row>
    <row r="26" spans="1:17">
      <c r="A26" s="317" t="s">
        <v>19</v>
      </c>
      <c r="D26" s="58">
        <v>129677</v>
      </c>
      <c r="E26" s="60"/>
      <c r="F26" s="58">
        <f>ROUND(F$9*D26,0)</f>
        <v>85107</v>
      </c>
      <c r="G26" s="60"/>
      <c r="H26" s="503"/>
      <c r="L26" s="505"/>
      <c r="M26" s="505"/>
      <c r="N26" s="505"/>
      <c r="O26" s="501"/>
    </row>
    <row r="27" spans="1:17">
      <c r="A27" s="317" t="s">
        <v>20</v>
      </c>
      <c r="D27" s="58">
        <v>0</v>
      </c>
      <c r="E27" s="60"/>
      <c r="F27" s="58">
        <f t="shared" si="1"/>
        <v>0</v>
      </c>
      <c r="G27" s="60"/>
      <c r="H27" s="503"/>
      <c r="I27" s="36"/>
      <c r="J27" s="36"/>
      <c r="K27" s="36"/>
      <c r="L27" s="505"/>
      <c r="M27" s="505"/>
      <c r="N27" s="505"/>
      <c r="O27" s="501"/>
    </row>
    <row r="28" spans="1:17">
      <c r="A28" s="317" t="s">
        <v>21</v>
      </c>
      <c r="D28" s="58">
        <v>0</v>
      </c>
      <c r="E28" s="60"/>
      <c r="F28" s="58">
        <f t="shared" si="1"/>
        <v>0</v>
      </c>
      <c r="G28" s="60"/>
      <c r="H28" s="503"/>
      <c r="I28" s="36"/>
      <c r="J28" s="36"/>
      <c r="K28" s="36"/>
      <c r="L28" s="505"/>
      <c r="M28" s="505"/>
      <c r="N28" s="505"/>
      <c r="O28" s="501"/>
    </row>
    <row r="29" spans="1:17">
      <c r="A29" s="317" t="s">
        <v>22</v>
      </c>
      <c r="D29" s="58">
        <v>0</v>
      </c>
      <c r="E29" s="60"/>
      <c r="F29" s="58">
        <f t="shared" si="1"/>
        <v>0</v>
      </c>
      <c r="G29" s="60"/>
      <c r="H29" s="503"/>
      <c r="I29" s="36"/>
      <c r="J29" s="36"/>
      <c r="K29" s="36"/>
      <c r="L29" s="505"/>
      <c r="M29" s="505"/>
      <c r="N29" s="505"/>
      <c r="O29" s="501"/>
    </row>
    <row r="30" spans="1:17">
      <c r="A30" s="317" t="s">
        <v>23</v>
      </c>
      <c r="D30" s="245">
        <f>937-D31-D32-D33</f>
        <v>1076</v>
      </c>
      <c r="E30" s="60"/>
      <c r="F30" s="58">
        <f>ROUND(F$9*D30,0)</f>
        <v>706</v>
      </c>
      <c r="G30" s="60"/>
      <c r="H30" s="509"/>
      <c r="I30" s="510"/>
      <c r="J30" s="510"/>
      <c r="K30" s="510"/>
      <c r="L30" s="510"/>
      <c r="M30" s="505"/>
      <c r="N30" s="505"/>
      <c r="O30" s="501"/>
    </row>
    <row r="31" spans="1:17">
      <c r="A31" s="317" t="s">
        <v>128</v>
      </c>
      <c r="D31" s="245">
        <f>725-864</f>
        <v>-139</v>
      </c>
      <c r="E31" s="60"/>
      <c r="F31" s="58">
        <f>D31</f>
        <v>-139</v>
      </c>
      <c r="G31" s="60"/>
      <c r="H31" s="509"/>
      <c r="I31" s="510"/>
      <c r="J31" s="510"/>
      <c r="K31" s="510"/>
      <c r="L31" s="510"/>
      <c r="M31" s="505"/>
      <c r="N31" s="505"/>
      <c r="O31" s="501"/>
    </row>
    <row r="32" spans="1:17" s="616" customFormat="1">
      <c r="A32" s="616" t="s">
        <v>592</v>
      </c>
      <c r="D32" s="245">
        <v>0</v>
      </c>
      <c r="E32" s="60"/>
      <c r="F32" s="58">
        <f t="shared" ref="F32" si="2">D32</f>
        <v>0</v>
      </c>
      <c r="G32" s="60"/>
      <c r="H32" s="509"/>
      <c r="I32" s="510"/>
      <c r="J32" s="510"/>
      <c r="K32" s="510"/>
      <c r="L32" s="510"/>
      <c r="M32" s="505"/>
      <c r="N32" s="505"/>
      <c r="O32" s="501"/>
      <c r="P32" s="73"/>
      <c r="Q32" s="73"/>
    </row>
    <row r="33" spans="1:17" s="616" customFormat="1">
      <c r="A33" s="616" t="s">
        <v>593</v>
      </c>
      <c r="D33" s="245">
        <v>0</v>
      </c>
      <c r="E33" s="60"/>
      <c r="F33" s="58">
        <v>0</v>
      </c>
      <c r="G33" s="60"/>
      <c r="H33" s="509"/>
      <c r="I33" s="510"/>
      <c r="J33" s="510"/>
      <c r="K33" s="510"/>
      <c r="L33" s="510"/>
      <c r="M33" s="505"/>
      <c r="N33" s="505"/>
      <c r="O33" s="501"/>
      <c r="P33" s="73"/>
      <c r="Q33" s="73"/>
    </row>
    <row r="34" spans="1:17">
      <c r="A34" s="317" t="s">
        <v>24</v>
      </c>
      <c r="D34" s="58">
        <v>16818</v>
      </c>
      <c r="E34" s="60"/>
      <c r="F34" s="58">
        <f t="shared" si="1"/>
        <v>11038</v>
      </c>
      <c r="G34" s="60"/>
      <c r="H34" s="503"/>
      <c r="I34" s="36"/>
      <c r="J34" s="36"/>
      <c r="K34" s="36"/>
      <c r="L34" s="505"/>
      <c r="M34" s="505"/>
      <c r="N34" s="505"/>
      <c r="O34" s="501"/>
    </row>
    <row r="35" spans="1:17" s="16" customFormat="1" ht="3" customHeight="1">
      <c r="D35" s="245"/>
      <c r="E35" s="320"/>
      <c r="F35" s="245"/>
      <c r="G35" s="320"/>
      <c r="H35" s="601"/>
      <c r="I35" s="511"/>
      <c r="J35" s="511"/>
      <c r="K35" s="511"/>
      <c r="L35" s="511"/>
      <c r="M35" s="36"/>
      <c r="N35" s="36"/>
      <c r="O35" s="36"/>
      <c r="P35" s="36"/>
      <c r="Q35" s="36"/>
    </row>
    <row r="36" spans="1:17">
      <c r="A36" s="317" t="s">
        <v>25</v>
      </c>
      <c r="D36" s="61">
        <f>SUM(D22:D35)</f>
        <v>266864</v>
      </c>
      <c r="E36" s="60"/>
      <c r="F36" s="61">
        <f>SUM(F22:F35)</f>
        <v>175095</v>
      </c>
      <c r="G36" s="60"/>
      <c r="H36" s="503"/>
      <c r="I36" s="36"/>
      <c r="J36" s="36"/>
      <c r="K36" s="36"/>
      <c r="L36" s="505"/>
      <c r="M36" s="505"/>
      <c r="N36" s="505"/>
      <c r="O36" s="501"/>
    </row>
    <row r="37" spans="1:17">
      <c r="G37" s="70"/>
      <c r="H37" s="503"/>
      <c r="I37" s="36"/>
      <c r="J37" s="36"/>
      <c r="K37" s="36"/>
      <c r="L37" s="501"/>
      <c r="M37" s="501"/>
      <c r="N37" s="501"/>
      <c r="O37" s="501"/>
    </row>
    <row r="38" spans="1:17">
      <c r="A38" s="317" t="s">
        <v>26</v>
      </c>
      <c r="D38" s="58">
        <f>D19-D36</f>
        <v>-175012</v>
      </c>
      <c r="E38" s="58"/>
      <c r="F38" s="58">
        <f>F19-F36</f>
        <v>-114812</v>
      </c>
      <c r="G38" s="60"/>
      <c r="H38" s="503"/>
      <c r="L38" s="505"/>
      <c r="M38" s="505"/>
      <c r="N38" s="505"/>
      <c r="O38" s="501"/>
    </row>
    <row r="39" spans="1:17">
      <c r="E39" s="58"/>
      <c r="F39" s="58"/>
      <c r="G39" s="58"/>
      <c r="L39" s="501"/>
      <c r="M39" s="505"/>
      <c r="N39" s="505"/>
      <c r="O39" s="501"/>
    </row>
    <row r="40" spans="1:17">
      <c r="A40" s="317" t="s">
        <v>27</v>
      </c>
      <c r="C40" s="62">
        <v>0.35</v>
      </c>
      <c r="E40" s="63"/>
      <c r="F40" s="59">
        <f>C40*F38</f>
        <v>-40184.199999999997</v>
      </c>
      <c r="G40" s="57"/>
      <c r="L40" s="501"/>
      <c r="M40" s="504"/>
      <c r="N40" s="505"/>
      <c r="O40" s="501"/>
    </row>
    <row r="41" spans="1:17">
      <c r="E41" s="63"/>
      <c r="F41" s="57"/>
      <c r="G41" s="57"/>
      <c r="L41" s="501"/>
      <c r="M41" s="504"/>
      <c r="N41" s="504"/>
      <c r="O41" s="501"/>
    </row>
    <row r="42" spans="1:17">
      <c r="A42" s="317" t="s">
        <v>28</v>
      </c>
      <c r="E42" s="58"/>
      <c r="F42" s="57">
        <f>F38-F40</f>
        <v>-74627.8</v>
      </c>
      <c r="G42" s="58"/>
      <c r="L42" s="501"/>
      <c r="M42" s="505"/>
      <c r="N42" s="504"/>
      <c r="O42" s="501"/>
    </row>
    <row r="43" spans="1:17">
      <c r="E43" s="58"/>
      <c r="F43" s="58"/>
      <c r="G43" s="58"/>
      <c r="L43" s="501"/>
      <c r="M43" s="501"/>
      <c r="N43" s="501"/>
      <c r="O43" s="501"/>
    </row>
    <row r="44" spans="1:17">
      <c r="A44" s="73"/>
      <c r="L44" s="501"/>
      <c r="M44" s="501"/>
      <c r="N44" s="501"/>
      <c r="O44" s="501"/>
    </row>
    <row r="45" spans="1:17">
      <c r="A45" s="73"/>
      <c r="L45" s="501"/>
      <c r="M45" s="501"/>
      <c r="N45" s="501"/>
      <c r="O45" s="501"/>
    </row>
    <row r="46" spans="1:17">
      <c r="A46" s="73"/>
      <c r="L46" s="501"/>
      <c r="M46" s="501"/>
      <c r="N46" s="501"/>
      <c r="O46" s="501"/>
    </row>
  </sheetData>
  <pageMargins left="1.05" right="0.34" top="0.75" bottom="0.77" header="0.5" footer="0.77"/>
  <pageSetup orientation="portrait" r:id="rId1"/>
  <headerFooter alignWithMargins="0"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59" bestFit="1" customWidth="1"/>
    <col min="2" max="2" width="41" style="459" bestFit="1" customWidth="1"/>
    <col min="3" max="3" width="19.7109375" style="459" bestFit="1" customWidth="1"/>
    <col min="4" max="4" width="11.140625" style="459" bestFit="1" customWidth="1"/>
    <col min="5" max="5" width="20.7109375" style="459" customWidth="1"/>
    <col min="6" max="6" width="10.28515625" style="459" customWidth="1"/>
    <col min="7" max="7" width="12.7109375" style="459" bestFit="1" customWidth="1"/>
    <col min="8" max="8" width="18.28515625" style="459" customWidth="1"/>
    <col min="9" max="9" width="14.5703125" style="459" customWidth="1"/>
    <col min="10" max="10" width="12.7109375" style="459" customWidth="1"/>
    <col min="11" max="16384" width="8.85546875" style="459"/>
  </cols>
  <sheetData>
    <row r="1" spans="1:10">
      <c r="A1" s="182" t="s">
        <v>511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464" t="s">
        <v>488</v>
      </c>
      <c r="B3" s="465" t="s">
        <v>489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466"/>
      <c r="B5" s="467"/>
      <c r="C5" s="468"/>
      <c r="D5" s="469"/>
      <c r="E5" s="470" t="s">
        <v>490</v>
      </c>
      <c r="F5" s="471"/>
      <c r="G5" s="471"/>
      <c r="H5" s="472"/>
      <c r="I5" s="486" t="s">
        <v>88</v>
      </c>
      <c r="J5" s="486" t="s">
        <v>548</v>
      </c>
    </row>
    <row r="6" spans="1:10" ht="14.25">
      <c r="A6" s="473"/>
      <c r="B6" s="474"/>
      <c r="C6" s="475"/>
      <c r="D6" s="476" t="s">
        <v>491</v>
      </c>
      <c r="E6" s="476" t="s">
        <v>492</v>
      </c>
      <c r="F6" s="476" t="s">
        <v>257</v>
      </c>
      <c r="G6" s="476" t="s">
        <v>31</v>
      </c>
      <c r="H6" s="477" t="s">
        <v>493</v>
      </c>
      <c r="I6" s="486" t="s">
        <v>87</v>
      </c>
      <c r="J6" s="486"/>
    </row>
    <row r="7" spans="1:10" ht="14.25">
      <c r="A7" s="476" t="s">
        <v>494</v>
      </c>
      <c r="B7" s="476" t="s">
        <v>512</v>
      </c>
      <c r="C7" s="476" t="s">
        <v>495</v>
      </c>
      <c r="D7" s="478"/>
      <c r="E7" s="478"/>
      <c r="F7" s="478"/>
      <c r="G7" s="478"/>
      <c r="H7" s="478"/>
    </row>
    <row r="8" spans="1:10" ht="14.25">
      <c r="A8" s="479" t="s">
        <v>513</v>
      </c>
      <c r="B8" s="479" t="s">
        <v>514</v>
      </c>
      <c r="C8" s="476" t="s">
        <v>515</v>
      </c>
      <c r="D8" s="478"/>
      <c r="E8" s="480">
        <v>10582</v>
      </c>
      <c r="F8" s="480" t="s">
        <v>498</v>
      </c>
      <c r="G8" s="480" t="s">
        <v>498</v>
      </c>
      <c r="H8" s="480">
        <v>10582</v>
      </c>
    </row>
    <row r="9" spans="1:10" ht="14.25">
      <c r="A9" s="481"/>
      <c r="B9" s="481"/>
      <c r="C9" s="476" t="s">
        <v>516</v>
      </c>
      <c r="D9" s="478"/>
      <c r="E9" s="480">
        <v>889279.74</v>
      </c>
      <c r="F9" s="480" t="s">
        <v>498</v>
      </c>
      <c r="G9" s="480" t="s">
        <v>498</v>
      </c>
      <c r="H9" s="480">
        <v>889279.74</v>
      </c>
    </row>
    <row r="10" spans="1:10" ht="14.25">
      <c r="A10" s="481"/>
      <c r="B10" s="482"/>
      <c r="C10" s="476" t="s">
        <v>517</v>
      </c>
      <c r="D10" s="478"/>
      <c r="E10" s="480">
        <v>3679.62</v>
      </c>
      <c r="F10" s="480">
        <v>683.02</v>
      </c>
      <c r="G10" s="480">
        <v>38699.56</v>
      </c>
      <c r="H10" s="480">
        <v>43062.200000000004</v>
      </c>
    </row>
    <row r="11" spans="1:10" ht="14.25">
      <c r="A11" s="481"/>
      <c r="B11" s="476" t="s">
        <v>518</v>
      </c>
      <c r="C11" s="476" t="s">
        <v>519</v>
      </c>
      <c r="D11" s="478"/>
      <c r="E11" s="480">
        <v>16978.95</v>
      </c>
      <c r="F11" s="480" t="s">
        <v>498</v>
      </c>
      <c r="G11" s="480" t="s">
        <v>498</v>
      </c>
      <c r="H11" s="480">
        <v>16978.95</v>
      </c>
    </row>
    <row r="12" spans="1:10" ht="14.25">
      <c r="A12" s="481"/>
      <c r="B12" s="479" t="s">
        <v>520</v>
      </c>
      <c r="C12" s="476" t="s">
        <v>521</v>
      </c>
      <c r="D12" s="478"/>
      <c r="E12" s="480">
        <v>6800</v>
      </c>
      <c r="F12" s="480" t="s">
        <v>498</v>
      </c>
      <c r="G12" s="480" t="s">
        <v>498</v>
      </c>
      <c r="H12" s="480">
        <v>6800</v>
      </c>
    </row>
    <row r="13" spans="1:10" ht="14.25">
      <c r="A13" s="481"/>
      <c r="B13" s="481"/>
      <c r="C13" s="476" t="s">
        <v>522</v>
      </c>
      <c r="D13" s="478"/>
      <c r="E13" s="480">
        <v>7023.6900000000005</v>
      </c>
      <c r="F13" s="480" t="s">
        <v>498</v>
      </c>
      <c r="G13" s="480" t="s">
        <v>498</v>
      </c>
      <c r="H13" s="480">
        <v>7023.6900000000005</v>
      </c>
    </row>
    <row r="14" spans="1:10" ht="14.25">
      <c r="A14" s="481"/>
      <c r="B14" s="481"/>
      <c r="C14" s="476" t="s">
        <v>523</v>
      </c>
      <c r="D14" s="478"/>
      <c r="E14" s="480">
        <v>666530.53</v>
      </c>
      <c r="F14" s="480" t="s">
        <v>498</v>
      </c>
      <c r="G14" s="480" t="s">
        <v>498</v>
      </c>
      <c r="H14" s="480">
        <v>666530.53</v>
      </c>
    </row>
    <row r="15" spans="1:10" ht="14.25">
      <c r="A15" s="481"/>
      <c r="B15" s="482"/>
      <c r="C15" s="476" t="s">
        <v>524</v>
      </c>
      <c r="D15" s="478"/>
      <c r="E15" s="480">
        <v>456.12</v>
      </c>
      <c r="F15" s="480" t="s">
        <v>498</v>
      </c>
      <c r="G15" s="480" t="s">
        <v>498</v>
      </c>
      <c r="H15" s="480">
        <v>456.12</v>
      </c>
    </row>
    <row r="16" spans="1:10" ht="14.25">
      <c r="A16" s="482"/>
      <c r="B16" s="476" t="s">
        <v>525</v>
      </c>
      <c r="C16" s="476" t="s">
        <v>526</v>
      </c>
      <c r="D16" s="478"/>
      <c r="E16" s="480">
        <v>46995</v>
      </c>
      <c r="F16" s="480" t="s">
        <v>498</v>
      </c>
      <c r="G16" s="480" t="s">
        <v>498</v>
      </c>
      <c r="H16" s="480">
        <v>46995</v>
      </c>
    </row>
    <row r="17" spans="1:10" ht="14.25">
      <c r="A17" s="479" t="s">
        <v>527</v>
      </c>
      <c r="B17" s="479" t="s">
        <v>528</v>
      </c>
      <c r="C17" s="476" t="s">
        <v>529</v>
      </c>
      <c r="D17" s="478"/>
      <c r="E17" s="480">
        <v>-7723892.5</v>
      </c>
      <c r="F17" s="480" t="s">
        <v>498</v>
      </c>
      <c r="G17" s="480" t="s">
        <v>498</v>
      </c>
      <c r="H17" s="480">
        <v>-7723892.5</v>
      </c>
      <c r="I17" s="487">
        <f>H17</f>
        <v>-7723892.5</v>
      </c>
    </row>
    <row r="18" spans="1:10" ht="14.25">
      <c r="A18" s="481"/>
      <c r="B18" s="481"/>
      <c r="C18" s="476" t="s">
        <v>530</v>
      </c>
      <c r="D18" s="478"/>
      <c r="E18" s="480">
        <v>-2718369.75</v>
      </c>
      <c r="F18" s="480" t="s">
        <v>498</v>
      </c>
      <c r="G18" s="480" t="s">
        <v>498</v>
      </c>
      <c r="H18" s="480">
        <v>-2718369.75</v>
      </c>
      <c r="I18" s="487">
        <f t="shared" ref="I18:I23" si="0">H18</f>
        <v>-2718369.75</v>
      </c>
    </row>
    <row r="19" spans="1:10" ht="14.25">
      <c r="A19" s="482"/>
      <c r="B19" s="482"/>
      <c r="C19" s="476" t="s">
        <v>531</v>
      </c>
      <c r="D19" s="478"/>
      <c r="E19" s="480">
        <v>24.8</v>
      </c>
      <c r="F19" s="480" t="s">
        <v>498</v>
      </c>
      <c r="G19" s="480" t="s">
        <v>498</v>
      </c>
      <c r="H19" s="480">
        <v>24.8</v>
      </c>
      <c r="I19" s="487">
        <f t="shared" si="0"/>
        <v>24.8</v>
      </c>
    </row>
    <row r="20" spans="1:10" ht="14.25">
      <c r="A20" s="479" t="s">
        <v>532</v>
      </c>
      <c r="B20" s="479" t="s">
        <v>528</v>
      </c>
      <c r="C20" s="476" t="s">
        <v>533</v>
      </c>
      <c r="D20" s="478"/>
      <c r="E20" s="480">
        <v>855810.15</v>
      </c>
      <c r="F20" s="480" t="s">
        <v>498</v>
      </c>
      <c r="G20" s="480" t="s">
        <v>498</v>
      </c>
      <c r="H20" s="480">
        <v>855810.15</v>
      </c>
      <c r="I20" s="487">
        <f t="shared" si="0"/>
        <v>855810.15</v>
      </c>
    </row>
    <row r="21" spans="1:10" ht="14.25">
      <c r="A21" s="482"/>
      <c r="B21" s="482"/>
      <c r="C21" s="476" t="s">
        <v>534</v>
      </c>
      <c r="D21" s="478"/>
      <c r="E21" s="480">
        <v>29287951.550000001</v>
      </c>
      <c r="F21" s="480" t="s">
        <v>498</v>
      </c>
      <c r="G21" s="480" t="s">
        <v>498</v>
      </c>
      <c r="H21" s="480">
        <v>29287951.550000001</v>
      </c>
      <c r="I21" s="487">
        <f t="shared" si="0"/>
        <v>29287951.550000001</v>
      </c>
    </row>
    <row r="22" spans="1:10" ht="14.25">
      <c r="A22" s="479" t="s">
        <v>535</v>
      </c>
      <c r="B22" s="479" t="s">
        <v>536</v>
      </c>
      <c r="C22" s="476" t="s">
        <v>537</v>
      </c>
      <c r="D22" s="478"/>
      <c r="E22" s="480">
        <v>4006377.64</v>
      </c>
      <c r="F22" s="480" t="s">
        <v>498</v>
      </c>
      <c r="G22" s="480" t="s">
        <v>498</v>
      </c>
      <c r="H22" s="480">
        <v>4006377.64</v>
      </c>
      <c r="I22" s="487">
        <f t="shared" si="0"/>
        <v>4006377.64</v>
      </c>
    </row>
    <row r="23" spans="1:10" ht="14.25">
      <c r="A23" s="482"/>
      <c r="B23" s="482"/>
      <c r="C23" s="476" t="s">
        <v>538</v>
      </c>
      <c r="D23" s="478"/>
      <c r="E23" s="480" t="s">
        <v>498</v>
      </c>
      <c r="F23" s="480" t="s">
        <v>498</v>
      </c>
      <c r="G23" s="480">
        <v>162500</v>
      </c>
      <c r="H23" s="480">
        <v>162500</v>
      </c>
      <c r="I23" s="487">
        <f t="shared" si="0"/>
        <v>162500</v>
      </c>
    </row>
    <row r="24" spans="1:10" ht="14.25">
      <c r="A24" s="476" t="s">
        <v>496</v>
      </c>
      <c r="B24" s="476" t="s">
        <v>539</v>
      </c>
      <c r="C24" s="476" t="s">
        <v>497</v>
      </c>
      <c r="D24" s="478"/>
      <c r="E24" s="480">
        <v>60244.08</v>
      </c>
      <c r="F24" s="480" t="s">
        <v>498</v>
      </c>
      <c r="G24" s="480" t="s">
        <v>498</v>
      </c>
      <c r="H24" s="480">
        <v>60244.08</v>
      </c>
      <c r="J24" s="487">
        <f>H24</f>
        <v>60244.08</v>
      </c>
    </row>
    <row r="25" spans="1:10" ht="14.25">
      <c r="A25" s="476" t="s">
        <v>540</v>
      </c>
      <c r="B25" s="476" t="s">
        <v>541</v>
      </c>
      <c r="C25" s="476" t="s">
        <v>542</v>
      </c>
      <c r="D25" s="478"/>
      <c r="E25" s="480">
        <v>529103.25</v>
      </c>
      <c r="F25" s="480" t="s">
        <v>498</v>
      </c>
      <c r="G25" s="480" t="s">
        <v>498</v>
      </c>
      <c r="H25" s="480">
        <v>529103.25</v>
      </c>
      <c r="I25" s="497"/>
      <c r="J25" s="487">
        <f>H25</f>
        <v>529103.25</v>
      </c>
    </row>
    <row r="26" spans="1:10" ht="14.25">
      <c r="A26" s="476" t="s">
        <v>499</v>
      </c>
      <c r="B26" s="476" t="s">
        <v>539</v>
      </c>
      <c r="C26" s="476" t="s">
        <v>500</v>
      </c>
      <c r="D26" s="478"/>
      <c r="E26" s="480">
        <v>11553981.52</v>
      </c>
      <c r="F26" s="480" t="s">
        <v>498</v>
      </c>
      <c r="G26" s="480" t="s">
        <v>498</v>
      </c>
      <c r="H26" s="480">
        <v>11553981.52</v>
      </c>
      <c r="J26" s="487">
        <f>H26</f>
        <v>11553981.52</v>
      </c>
    </row>
    <row r="27" spans="1:10" ht="14.25">
      <c r="A27" s="476" t="s">
        <v>501</v>
      </c>
      <c r="B27" s="476" t="s">
        <v>539</v>
      </c>
      <c r="C27" s="476" t="s">
        <v>502</v>
      </c>
      <c r="D27" s="478"/>
      <c r="E27" s="480">
        <v>3192000</v>
      </c>
      <c r="F27" s="480" t="s">
        <v>498</v>
      </c>
      <c r="G27" s="480" t="s">
        <v>498</v>
      </c>
      <c r="H27" s="480">
        <v>3192000</v>
      </c>
      <c r="J27" s="487">
        <f t="shared" ref="J27:J29" si="1">H27</f>
        <v>3192000</v>
      </c>
    </row>
    <row r="28" spans="1:10" ht="14.25">
      <c r="A28" s="476" t="s">
        <v>503</v>
      </c>
      <c r="B28" s="476" t="s">
        <v>539</v>
      </c>
      <c r="C28" s="476" t="s">
        <v>504</v>
      </c>
      <c r="D28" s="478"/>
      <c r="E28" s="480" t="s">
        <v>498</v>
      </c>
      <c r="F28" s="480">
        <v>44019.49</v>
      </c>
      <c r="G28" s="480">
        <v>97939.56</v>
      </c>
      <c r="H28" s="480">
        <v>141959.05000000002</v>
      </c>
      <c r="J28" s="487">
        <f t="shared" si="1"/>
        <v>141959.05000000002</v>
      </c>
    </row>
    <row r="29" spans="1:10" ht="14.25">
      <c r="A29" s="476" t="s">
        <v>505</v>
      </c>
      <c r="B29" s="476" t="s">
        <v>539</v>
      </c>
      <c r="C29" s="476" t="s">
        <v>506</v>
      </c>
      <c r="D29" s="478"/>
      <c r="E29" s="480">
        <v>928944</v>
      </c>
      <c r="F29" s="480" t="s">
        <v>498</v>
      </c>
      <c r="G29" s="480" t="s">
        <v>498</v>
      </c>
      <c r="H29" s="480">
        <v>928944</v>
      </c>
      <c r="J29" s="487">
        <f t="shared" si="1"/>
        <v>928944</v>
      </c>
    </row>
    <row r="30" spans="1:10" ht="14.25">
      <c r="A30" s="476" t="s">
        <v>543</v>
      </c>
      <c r="B30" s="476" t="s">
        <v>528</v>
      </c>
      <c r="C30" s="476" t="s">
        <v>544</v>
      </c>
      <c r="D30" s="478"/>
      <c r="E30" s="480">
        <v>-44500</v>
      </c>
      <c r="F30" s="480" t="s">
        <v>498</v>
      </c>
      <c r="G30" s="480" t="s">
        <v>498</v>
      </c>
      <c r="H30" s="480">
        <v>-44500</v>
      </c>
      <c r="I30" s="487">
        <f t="shared" ref="I30:I32" si="2">H30</f>
        <v>-44500</v>
      </c>
    </row>
    <row r="31" spans="1:10" ht="14.25">
      <c r="A31" s="476" t="s">
        <v>545</v>
      </c>
      <c r="B31" s="476" t="s">
        <v>528</v>
      </c>
      <c r="C31" s="476" t="s">
        <v>544</v>
      </c>
      <c r="D31" s="478"/>
      <c r="E31" s="480">
        <v>44500</v>
      </c>
      <c r="F31" s="480" t="s">
        <v>498</v>
      </c>
      <c r="G31" s="480" t="s">
        <v>498</v>
      </c>
      <c r="H31" s="480">
        <v>44500</v>
      </c>
      <c r="I31" s="487">
        <f t="shared" si="2"/>
        <v>44500</v>
      </c>
    </row>
    <row r="32" spans="1:10" ht="14.25">
      <c r="A32" s="476" t="s">
        <v>546</v>
      </c>
      <c r="B32" s="476" t="s">
        <v>528</v>
      </c>
      <c r="C32" s="476" t="s">
        <v>547</v>
      </c>
      <c r="D32" s="478"/>
      <c r="E32" s="480">
        <v>67420725.560000002</v>
      </c>
      <c r="F32" s="480" t="s">
        <v>498</v>
      </c>
      <c r="G32" s="480" t="s">
        <v>498</v>
      </c>
      <c r="H32" s="480">
        <v>67420725.560000002</v>
      </c>
      <c r="I32" s="487">
        <f t="shared" si="2"/>
        <v>67420725.560000002</v>
      </c>
    </row>
    <row r="33" spans="1:10">
      <c r="A33" s="483" t="s">
        <v>507</v>
      </c>
      <c r="B33" s="484"/>
      <c r="C33" s="485"/>
      <c r="D33" s="478"/>
      <c r="E33" s="480">
        <v>109041225.95</v>
      </c>
      <c r="F33" s="480">
        <v>44702.51</v>
      </c>
      <c r="G33" s="480">
        <v>299139.12</v>
      </c>
      <c r="H33" s="480">
        <v>109385067.58</v>
      </c>
    </row>
    <row r="34" spans="1:10">
      <c r="I34" s="487">
        <f>SUM(I17:I32)</f>
        <v>91291127.450000003</v>
      </c>
      <c r="J34" s="52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59"/>
    <col min="4" max="4" width="10.28515625" style="459" bestFit="1" customWidth="1"/>
    <col min="5" max="6" width="9.140625" style="459"/>
    <col min="7" max="7" width="12.28515625" style="459" customWidth="1"/>
    <col min="8" max="8" width="7.85546875" style="459" customWidth="1"/>
    <col min="9" max="12" width="9.140625" style="459"/>
    <col min="13" max="13" width="11" style="459" customWidth="1"/>
    <col min="14" max="16384" width="9.140625" style="459"/>
  </cols>
  <sheetData>
    <row r="1" spans="1:14" ht="15.75">
      <c r="A1" s="523" t="s">
        <v>565</v>
      </c>
    </row>
    <row r="2" spans="1:14">
      <c r="A2" s="512" t="s">
        <v>553</v>
      </c>
    </row>
    <row r="3" spans="1:14" ht="13.5" thickBot="1">
      <c r="D3" s="516" t="s">
        <v>554</v>
      </c>
      <c r="E3" s="516"/>
      <c r="F3" s="516" t="s">
        <v>555</v>
      </c>
      <c r="G3" s="516" t="s">
        <v>560</v>
      </c>
    </row>
    <row r="4" spans="1:14">
      <c r="A4" s="524" t="s">
        <v>486</v>
      </c>
      <c r="B4" s="525"/>
      <c r="C4" s="525"/>
      <c r="D4" s="526" t="e">
        <f>'12.2015 CB Power Supply'!#REF!</f>
        <v>#REF!</v>
      </c>
      <c r="E4" s="526"/>
      <c r="F4" s="526">
        <f>'PF Power Supply 09.2015 load'!F43</f>
        <v>0</v>
      </c>
      <c r="G4" s="526" t="e">
        <f>F4-D4</f>
        <v>#REF!</v>
      </c>
      <c r="H4" s="527" t="s">
        <v>556</v>
      </c>
      <c r="I4" s="528"/>
      <c r="J4" s="528"/>
      <c r="K4" s="528"/>
      <c r="L4" s="528"/>
      <c r="M4" s="528"/>
      <c r="N4" s="528"/>
    </row>
    <row r="5" spans="1:14" ht="13.5" thickBot="1">
      <c r="A5" s="529" t="s">
        <v>487</v>
      </c>
      <c r="B5" s="530"/>
      <c r="C5" s="530"/>
      <c r="D5" s="531" t="e">
        <f>'12.2015 CB Power Supply'!#REF!</f>
        <v>#REF!</v>
      </c>
      <c r="E5" s="531"/>
      <c r="F5" s="531">
        <f>'PF Power Supply 09.2015 load'!F44</f>
        <v>0</v>
      </c>
      <c r="G5" s="531" t="e">
        <f>F5-D5</f>
        <v>#REF!</v>
      </c>
      <c r="H5" s="532" t="s">
        <v>556</v>
      </c>
      <c r="I5" s="528"/>
      <c r="J5" s="528"/>
      <c r="K5" s="528"/>
      <c r="L5" s="528"/>
      <c r="M5" s="528"/>
      <c r="N5" s="528"/>
    </row>
    <row r="6" spans="1:14">
      <c r="A6" s="499"/>
      <c r="B6" s="499"/>
      <c r="C6" s="499"/>
      <c r="D6" s="58" t="e">
        <f>SUM(D4:D5)</f>
        <v>#REF!</v>
      </c>
      <c r="E6" s="499"/>
      <c r="F6" s="58">
        <f>SUM(F4:F5)</f>
        <v>0</v>
      </c>
      <c r="G6" s="515" t="e">
        <f>F6-D6</f>
        <v>#REF!</v>
      </c>
    </row>
    <row r="7" spans="1:14">
      <c r="H7" s="514"/>
    </row>
    <row r="8" spans="1:14">
      <c r="C8" s="513" t="s">
        <v>557</v>
      </c>
      <c r="D8" s="517" t="e">
        <f>100%+'Cost Trends'!#REF!</f>
        <v>#REF!</v>
      </c>
      <c r="H8" s="514"/>
    </row>
    <row r="9" spans="1:14">
      <c r="H9" s="533" t="s">
        <v>559</v>
      </c>
      <c r="I9" s="534"/>
      <c r="J9" s="534"/>
      <c r="K9" s="534"/>
      <c r="L9" s="534"/>
      <c r="M9" s="534"/>
    </row>
    <row r="10" spans="1:14">
      <c r="C10" s="513" t="s">
        <v>558</v>
      </c>
      <c r="D10" s="518" t="e">
        <f>D6*D8</f>
        <v>#REF!</v>
      </c>
      <c r="F10" s="519">
        <f>F6</f>
        <v>0</v>
      </c>
      <c r="H10" s="535" t="e">
        <f>F10-D10</f>
        <v>#REF!</v>
      </c>
      <c r="I10" s="534"/>
      <c r="J10" s="536"/>
      <c r="K10" s="534"/>
      <c r="L10" s="534"/>
      <c r="M10" s="534"/>
    </row>
    <row r="11" spans="1:14">
      <c r="H11" s="514"/>
    </row>
    <row r="12" spans="1:14">
      <c r="H12" s="514"/>
    </row>
    <row r="13" spans="1:14">
      <c r="H13" s="514"/>
    </row>
    <row r="14" spans="1:14">
      <c r="H14" s="514"/>
    </row>
  </sheetData>
  <pageMargins left="0.7" right="0.7" top="0.75" bottom="0.75" header="0.3" footer="0.3"/>
  <pageSetup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U112"/>
  <sheetViews>
    <sheetView workbookViewId="0">
      <selection activeCell="N41" sqref="N4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39" customWidth="1"/>
    <col min="20" max="20" width="9.140625" style="182" customWidth="1"/>
  </cols>
  <sheetData>
    <row r="2" spans="1:21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>
      <c r="A4" s="112" t="s">
        <v>461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10"/>
      <c r="U4" s="182"/>
    </row>
    <row r="5" spans="1:21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859" t="s">
        <v>510</v>
      </c>
    </row>
    <row r="7" spans="1:21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13">
        <v>2014</v>
      </c>
      <c r="T7" s="860">
        <v>12.201499999999999</v>
      </c>
    </row>
    <row r="8" spans="1:21">
      <c r="T8" s="540"/>
    </row>
    <row r="10" spans="1:21">
      <c r="S10" s="182"/>
    </row>
    <row r="11" spans="1:21">
      <c r="A11" s="10" t="s">
        <v>298</v>
      </c>
      <c r="E11" s="249">
        <f>'CBR Hist'!F24</f>
        <v>-3114</v>
      </c>
      <c r="F11" s="249">
        <f>'CBR Hist'!G24</f>
        <v>9152</v>
      </c>
      <c r="G11" s="249">
        <f>'CBR Hist'!H24</f>
        <v>13808</v>
      </c>
      <c r="H11" s="249">
        <f>'CBR Hist'!I24</f>
        <v>14915</v>
      </c>
      <c r="I11" s="249">
        <f>'CBR Hist'!J24</f>
        <v>22879</v>
      </c>
      <c r="J11" s="249">
        <f>'CBR Hist'!K24</f>
        <v>13812</v>
      </c>
      <c r="K11" s="249">
        <f>'CBR Hist'!L24</f>
        <v>25745</v>
      </c>
      <c r="L11" s="249">
        <f>'CBR Hist'!M24</f>
        <v>21795</v>
      </c>
      <c r="M11" s="249">
        <f>'CBR Hist'!N24</f>
        <v>22000</v>
      </c>
      <c r="N11" s="249">
        <f>'CBR Hist'!O24</f>
        <v>22266</v>
      </c>
      <c r="O11" s="249">
        <f>'CBR Hist'!P24</f>
        <v>22129</v>
      </c>
      <c r="P11" s="249">
        <f>'CBR Hist'!Q24</f>
        <v>25158</v>
      </c>
      <c r="Q11" s="249">
        <f>'CBR Hist'!R24+Q19</f>
        <v>25680</v>
      </c>
      <c r="R11" s="249">
        <f>'CBR Hist'!S24</f>
        <v>23284</v>
      </c>
      <c r="S11" s="492">
        <f>'CBR Hist'!T24</f>
        <v>23715</v>
      </c>
      <c r="T11" s="492">
        <f>'CBR Hist'!U24</f>
        <v>24947</v>
      </c>
    </row>
    <row r="12" spans="1:21">
      <c r="A12" s="10" t="s">
        <v>299</v>
      </c>
      <c r="P12" s="249">
        <f>'CBR Hist'!Q25</f>
        <v>403</v>
      </c>
      <c r="Q12" s="249">
        <f>'CBR Hist'!R25-Q19</f>
        <v>-7744</v>
      </c>
      <c r="R12" s="249">
        <f>'CBR Hist'!S25</f>
        <v>8629</v>
      </c>
      <c r="S12" s="492">
        <f>'CBR Hist'!T25</f>
        <v>8101</v>
      </c>
      <c r="T12" s="492">
        <f>'CBR Hist'!U25</f>
        <v>5974</v>
      </c>
    </row>
    <row r="13" spans="1:21">
      <c r="A13" s="10"/>
      <c r="S13" s="182"/>
    </row>
    <row r="14" spans="1:21">
      <c r="A14" s="10"/>
      <c r="B14" s="10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S14" s="182"/>
    </row>
    <row r="15" spans="1:21">
      <c r="A15" s="10"/>
      <c r="B15" s="10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S15" s="182"/>
    </row>
    <row r="16" spans="1:21">
      <c r="A16" s="10" t="s">
        <v>300</v>
      </c>
      <c r="E16" s="250">
        <f>10346-213</f>
        <v>10133</v>
      </c>
      <c r="F16" s="250">
        <f>10784-205</f>
        <v>10579</v>
      </c>
      <c r="G16" s="250">
        <f>12359+3035-228</f>
        <v>15166</v>
      </c>
      <c r="H16" s="250">
        <f>14152+1470-219</f>
        <v>15403</v>
      </c>
      <c r="I16" s="250">
        <f>15379+1705-113-221</f>
        <v>16750</v>
      </c>
      <c r="J16" s="250">
        <f>17205-154-219</f>
        <v>16832</v>
      </c>
      <c r="K16" s="250">
        <f>18582-216</f>
        <v>18366</v>
      </c>
      <c r="L16" s="250">
        <f>18487-225</f>
        <v>18262</v>
      </c>
      <c r="M16" s="250">
        <f>17022-195</f>
        <v>16827</v>
      </c>
      <c r="N16" s="250">
        <f>17556-193</f>
        <v>17363</v>
      </c>
      <c r="O16" s="250">
        <f>18188-191</f>
        <v>17997</v>
      </c>
      <c r="P16" s="250">
        <f>18013-191</f>
        <v>17822</v>
      </c>
      <c r="Q16" s="250">
        <f>18237</f>
        <v>18237</v>
      </c>
      <c r="R16" s="250">
        <v>16250</v>
      </c>
      <c r="S16" s="184">
        <v>16426</v>
      </c>
      <c r="T16" s="184">
        <v>17083</v>
      </c>
    </row>
    <row r="17" spans="1:20">
      <c r="A17" s="10" t="s">
        <v>301</v>
      </c>
      <c r="E17" s="250">
        <f>4492</f>
        <v>4492</v>
      </c>
      <c r="F17" s="250">
        <f>4393</f>
        <v>4393</v>
      </c>
      <c r="G17" s="250">
        <f>4780</f>
        <v>4780</v>
      </c>
      <c r="H17" s="250">
        <f>4891</f>
        <v>4891</v>
      </c>
      <c r="I17" s="250">
        <f>5220</f>
        <v>5220</v>
      </c>
      <c r="J17" s="250">
        <v>5531</v>
      </c>
      <c r="K17" s="250">
        <f>5957</f>
        <v>5957</v>
      </c>
      <c r="L17" s="250">
        <f>6352+1</f>
        <v>6353</v>
      </c>
      <c r="M17" s="250">
        <v>5969</v>
      </c>
      <c r="N17" s="250">
        <v>6116</v>
      </c>
      <c r="O17" s="250">
        <v>6354</v>
      </c>
      <c r="P17" s="250">
        <v>6681</v>
      </c>
      <c r="Q17" s="250">
        <v>6976</v>
      </c>
      <c r="R17" s="250">
        <v>6529</v>
      </c>
      <c r="S17" s="184">
        <v>6725</v>
      </c>
      <c r="T17" s="184">
        <v>7246</v>
      </c>
    </row>
    <row r="18" spans="1:20">
      <c r="A18" s="10" t="s">
        <v>302</v>
      </c>
      <c r="E18" s="250">
        <f>9+216</f>
        <v>225</v>
      </c>
      <c r="F18" s="250">
        <f>9+221</f>
        <v>230</v>
      </c>
      <c r="G18" s="250">
        <f>1+210</f>
        <v>211</v>
      </c>
      <c r="H18" s="250">
        <f>17+212</f>
        <v>229</v>
      </c>
      <c r="I18" s="250">
        <f>9+212+8+11+102</f>
        <v>342</v>
      </c>
      <c r="J18" s="250">
        <f>10+221+31+4</f>
        <v>266</v>
      </c>
      <c r="K18" s="250">
        <f>32+222</f>
        <v>254</v>
      </c>
      <c r="L18" s="250">
        <f>44+218</f>
        <v>262</v>
      </c>
      <c r="M18" s="250">
        <f>62+218</f>
        <v>280</v>
      </c>
      <c r="N18" s="250">
        <f>63+427</f>
        <v>490</v>
      </c>
      <c r="O18" s="250">
        <f>595+62</f>
        <v>657</v>
      </c>
      <c r="P18" s="250">
        <f>655</f>
        <v>655</v>
      </c>
      <c r="Q18" s="250">
        <v>659</v>
      </c>
      <c r="R18" s="250">
        <v>652</v>
      </c>
      <c r="S18" s="184">
        <v>710</v>
      </c>
      <c r="T18" s="184">
        <v>760</v>
      </c>
    </row>
    <row r="19" spans="1:20">
      <c r="A19" s="10"/>
      <c r="E19" s="252" t="s">
        <v>324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>
        <v>-192</v>
      </c>
      <c r="R19" s="250">
        <v>-147</v>
      </c>
      <c r="S19" s="184">
        <v>-146</v>
      </c>
      <c r="T19" s="184">
        <v>-142</v>
      </c>
    </row>
    <row r="20" spans="1:20">
      <c r="A20" s="10"/>
      <c r="B20" s="10" t="s">
        <v>322</v>
      </c>
      <c r="E20" s="253">
        <f>SUM(E16:E18)</f>
        <v>14850</v>
      </c>
      <c r="F20" s="253">
        <f t="shared" ref="F20:P20" si="0">SUM(F16:F18)</f>
        <v>15202</v>
      </c>
      <c r="G20" s="253">
        <f t="shared" si="0"/>
        <v>20157</v>
      </c>
      <c r="H20" s="253">
        <f t="shared" si="0"/>
        <v>20523</v>
      </c>
      <c r="I20" s="253">
        <f t="shared" si="0"/>
        <v>22312</v>
      </c>
      <c r="J20" s="253">
        <f t="shared" si="0"/>
        <v>22629</v>
      </c>
      <c r="K20" s="253">
        <f t="shared" si="0"/>
        <v>24577</v>
      </c>
      <c r="L20" s="253">
        <f t="shared" si="0"/>
        <v>24877</v>
      </c>
      <c r="M20" s="253">
        <f t="shared" si="0"/>
        <v>23076</v>
      </c>
      <c r="N20" s="253">
        <f t="shared" si="0"/>
        <v>23969</v>
      </c>
      <c r="O20" s="253">
        <f t="shared" si="0"/>
        <v>25008</v>
      </c>
      <c r="P20" s="253">
        <f t="shared" si="0"/>
        <v>25158</v>
      </c>
      <c r="Q20" s="253">
        <f>SUM(Q16:Q19)</f>
        <v>25680</v>
      </c>
      <c r="R20" s="253">
        <f>SUM(R16:R19)</f>
        <v>23284</v>
      </c>
      <c r="S20" s="493">
        <f>SUM(S16:S19)</f>
        <v>23715</v>
      </c>
      <c r="T20" s="493">
        <f>SUM(T16:T19)</f>
        <v>24947</v>
      </c>
    </row>
    <row r="21" spans="1:20">
      <c r="A21" s="1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386">
        <v>2450</v>
      </c>
      <c r="S22" s="386">
        <v>2450</v>
      </c>
      <c r="T22" s="386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386">
        <v>32</v>
      </c>
      <c r="S23" s="386">
        <v>32</v>
      </c>
      <c r="T23" s="386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09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09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73+142+21+580+152</f>
        <v>968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1247</v>
      </c>
    </row>
    <row r="33" spans="1:20">
      <c r="A33" s="10" t="s">
        <v>315</v>
      </c>
      <c r="D33" s="410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0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0</v>
      </c>
    </row>
    <row r="38" spans="1:20">
      <c r="A38" s="10" t="s">
        <v>459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0</v>
      </c>
    </row>
    <row r="39" spans="1:20">
      <c r="A39" s="10" t="s">
        <v>460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39" customFormat="1">
      <c r="A41" s="440" t="s">
        <v>590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290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4" t="s">
        <v>323</v>
      </c>
      <c r="D43" s="182"/>
      <c r="E43" s="411">
        <f>SUM(E22:E42)</f>
        <v>-17964</v>
      </c>
      <c r="F43" s="411">
        <f t="shared" ref="F43:P43" si="1">SUM(F22:F42)</f>
        <v>-6050</v>
      </c>
      <c r="G43" s="411">
        <f t="shared" si="1"/>
        <v>-6349</v>
      </c>
      <c r="H43" s="411">
        <f t="shared" si="1"/>
        <v>-5608</v>
      </c>
      <c r="I43" s="411">
        <f t="shared" si="1"/>
        <v>567</v>
      </c>
      <c r="J43" s="411">
        <f t="shared" si="1"/>
        <v>-8817</v>
      </c>
      <c r="K43" s="411">
        <f t="shared" si="1"/>
        <v>1168</v>
      </c>
      <c r="L43" s="411">
        <f t="shared" si="1"/>
        <v>-3082</v>
      </c>
      <c r="M43" s="411">
        <f t="shared" si="1"/>
        <v>-1076</v>
      </c>
      <c r="N43" s="411">
        <f t="shared" si="1"/>
        <v>-1703</v>
      </c>
      <c r="O43" s="411">
        <f t="shared" si="1"/>
        <v>-2879</v>
      </c>
      <c r="P43" s="411">
        <f t="shared" si="1"/>
        <v>403</v>
      </c>
      <c r="Q43" s="411">
        <f>SUM(Q22:Q42)</f>
        <v>-7744</v>
      </c>
      <c r="R43" s="411">
        <f>SUM(R22:R42)</f>
        <v>8629</v>
      </c>
      <c r="S43" s="411">
        <f>SUM(S22:S42)</f>
        <v>8101</v>
      </c>
      <c r="T43" s="411">
        <f>SUM(T22:T42)</f>
        <v>5974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12">
        <f t="shared" ref="E45:P45" si="2">E20+E43</f>
        <v>-3114</v>
      </c>
      <c r="F45" s="412">
        <f t="shared" si="2"/>
        <v>9152</v>
      </c>
      <c r="G45" s="412">
        <f t="shared" si="2"/>
        <v>13808</v>
      </c>
      <c r="H45" s="412">
        <f t="shared" si="2"/>
        <v>14915</v>
      </c>
      <c r="I45" s="412">
        <f t="shared" si="2"/>
        <v>22879</v>
      </c>
      <c r="J45" s="412">
        <f t="shared" si="2"/>
        <v>13812</v>
      </c>
      <c r="K45" s="412">
        <f t="shared" si="2"/>
        <v>25745</v>
      </c>
      <c r="L45" s="412">
        <f t="shared" si="2"/>
        <v>21795</v>
      </c>
      <c r="M45" s="412">
        <f t="shared" si="2"/>
        <v>22000</v>
      </c>
      <c r="N45" s="412">
        <f t="shared" si="2"/>
        <v>22266</v>
      </c>
      <c r="O45" s="412">
        <f t="shared" si="2"/>
        <v>22129</v>
      </c>
      <c r="P45" s="412">
        <f t="shared" si="2"/>
        <v>25561</v>
      </c>
      <c r="Q45" s="412">
        <f>Q20+Q43</f>
        <v>17936</v>
      </c>
      <c r="R45" s="412">
        <f>R20+R43</f>
        <v>31913</v>
      </c>
      <c r="S45" s="412">
        <f>S20+S43</f>
        <v>31816</v>
      </c>
      <c r="T45" s="412">
        <f>T20+T43</f>
        <v>30921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12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12">
        <f>E43-E25</f>
        <v>-1320</v>
      </c>
      <c r="F48" s="412">
        <f>F43-F28</f>
        <v>-4634</v>
      </c>
      <c r="G48" s="412">
        <f t="shared" ref="G48:O48" si="4">G43-G28</f>
        <v>1163</v>
      </c>
      <c r="H48" s="412">
        <f t="shared" si="4"/>
        <v>731</v>
      </c>
      <c r="I48" s="412">
        <f t="shared" si="4"/>
        <v>567</v>
      </c>
      <c r="J48" s="412">
        <f t="shared" si="4"/>
        <v>571</v>
      </c>
      <c r="K48" s="412">
        <f>K43-K28</f>
        <v>1168</v>
      </c>
      <c r="L48" s="412">
        <f t="shared" si="4"/>
        <v>2500</v>
      </c>
      <c r="M48" s="412">
        <f t="shared" si="4"/>
        <v>2500</v>
      </c>
      <c r="N48" s="412">
        <f t="shared" si="4"/>
        <v>2302</v>
      </c>
      <c r="O48" s="412">
        <f t="shared" si="4"/>
        <v>3365</v>
      </c>
      <c r="P48" s="412">
        <f>P43-P28-P33</f>
        <v>5013</v>
      </c>
      <c r="Q48" s="412">
        <f>Q43-Q28-Q33</f>
        <v>583</v>
      </c>
      <c r="R48" s="412">
        <f>R43-R28</f>
        <v>8629</v>
      </c>
      <c r="S48" s="412">
        <f>S43-S28</f>
        <v>8101</v>
      </c>
      <c r="T48" s="412">
        <f>T43-T28</f>
        <v>5974</v>
      </c>
    </row>
    <row r="49" spans="1:20">
      <c r="D49" s="18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182"/>
      <c r="S49" s="182"/>
    </row>
    <row r="50" spans="1:20">
      <c r="D50" s="182"/>
      <c r="E50" s="413">
        <v>2000</v>
      </c>
      <c r="F50" s="413">
        <v>2001</v>
      </c>
      <c r="G50" s="413">
        <v>2002</v>
      </c>
      <c r="H50" s="413">
        <v>2003</v>
      </c>
      <c r="I50" s="413">
        <v>2004</v>
      </c>
      <c r="J50" s="413">
        <v>2005</v>
      </c>
      <c r="K50" s="413">
        <v>2006</v>
      </c>
      <c r="L50" s="413">
        <v>2007</v>
      </c>
      <c r="M50" s="413">
        <v>2008</v>
      </c>
      <c r="N50" s="413">
        <v>2009</v>
      </c>
      <c r="O50" s="413">
        <v>2010</v>
      </c>
      <c r="P50" s="413">
        <v>2011</v>
      </c>
      <c r="Q50" s="413">
        <v>2012</v>
      </c>
      <c r="R50" s="413">
        <v>2013</v>
      </c>
      <c r="S50" s="413">
        <v>2014</v>
      </c>
      <c r="T50" s="413">
        <f>T7</f>
        <v>12.201499999999999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14">
        <f>'CBR Hist'!F58</f>
        <v>15127</v>
      </c>
      <c r="F53" s="414">
        <f>'CBR Hist'!G58</f>
        <v>16340</v>
      </c>
      <c r="G53" s="414">
        <f>'CBR Hist'!H58</f>
        <v>20910</v>
      </c>
      <c r="H53" s="414">
        <f>'CBR Hist'!I58</f>
        <v>21299</v>
      </c>
      <c r="I53" s="414">
        <f>'CBR Hist'!J58</f>
        <v>21374</v>
      </c>
      <c r="J53" s="414">
        <f>'CBR Hist'!K58</f>
        <v>22459</v>
      </c>
      <c r="K53" s="414">
        <f>'CBR Hist'!L58</f>
        <v>23458</v>
      </c>
      <c r="L53" s="414">
        <f>'CBR Hist'!M58</f>
        <v>20632</v>
      </c>
      <c r="M53" s="414">
        <f>'CBR Hist'!N58</f>
        <v>23321</v>
      </c>
      <c r="N53" s="414">
        <f>'CBR Hist'!O58</f>
        <v>57116</v>
      </c>
      <c r="O53" s="414">
        <f>'CBR Hist'!P58</f>
        <v>81955</v>
      </c>
      <c r="P53" s="414">
        <f>'CBR Hist'!Q58</f>
        <v>84081</v>
      </c>
      <c r="Q53" s="414">
        <f>'CBR Hist'!R58</f>
        <v>85247</v>
      </c>
      <c r="R53" s="414">
        <f>'CBR Hist'!S58</f>
        <v>91466</v>
      </c>
      <c r="S53" s="414">
        <f>'CBR Hist'!T58</f>
        <v>102620</v>
      </c>
      <c r="T53" s="414">
        <f>'CBR Hist'!U58</f>
        <v>144970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779441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401700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895055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212726</v>
      </c>
    </row>
    <row r="58" spans="1:20">
      <c r="A58" s="52">
        <v>36</v>
      </c>
      <c r="B58" s="38" t="s">
        <v>53</v>
      </c>
      <c r="C58" s="38"/>
      <c r="D58" s="38"/>
      <c r="E58" s="295">
        <f>SUM(E53:E57)</f>
        <v>1022583</v>
      </c>
      <c r="F58" s="295">
        <f t="shared" ref="F58:O58" si="5">SUM(F53:F57)</f>
        <v>1066652</v>
      </c>
      <c r="G58" s="295">
        <f t="shared" si="5"/>
        <v>1295496</v>
      </c>
      <c r="H58" s="295">
        <f t="shared" si="5"/>
        <v>1331772</v>
      </c>
      <c r="I58" s="295">
        <f t="shared" si="5"/>
        <v>1409192</v>
      </c>
      <c r="J58" s="295">
        <f t="shared" si="5"/>
        <v>1462135</v>
      </c>
      <c r="K58" s="295">
        <f t="shared" si="5"/>
        <v>1554029</v>
      </c>
      <c r="L58" s="295">
        <f t="shared" si="5"/>
        <v>1603303</v>
      </c>
      <c r="M58" s="295">
        <f t="shared" si="5"/>
        <v>1689260</v>
      </c>
      <c r="N58" s="295">
        <f t="shared" si="5"/>
        <v>1806872</v>
      </c>
      <c r="O58" s="295">
        <f t="shared" si="5"/>
        <v>1921533</v>
      </c>
      <c r="P58" s="295">
        <f t="shared" ref="P58" si="6">SUM(P53:P57)</f>
        <v>1955287</v>
      </c>
      <c r="Q58" s="295">
        <f t="shared" ref="Q58:R58" si="7">SUM(Q53:Q57)</f>
        <v>2043913</v>
      </c>
      <c r="R58" s="295">
        <f t="shared" si="7"/>
        <v>2165496</v>
      </c>
      <c r="S58" s="295">
        <f t="shared" ref="S58:T58" si="8">SUM(S53:S57)</f>
        <v>2260354</v>
      </c>
      <c r="T58" s="295">
        <f t="shared" si="8"/>
        <v>2433892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24943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342899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129936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273578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73050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299">
        <f>SUM(P60:P64)</f>
        <v>666983</v>
      </c>
      <c r="Q65" s="299">
        <f>SUM(Q60:Q64)</f>
        <v>704134</v>
      </c>
      <c r="R65" s="299">
        <f>SUM(R60:R64)</f>
        <v>749132</v>
      </c>
      <c r="S65" s="299">
        <f>SUM(S60:S64)</f>
        <v>788084</v>
      </c>
      <c r="T65" s="299">
        <f>SUM(T60:T64)</f>
        <v>844406</v>
      </c>
    </row>
    <row r="66" spans="1:20">
      <c r="A66" s="52">
        <v>43</v>
      </c>
      <c r="B66" s="38" t="s">
        <v>143</v>
      </c>
      <c r="C66" s="38"/>
      <c r="D66" s="38"/>
      <c r="E66" s="298">
        <f t="shared" ref="E66" si="9">E58-E65</f>
        <v>674238</v>
      </c>
      <c r="F66" s="298">
        <f t="shared" ref="F66:O66" si="10">F58-F65</f>
        <v>706998</v>
      </c>
      <c r="G66" s="298">
        <f t="shared" si="10"/>
        <v>876903</v>
      </c>
      <c r="H66" s="298">
        <f t="shared" si="10"/>
        <v>881676</v>
      </c>
      <c r="I66" s="298">
        <f t="shared" si="10"/>
        <v>933257</v>
      </c>
      <c r="J66" s="298">
        <f t="shared" si="10"/>
        <v>958941</v>
      </c>
      <c r="K66" s="298">
        <f t="shared" si="10"/>
        <v>1017347</v>
      </c>
      <c r="L66" s="298">
        <f t="shared" si="10"/>
        <v>1035983</v>
      </c>
      <c r="M66" s="298">
        <f t="shared" si="10"/>
        <v>1088968</v>
      </c>
      <c r="N66" s="298">
        <f t="shared" si="10"/>
        <v>1174762</v>
      </c>
      <c r="O66" s="298">
        <f t="shared" si="10"/>
        <v>1244898</v>
      </c>
      <c r="P66" s="298">
        <f t="shared" ref="P66:Q66" si="11">P58-P65</f>
        <v>1288304</v>
      </c>
      <c r="Q66" s="298">
        <f t="shared" si="11"/>
        <v>1339779</v>
      </c>
      <c r="R66" s="298">
        <f t="shared" ref="R66:S66" si="12">R58-R65</f>
        <v>1416364</v>
      </c>
      <c r="S66" s="298">
        <f t="shared" si="12"/>
        <v>1472270</v>
      </c>
      <c r="T66" s="298">
        <f t="shared" ref="T66" si="13">T58-T65</f>
        <v>1589486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-317860</v>
      </c>
    </row>
    <row r="69" spans="1:20">
      <c r="A69" s="52">
        <v>45</v>
      </c>
      <c r="B69" s="38"/>
      <c r="C69" s="38" t="s">
        <v>291</v>
      </c>
      <c r="D69" s="38"/>
      <c r="E69" s="295">
        <f>E66+E68</f>
        <v>569992</v>
      </c>
      <c r="F69" s="295">
        <f t="shared" ref="F69:O69" si="14">F66+F68</f>
        <v>598885</v>
      </c>
      <c r="G69" s="295">
        <f t="shared" si="14"/>
        <v>763096</v>
      </c>
      <c r="H69" s="295">
        <f t="shared" si="14"/>
        <v>743549</v>
      </c>
      <c r="I69" s="295">
        <f t="shared" si="14"/>
        <v>778726</v>
      </c>
      <c r="J69" s="295">
        <f t="shared" si="14"/>
        <v>820685</v>
      </c>
      <c r="K69" s="295">
        <f t="shared" si="14"/>
        <v>874964</v>
      </c>
      <c r="L69" s="295">
        <f t="shared" si="14"/>
        <v>892437</v>
      </c>
      <c r="M69" s="295">
        <f t="shared" si="14"/>
        <v>937291</v>
      </c>
      <c r="N69" s="295">
        <f t="shared" si="14"/>
        <v>1005341</v>
      </c>
      <c r="O69" s="295">
        <f t="shared" si="14"/>
        <v>1053967</v>
      </c>
      <c r="P69" s="295">
        <f t="shared" ref="P69" si="15">P66+P68</f>
        <v>1087141</v>
      </c>
      <c r="Q69" s="295">
        <f t="shared" ref="Q69:R69" si="16">Q66+Q68</f>
        <v>1131570</v>
      </c>
      <c r="R69" s="295">
        <f t="shared" si="16"/>
        <v>1195010</v>
      </c>
      <c r="S69" s="295">
        <f t="shared" ref="S69:T69" si="17">S66+S68</f>
        <v>1214504</v>
      </c>
      <c r="T69" s="295">
        <f t="shared" si="17"/>
        <v>1271626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7458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59722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297">
        <f>SUM(E69:E72)</f>
        <v>568492</v>
      </c>
      <c r="F73" s="297">
        <f t="shared" ref="F73:O73" si="18">SUM(F69:F72)</f>
        <v>597515</v>
      </c>
      <c r="G73" s="297">
        <f t="shared" si="18"/>
        <v>761858</v>
      </c>
      <c r="H73" s="297">
        <f t="shared" si="18"/>
        <v>742443</v>
      </c>
      <c r="I73" s="297">
        <f t="shared" si="18"/>
        <v>778011</v>
      </c>
      <c r="J73" s="297">
        <f t="shared" si="18"/>
        <v>819842</v>
      </c>
      <c r="K73" s="297">
        <f t="shared" si="18"/>
        <v>874511</v>
      </c>
      <c r="L73" s="297">
        <f t="shared" si="18"/>
        <v>891855</v>
      </c>
      <c r="M73" s="297">
        <f t="shared" si="18"/>
        <v>936840</v>
      </c>
      <c r="N73" s="297">
        <f t="shared" si="18"/>
        <v>1005019</v>
      </c>
      <c r="O73" s="297">
        <f t="shared" si="18"/>
        <v>1072028</v>
      </c>
      <c r="P73" s="297">
        <f t="shared" ref="P73" si="19">SUM(P69:P72)</f>
        <v>1137863</v>
      </c>
      <c r="Q73" s="297">
        <f t="shared" ref="Q73:R73" si="20">SUM(Q69:Q72)</f>
        <v>1158975</v>
      </c>
      <c r="R73" s="297">
        <f t="shared" si="20"/>
        <v>1226052</v>
      </c>
      <c r="S73" s="297">
        <f t="shared" ref="S73:T73" si="21">SUM(S69:S72)</f>
        <v>1273157</v>
      </c>
      <c r="T73" s="297">
        <f t="shared" si="21"/>
        <v>1338806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15">
        <f>E50</f>
        <v>2000</v>
      </c>
      <c r="F75" s="415">
        <f t="shared" ref="F75:R75" si="23">F50</f>
        <v>2001</v>
      </c>
      <c r="G75" s="415">
        <f t="shared" si="23"/>
        <v>2002</v>
      </c>
      <c r="H75" s="415">
        <f t="shared" si="23"/>
        <v>2003</v>
      </c>
      <c r="I75" s="415">
        <f t="shared" si="23"/>
        <v>2004</v>
      </c>
      <c r="J75" s="415">
        <f t="shared" si="23"/>
        <v>2005</v>
      </c>
      <c r="K75" s="415">
        <f t="shared" si="23"/>
        <v>2006</v>
      </c>
      <c r="L75" s="415">
        <f t="shared" si="23"/>
        <v>2007</v>
      </c>
      <c r="M75" s="415">
        <f t="shared" si="23"/>
        <v>2008</v>
      </c>
      <c r="N75" s="415">
        <f t="shared" si="23"/>
        <v>2009</v>
      </c>
      <c r="O75" s="415">
        <f t="shared" si="23"/>
        <v>2010</v>
      </c>
      <c r="P75" s="415">
        <f t="shared" si="23"/>
        <v>2011</v>
      </c>
      <c r="Q75" s="415">
        <f t="shared" si="23"/>
        <v>2012</v>
      </c>
      <c r="R75" s="415">
        <f t="shared" si="23"/>
        <v>2013</v>
      </c>
      <c r="S75" s="415">
        <f t="shared" ref="S75:T75" si="24">S50</f>
        <v>2014</v>
      </c>
      <c r="T75" s="415">
        <f t="shared" si="24"/>
        <v>12.201499999999999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16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16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16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16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6778</v>
      </c>
    </row>
    <row r="81" spans="1:20">
      <c r="A81" s="10" t="s">
        <v>331</v>
      </c>
      <c r="D81" s="416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16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-905</v>
      </c>
    </row>
    <row r="83" spans="1:20">
      <c r="A83" s="10" t="s">
        <v>333</v>
      </c>
      <c r="D83" s="416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16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4775</v>
      </c>
    </row>
    <row r="85" spans="1:20">
      <c r="A85" s="10" t="s">
        <v>333</v>
      </c>
      <c r="D85" s="416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191</v>
      </c>
    </row>
    <row r="86" spans="1:20">
      <c r="A86" s="10" t="s">
        <v>335</v>
      </c>
      <c r="D86" s="416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16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-69418</v>
      </c>
    </row>
    <row r="88" spans="1:20">
      <c r="A88" s="10" t="s">
        <v>335</v>
      </c>
      <c r="D88" s="416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-1835</v>
      </c>
    </row>
    <row r="89" spans="1:20">
      <c r="A89" s="10" t="s">
        <v>341</v>
      </c>
      <c r="D89" s="416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16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16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16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16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-692-50-330-210-47</f>
        <v>-1329</v>
      </c>
    </row>
    <row r="94" spans="1:20">
      <c r="A94" s="10" t="s">
        <v>336</v>
      </c>
      <c r="D94" s="256" t="s">
        <v>334</v>
      </c>
      <c r="E94" s="250"/>
      <c r="F94" s="250"/>
      <c r="G94" s="250"/>
      <c r="H94" s="250"/>
      <c r="I94" s="250"/>
      <c r="J94" s="250"/>
      <c r="K94" s="250"/>
      <c r="L94" s="250"/>
      <c r="M94" s="250"/>
      <c r="N94" s="250">
        <f>-236-78</f>
        <v>-314</v>
      </c>
      <c r="O94" s="250">
        <f>-476-429</f>
        <v>-905</v>
      </c>
      <c r="P94" s="250">
        <f>-501-36-240-153</f>
        <v>-930</v>
      </c>
      <c r="Q94" s="250">
        <f>-448-33-215-136</f>
        <v>-832</v>
      </c>
      <c r="R94" s="250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6" t="s">
        <v>345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>
        <v>5075</v>
      </c>
      <c r="O95" s="250">
        <v>4398</v>
      </c>
      <c r="P95" s="250">
        <v>3721</v>
      </c>
      <c r="Q95" s="250">
        <v>3045</v>
      </c>
      <c r="R95" s="250">
        <v>2368</v>
      </c>
      <c r="S95" s="184">
        <v>1692</v>
      </c>
      <c r="T95" s="184">
        <v>1015</v>
      </c>
    </row>
    <row r="96" spans="1:20">
      <c r="A96" s="10" t="s">
        <v>337</v>
      </c>
      <c r="D96" s="256" t="s">
        <v>334</v>
      </c>
      <c r="E96" s="250"/>
      <c r="F96" s="250"/>
      <c r="G96" s="250"/>
      <c r="H96" s="250"/>
      <c r="I96" s="250"/>
      <c r="J96" s="250"/>
      <c r="K96" s="250"/>
      <c r="L96" s="250"/>
      <c r="M96" s="250"/>
      <c r="N96" s="250">
        <v>-1776</v>
      </c>
      <c r="O96" s="250">
        <v>-1539</v>
      </c>
      <c r="P96" s="250">
        <v>-1303</v>
      </c>
      <c r="Q96" s="250">
        <v>-1066</v>
      </c>
      <c r="R96" s="250">
        <v>-829</v>
      </c>
      <c r="S96" s="184">
        <v>-592</v>
      </c>
      <c r="T96" s="184">
        <v>-355</v>
      </c>
    </row>
    <row r="97" spans="1:20">
      <c r="A97" s="10" t="s">
        <v>338</v>
      </c>
      <c r="D97" s="256" t="s">
        <v>345</v>
      </c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>
        <v>279</v>
      </c>
      <c r="P97" s="250">
        <v>6007</v>
      </c>
      <c r="Q97" s="250">
        <v>4647</v>
      </c>
      <c r="R97" s="250">
        <v>3287</v>
      </c>
      <c r="S97" s="184">
        <v>1927</v>
      </c>
      <c r="T97" s="184">
        <v>571</v>
      </c>
    </row>
    <row r="98" spans="1:20">
      <c r="A98" s="10" t="s">
        <v>338</v>
      </c>
      <c r="D98" s="256" t="s">
        <v>334</v>
      </c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>
        <v>-98</v>
      </c>
      <c r="P98" s="250">
        <v>-2102</v>
      </c>
      <c r="Q98" s="250">
        <v>-1626</v>
      </c>
      <c r="R98" s="250">
        <v>-1150</v>
      </c>
      <c r="S98" s="184">
        <v>-674</v>
      </c>
      <c r="T98" s="184">
        <v>-200</v>
      </c>
    </row>
    <row r="99" spans="1:20">
      <c r="A99" s="10" t="s">
        <v>342</v>
      </c>
      <c r="D99" s="256" t="s">
        <v>345</v>
      </c>
      <c r="E99" s="250">
        <v>24</v>
      </c>
      <c r="F99" s="250">
        <v>479</v>
      </c>
      <c r="G99" s="250">
        <v>286</v>
      </c>
      <c r="H99" s="250">
        <v>95</v>
      </c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184"/>
      <c r="T99" s="184"/>
    </row>
    <row r="100" spans="1:20">
      <c r="A100" s="10" t="s">
        <v>339</v>
      </c>
      <c r="D100" s="256" t="s">
        <v>346</v>
      </c>
      <c r="E100" s="250">
        <v>-848</v>
      </c>
      <c r="F100" s="250">
        <v>-487</v>
      </c>
      <c r="G100" s="250">
        <v>-245</v>
      </c>
      <c r="H100" s="250">
        <v>-225</v>
      </c>
      <c r="I100" s="250">
        <v>-223</v>
      </c>
      <c r="J100" s="250">
        <v>-248</v>
      </c>
      <c r="K100" s="250">
        <v>-267</v>
      </c>
      <c r="L100" s="250">
        <v>-258</v>
      </c>
      <c r="M100" s="250">
        <v>-232</v>
      </c>
      <c r="N100" s="250">
        <v>-257</v>
      </c>
      <c r="O100" s="250">
        <v>-279</v>
      </c>
      <c r="P100" s="250">
        <f>-248-22</f>
        <v>-270</v>
      </c>
      <c r="Q100" s="250">
        <v>-236</v>
      </c>
      <c r="R100" s="250">
        <v>-363</v>
      </c>
      <c r="S100" s="184">
        <v>-438</v>
      </c>
      <c r="T100" s="184">
        <v>-487</v>
      </c>
    </row>
    <row r="101" spans="1:20">
      <c r="A101" s="10" t="s">
        <v>340</v>
      </c>
      <c r="D101" s="256" t="s">
        <v>346</v>
      </c>
      <c r="E101" s="250"/>
      <c r="F101" s="250"/>
      <c r="G101" s="250"/>
      <c r="H101" s="250"/>
      <c r="I101" s="250"/>
      <c r="J101" s="250"/>
      <c r="K101" s="250"/>
      <c r="L101" s="250"/>
      <c r="M101" s="250"/>
      <c r="N101" s="250">
        <v>-3060</v>
      </c>
      <c r="O101" s="250">
        <v>-3419</v>
      </c>
      <c r="P101" s="250">
        <v>-3743</v>
      </c>
      <c r="Q101" s="250">
        <v>-2942</v>
      </c>
      <c r="R101" s="250">
        <v>-1222</v>
      </c>
      <c r="S101" s="184">
        <v>-1720</v>
      </c>
      <c r="T101" s="184">
        <v>-1751</v>
      </c>
    </row>
    <row r="102" spans="1:20">
      <c r="A102" s="10"/>
      <c r="S102" s="182"/>
    </row>
    <row r="103" spans="1:20">
      <c r="A103" s="10" t="s">
        <v>8</v>
      </c>
      <c r="E103" s="251">
        <f t="shared" ref="E103:M103" si="25">SUM(E77:E101)</f>
        <v>-80657</v>
      </c>
      <c r="F103" s="251">
        <f t="shared" si="25"/>
        <v>-64763</v>
      </c>
      <c r="G103" s="251">
        <f t="shared" si="25"/>
        <v>22356</v>
      </c>
      <c r="H103" s="251">
        <f t="shared" si="25"/>
        <v>21841</v>
      </c>
      <c r="I103" s="251">
        <f t="shared" si="25"/>
        <v>20255</v>
      </c>
      <c r="J103" s="251">
        <f t="shared" si="25"/>
        <v>20751</v>
      </c>
      <c r="K103" s="251">
        <f t="shared" si="25"/>
        <v>18799</v>
      </c>
      <c r="L103" s="251">
        <f t="shared" si="25"/>
        <v>21020</v>
      </c>
      <c r="M103" s="251">
        <f t="shared" si="25"/>
        <v>19593</v>
      </c>
      <c r="N103" s="251">
        <f t="shared" ref="N103:S103" si="26">SUM(N77:N101)</f>
        <v>17776</v>
      </c>
      <c r="O103" s="251">
        <f t="shared" si="26"/>
        <v>17776</v>
      </c>
      <c r="P103" s="251">
        <f t="shared" si="26"/>
        <v>18845</v>
      </c>
      <c r="Q103" s="251">
        <f t="shared" si="26"/>
        <v>16438</v>
      </c>
      <c r="R103" s="251">
        <f t="shared" si="26"/>
        <v>14761</v>
      </c>
      <c r="S103" s="412">
        <f t="shared" si="26"/>
        <v>10846</v>
      </c>
      <c r="T103" s="412">
        <f>SUM(T77:T101)</f>
        <v>7458</v>
      </c>
    </row>
    <row r="104" spans="1:20">
      <c r="A104" s="10" t="s">
        <v>343</v>
      </c>
      <c r="E104" s="251">
        <f>E79+E81+E83+E86+E89+E92+E95+E97+E99</f>
        <v>-86175</v>
      </c>
      <c r="F104" s="251">
        <f t="shared" ref="F104:O104" si="27">F79+F81+F83+F86+F89+F92+F95+F97+F99</f>
        <v>-77770</v>
      </c>
      <c r="G104" s="251">
        <f t="shared" si="27"/>
        <v>53521</v>
      </c>
      <c r="H104" s="251">
        <f t="shared" si="27"/>
        <v>53601</v>
      </c>
      <c r="I104" s="251">
        <f t="shared" si="27"/>
        <v>53340</v>
      </c>
      <c r="J104" s="251">
        <f t="shared" si="27"/>
        <v>53419</v>
      </c>
      <c r="K104" s="251">
        <f t="shared" si="27"/>
        <v>53490</v>
      </c>
      <c r="L104" s="251">
        <f t="shared" si="27"/>
        <v>67386</v>
      </c>
      <c r="M104" s="251">
        <f t="shared" si="27"/>
        <v>67317</v>
      </c>
      <c r="N104" s="251">
        <f t="shared" si="27"/>
        <v>73409</v>
      </c>
      <c r="O104" s="251">
        <f t="shared" si="27"/>
        <v>74943</v>
      </c>
      <c r="P104" s="251"/>
      <c r="Q104" s="251"/>
      <c r="R104" s="251"/>
      <c r="S104" s="412"/>
      <c r="T104" s="412"/>
    </row>
    <row r="105" spans="1:20">
      <c r="A105" s="10" t="s">
        <v>344</v>
      </c>
      <c r="E105" s="251">
        <f>E100+E101</f>
        <v>-848</v>
      </c>
      <c r="F105" s="251">
        <f t="shared" ref="F105:O105" si="28">F100+F101</f>
        <v>-487</v>
      </c>
      <c r="G105" s="251">
        <f t="shared" si="28"/>
        <v>-245</v>
      </c>
      <c r="H105" s="251">
        <f t="shared" si="28"/>
        <v>-225</v>
      </c>
      <c r="I105" s="251">
        <f t="shared" si="28"/>
        <v>-223</v>
      </c>
      <c r="J105" s="251">
        <f t="shared" si="28"/>
        <v>-248</v>
      </c>
      <c r="K105" s="251">
        <f t="shared" si="28"/>
        <v>-267</v>
      </c>
      <c r="L105" s="251">
        <f t="shared" si="28"/>
        <v>-258</v>
      </c>
      <c r="M105" s="251">
        <f t="shared" si="28"/>
        <v>-232</v>
      </c>
      <c r="N105" s="251">
        <f t="shared" si="28"/>
        <v>-3317</v>
      </c>
      <c r="O105" s="251">
        <f t="shared" si="28"/>
        <v>-3698</v>
      </c>
      <c r="P105" s="251"/>
      <c r="Q105" s="251"/>
      <c r="R105" s="251"/>
      <c r="S105" s="412"/>
      <c r="T105" s="412"/>
    </row>
    <row r="106" spans="1:20">
      <c r="A106" s="10" t="s">
        <v>332</v>
      </c>
      <c r="E106" s="251">
        <f>E80+E82+E84+E87+E90+E93</f>
        <v>6337</v>
      </c>
      <c r="F106" s="251">
        <f t="shared" ref="F106:O106" si="29">F80+F82+F84+F87+F90+F93</f>
        <v>13436</v>
      </c>
      <c r="G106" s="251">
        <f t="shared" si="29"/>
        <v>-27242</v>
      </c>
      <c r="H106" s="251">
        <f t="shared" si="29"/>
        <v>-27706</v>
      </c>
      <c r="I106" s="251">
        <f t="shared" si="29"/>
        <v>-28576</v>
      </c>
      <c r="J106" s="251">
        <f t="shared" si="29"/>
        <v>-28288</v>
      </c>
      <c r="K106" s="251">
        <f t="shared" si="29"/>
        <v>-30083</v>
      </c>
      <c r="L106" s="251">
        <f t="shared" si="29"/>
        <v>-41013</v>
      </c>
      <c r="M106" s="251">
        <f t="shared" si="29"/>
        <v>-42866</v>
      </c>
      <c r="N106" s="251">
        <f t="shared" si="29"/>
        <v>-46289</v>
      </c>
      <c r="O106" s="251">
        <f t="shared" si="29"/>
        <v>-47236</v>
      </c>
      <c r="P106" s="251"/>
      <c r="Q106" s="251"/>
      <c r="R106" s="251"/>
      <c r="S106" s="412"/>
      <c r="T106" s="412"/>
    </row>
    <row r="107" spans="1:20">
      <c r="A107" s="10" t="s">
        <v>334</v>
      </c>
      <c r="E107" s="251">
        <f>E78+E85+E88+E91+E94+E96+E98</f>
        <v>1529</v>
      </c>
      <c r="F107" s="251">
        <f t="shared" ref="F107:O107" si="30">F78+F85+F88+F91+F94+F96+F98</f>
        <v>1428</v>
      </c>
      <c r="G107" s="251">
        <f t="shared" si="30"/>
        <v>-2440</v>
      </c>
      <c r="H107" s="251">
        <f t="shared" si="30"/>
        <v>-2723</v>
      </c>
      <c r="I107" s="251">
        <f t="shared" si="30"/>
        <v>-3571</v>
      </c>
      <c r="J107" s="251">
        <f t="shared" si="30"/>
        <v>-3289</v>
      </c>
      <c r="K107" s="251">
        <f t="shared" si="30"/>
        <v>-3888</v>
      </c>
      <c r="L107" s="251">
        <f t="shared" si="30"/>
        <v>-4513</v>
      </c>
      <c r="M107" s="251">
        <f t="shared" si="30"/>
        <v>-4175</v>
      </c>
      <c r="N107" s="251">
        <f t="shared" si="30"/>
        <v>-5705</v>
      </c>
      <c r="O107" s="251">
        <f t="shared" si="30"/>
        <v>-6106</v>
      </c>
      <c r="P107" s="251"/>
      <c r="Q107" s="251"/>
      <c r="R107" s="251"/>
      <c r="S107" s="412"/>
      <c r="T107" s="412"/>
    </row>
    <row r="108" spans="1:20">
      <c r="A108" s="10" t="s">
        <v>237</v>
      </c>
      <c r="E108" s="251">
        <f t="shared" ref="E108" si="31">E77</f>
        <v>-1500</v>
      </c>
      <c r="F108" s="251">
        <f t="shared" ref="F108:O108" si="32">F77</f>
        <v>-1370</v>
      </c>
      <c r="G108" s="251">
        <f t="shared" si="32"/>
        <v>-1238</v>
      </c>
      <c r="H108" s="251">
        <f t="shared" si="32"/>
        <v>-1106</v>
      </c>
      <c r="I108" s="251">
        <f t="shared" si="32"/>
        <v>-715</v>
      </c>
      <c r="J108" s="251">
        <f t="shared" si="32"/>
        <v>-843</v>
      </c>
      <c r="K108" s="251">
        <f t="shared" si="32"/>
        <v>-453</v>
      </c>
      <c r="L108" s="251">
        <f t="shared" si="32"/>
        <v>-582</v>
      </c>
      <c r="M108" s="251">
        <f t="shared" si="32"/>
        <v>-451</v>
      </c>
      <c r="N108" s="251">
        <f t="shared" si="32"/>
        <v>-322</v>
      </c>
      <c r="O108" s="251">
        <f t="shared" si="32"/>
        <v>-127</v>
      </c>
      <c r="P108" s="251">
        <f>P70</f>
        <v>32534</v>
      </c>
      <c r="Q108" s="251">
        <f t="shared" ref="Q108" si="33">Q70</f>
        <v>16438</v>
      </c>
      <c r="R108" s="251">
        <f>R70</f>
        <v>14761</v>
      </c>
      <c r="S108" s="412">
        <f>S70</f>
        <v>10846</v>
      </c>
      <c r="T108" s="412">
        <f>T70</f>
        <v>7458</v>
      </c>
    </row>
    <row r="109" spans="1:20">
      <c r="S109" s="182"/>
    </row>
    <row r="110" spans="1:20">
      <c r="O110" s="256" t="s">
        <v>462</v>
      </c>
      <c r="P110" s="251">
        <f>P103-P108</f>
        <v>-13689</v>
      </c>
      <c r="S110" s="182"/>
    </row>
    <row r="111" spans="1:20">
      <c r="O111" s="256" t="s">
        <v>463</v>
      </c>
      <c r="P111" s="251">
        <f>-P110</f>
        <v>13689</v>
      </c>
      <c r="S111" s="182"/>
    </row>
    <row r="112" spans="1:20">
      <c r="P112" s="251"/>
      <c r="Q112" s="251"/>
      <c r="R112" s="251"/>
      <c r="S112" s="251"/>
      <c r="T112" s="412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388" t="s">
        <v>508</v>
      </c>
      <c r="W7" s="388"/>
      <c r="X7" s="389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2" t="s">
        <v>91</v>
      </c>
      <c r="V8" s="396" t="s">
        <v>468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0.95278799999999997</v>
      </c>
      <c r="I12" s="118">
        <f>I35/$H12</f>
        <v>-3613.6055449900714</v>
      </c>
      <c r="J12" s="118">
        <f>J35/$H12</f>
        <v>-5325.4239138192343</v>
      </c>
      <c r="K12" s="118">
        <f>K35/$H12</f>
        <v>-6364.4798213243657</v>
      </c>
      <c r="L12" s="118">
        <f>L35/$H12</f>
        <v>-6433.750215158042</v>
      </c>
      <c r="M12" s="118">
        <f>M35/$H12</f>
        <v>-7081.3234423607355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-3613.6055449900714</v>
      </c>
      <c r="J15" s="118">
        <f>SUM(J12:J14)</f>
        <v>-5325.4239138192343</v>
      </c>
      <c r="K15" s="118">
        <f>SUM(K12:K14)</f>
        <v>-6364.4798213243657</v>
      </c>
      <c r="L15" s="118">
        <f>SUM(L12:L14)</f>
        <v>-6433.750215158042</v>
      </c>
      <c r="M15" s="118">
        <f>SUM(M12:M14)</f>
        <v>-7081.3234423607355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-3613.6055449900714</v>
      </c>
      <c r="J17" s="118">
        <f>J15+J16</f>
        <v>-5325.4239138192343</v>
      </c>
      <c r="K17" s="118">
        <f>K15+K16</f>
        <v>-6364.4798213243657</v>
      </c>
      <c r="L17" s="118">
        <f>L15+L16</f>
        <v>-6433.750215158042</v>
      </c>
      <c r="M17" s="118">
        <f>M15+M16</f>
        <v>-7081.3234423607355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9">
        <f>ROR!L16</f>
        <v>3.8473E-2</v>
      </c>
      <c r="I31" s="119">
        <f>I12*$H31</f>
        <v>-139.02624613240303</v>
      </c>
      <c r="J31" s="119">
        <f>J12*$H31</f>
        <v>-204.8850342363674</v>
      </c>
      <c r="K31" s="119">
        <f>K12*$H31</f>
        <v>-244.86063216581232</v>
      </c>
      <c r="L31" s="119">
        <f>L12*$H31</f>
        <v>-247.52567202777536</v>
      </c>
      <c r="M31" s="119">
        <f>M12*$H31</f>
        <v>-272.4397567979446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-139.02624613240303</v>
      </c>
      <c r="J32" s="118">
        <f>SUM(J29:J31)</f>
        <v>-204.8850342363674</v>
      </c>
      <c r="K32" s="118">
        <f>SUM(K29:K31)</f>
        <v>-244.86063216581232</v>
      </c>
      <c r="L32" s="118">
        <f>SUM(L29:L31)</f>
        <v>-247.52567202777536</v>
      </c>
      <c r="M32" s="118">
        <f>SUM(M29:M31)</f>
        <v>-272.4397567979446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9">
        <f>ROR!L12</f>
        <v>6.7390000000000002E-3</v>
      </c>
      <c r="I34" s="118">
        <f>I12*$H34</f>
        <v>-24.352087767688094</v>
      </c>
      <c r="J34" s="118">
        <f>J12*$H34</f>
        <v>-35.888031755227821</v>
      </c>
      <c r="K34" s="118">
        <f>K12*$H34</f>
        <v>-42.890229515904899</v>
      </c>
      <c r="L34" s="118">
        <f>L12*$H34</f>
        <v>-43.35704269995005</v>
      </c>
      <c r="M34" s="118">
        <f>M12*$H34</f>
        <v>-47.721038678069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9">
        <f>ROR!L14</f>
        <v>2E-3</v>
      </c>
      <c r="I39" s="118">
        <f>I12*$H39</f>
        <v>-7.2272110899801429</v>
      </c>
      <c r="J39" s="118">
        <f>J12*$H39</f>
        <v>-10.650847827638469</v>
      </c>
      <c r="K39" s="118">
        <f>K12*$H39</f>
        <v>-12.728959642648732</v>
      </c>
      <c r="L39" s="118">
        <f>L12*$H39</f>
        <v>-12.867500430316085</v>
      </c>
      <c r="M39" s="118">
        <f>M12*$H39</f>
        <v>-14.162646884721472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-7.2272110899801429</v>
      </c>
      <c r="J42" s="120">
        <f>SUM(J39:J41)</f>
        <v>-10.650847827638469</v>
      </c>
      <c r="K42" s="120">
        <f>SUM(K39:K41)</f>
        <v>-12.728959642648732</v>
      </c>
      <c r="L42" s="120">
        <f>SUM(L39:L41)</f>
        <v>-12.867500430316085</v>
      </c>
      <c r="M42" s="120">
        <f>SUM(M39:M41)</f>
        <v>-14.162646884721472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-3613.6055449900714</v>
      </c>
      <c r="J43" s="120">
        <f>J26+J32+J34+J35+J36+J42</f>
        <v>-5325.4239138192333</v>
      </c>
      <c r="K43" s="120">
        <f>K26+K32+K34+K35+K36+K42</f>
        <v>-6364.4798213243666</v>
      </c>
      <c r="L43" s="120">
        <f>L26+L32+L34+L35+L36+L42</f>
        <v>-6433.7502151580411</v>
      </c>
      <c r="M43" s="120">
        <f>M26+M32+M34+M35+M36+M42</f>
        <v>-7081.3234423607355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377</v>
      </c>
    </row>
    <row r="56" spans="1:21">
      <c r="F56" s="112" t="s">
        <v>294</v>
      </c>
    </row>
    <row r="57" spans="1:21">
      <c r="F57" s="112" t="s">
        <v>467</v>
      </c>
    </row>
  </sheetData>
  <phoneticPr fontId="57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7" sqref="V7:X7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390">
        <v>2004</v>
      </c>
      <c r="N7" s="399">
        <v>2005</v>
      </c>
      <c r="O7" s="390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861" t="s">
        <v>508</v>
      </c>
      <c r="W7" s="861"/>
      <c r="X7" s="862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391" t="s">
        <v>91</v>
      </c>
      <c r="N8" s="400" t="s">
        <v>91</v>
      </c>
      <c r="O8" s="391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2" t="s">
        <v>91</v>
      </c>
      <c r="V8" s="396" t="s">
        <v>465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392" t="s">
        <v>233</v>
      </c>
      <c r="N9" s="401" t="s">
        <v>233</v>
      </c>
      <c r="O9" s="392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389"/>
      <c r="O10" s="389"/>
    </row>
    <row r="11" spans="1:24">
      <c r="A11" s="114"/>
      <c r="B11" s="112" t="s">
        <v>85</v>
      </c>
      <c r="E11" s="114"/>
      <c r="F11" s="112" t="s">
        <v>85</v>
      </c>
      <c r="M11" s="389"/>
      <c r="O11" s="389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19">
        <f>ROR!L20</f>
        <v>0.95278799999999997</v>
      </c>
      <c r="I12" s="118">
        <f>I24/$H12</f>
        <v>17468.733863146892</v>
      </c>
      <c r="J12" s="118">
        <f>J24/$H12</f>
        <v>1486.1648131588558</v>
      </c>
      <c r="K12" s="118">
        <f>K24/$H12</f>
        <v>7884.2302799783374</v>
      </c>
      <c r="L12" s="118">
        <f>L24/$H12</f>
        <v>6653.1064622980139</v>
      </c>
      <c r="M12" s="393">
        <f>M24/$H12</f>
        <v>7514.7881795320682</v>
      </c>
      <c r="N12" s="402">
        <f t="shared" ref="N12:T12" si="0">N24/$D12</f>
        <v>9829.3372421735949</v>
      </c>
      <c r="O12" s="393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393"/>
      <c r="N13" s="402"/>
      <c r="O13" s="393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394"/>
      <c r="N14" s="403"/>
      <c r="O14" s="394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17468.733863146892</v>
      </c>
      <c r="J15" s="118">
        <f>SUM(J12:J14)</f>
        <v>1486.1648131588558</v>
      </c>
      <c r="K15" s="118">
        <f>SUM(K12:K14)</f>
        <v>7884.2302799783374</v>
      </c>
      <c r="L15" s="118">
        <f>SUM(L12:L14)</f>
        <v>6653.1064622980139</v>
      </c>
      <c r="M15" s="393">
        <f>SUM(M12:M14)</f>
        <v>7514.7881795320682</v>
      </c>
      <c r="N15" s="402">
        <f t="shared" ref="N15:T15" si="2">SUM(N12:N14)</f>
        <v>9829.3372421735949</v>
      </c>
      <c r="O15" s="393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394"/>
      <c r="N16" s="403"/>
      <c r="O16" s="394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17468.733863146892</v>
      </c>
      <c r="J17" s="118">
        <f>J15+J16</f>
        <v>1486.1648131588558</v>
      </c>
      <c r="K17" s="118">
        <f>K15+K16</f>
        <v>7884.2302799783374</v>
      </c>
      <c r="L17" s="118">
        <f>L15+L16</f>
        <v>6653.1064622980139</v>
      </c>
      <c r="M17" s="393">
        <f>M15+M16</f>
        <v>7514.7881795320682</v>
      </c>
      <c r="N17" s="402">
        <f t="shared" ref="N17:T17" si="4">N15+N16</f>
        <v>9829.3372421735949</v>
      </c>
      <c r="O17" s="393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393"/>
      <c r="N18" s="402"/>
      <c r="O18" s="393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393"/>
      <c r="N19" s="402"/>
      <c r="O19" s="393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393"/>
      <c r="N20" s="402"/>
      <c r="O20" s="393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393"/>
      <c r="N21" s="402"/>
      <c r="O21" s="393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393"/>
      <c r="N22" s="402"/>
      <c r="O22" s="393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393"/>
      <c r="N23" s="402"/>
      <c r="O23" s="393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393">
        <v>7160</v>
      </c>
      <c r="N24" s="402">
        <v>9388</v>
      </c>
      <c r="O24" s="393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394"/>
      <c r="N25" s="403"/>
      <c r="O25" s="394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393">
        <f>SUM(M21:M25)</f>
        <v>7160</v>
      </c>
      <c r="N26" s="402">
        <f t="shared" ref="N26:T26" si="6">SUM(N21:N25)</f>
        <v>9388</v>
      </c>
      <c r="O26" s="393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393"/>
      <c r="N27" s="402"/>
      <c r="O27" s="393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393"/>
      <c r="N28" s="402"/>
      <c r="O28" s="393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393"/>
      <c r="N29" s="402"/>
      <c r="O29" s="393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393"/>
      <c r="N30" s="402"/>
      <c r="O30" s="393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9">
        <f>ROR!L16</f>
        <v>3.8473E-2</v>
      </c>
      <c r="I31" s="119">
        <f>I12*$H31</f>
        <v>672.07459791685039</v>
      </c>
      <c r="J31" s="119">
        <f>J12*$H31</f>
        <v>57.177218856660659</v>
      </c>
      <c r="K31" s="119">
        <f>K12*$H31</f>
        <v>303.32999156160656</v>
      </c>
      <c r="L31" s="119">
        <f>L12*$H31</f>
        <v>255.96496492399149</v>
      </c>
      <c r="M31" s="394">
        <f>M12*$H31</f>
        <v>289.11644563113725</v>
      </c>
      <c r="N31" s="403">
        <f t="shared" ref="N31:U31" si="8">N12*$D31</f>
        <v>379.03890273269815</v>
      </c>
      <c r="O31" s="394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672.07459791685039</v>
      </c>
      <c r="J32" s="118">
        <f>SUM(J29:J31)</f>
        <v>57.177218856660659</v>
      </c>
      <c r="K32" s="118">
        <f>SUM(K29:K31)</f>
        <v>303.32999156160656</v>
      </c>
      <c r="L32" s="118">
        <f>SUM(L29:L31)</f>
        <v>255.96496492399149</v>
      </c>
      <c r="M32" s="393">
        <f>SUM(M29:M31)</f>
        <v>289.11644563113725</v>
      </c>
      <c r="N32" s="402">
        <f t="shared" ref="N32:T32" si="9">SUM(N29:N31)</f>
        <v>379.03890273269815</v>
      </c>
      <c r="O32" s="393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393"/>
      <c r="N33" s="402"/>
      <c r="O33" s="393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9">
        <f>ROR!L12</f>
        <v>6.7390000000000002E-3</v>
      </c>
      <c r="I34" s="118">
        <f>I12*$H34</f>
        <v>117.72179750374691</v>
      </c>
      <c r="J34" s="118">
        <f>J12*$H34</f>
        <v>10.01526467587753</v>
      </c>
      <c r="K34" s="118">
        <f>K12*$H34</f>
        <v>53.131827856774017</v>
      </c>
      <c r="L34" s="118">
        <f>L12*$H34</f>
        <v>44.835284449426318</v>
      </c>
      <c r="M34" s="393">
        <f>M12*$H34</f>
        <v>50.642157541866609</v>
      </c>
      <c r="N34" s="402">
        <f t="shared" ref="N34:S34" si="11">N12*$D34</f>
        <v>42.639664956549055</v>
      </c>
      <c r="O34" s="393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393"/>
      <c r="N35" s="402"/>
      <c r="O35" s="393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393"/>
      <c r="N36" s="402"/>
      <c r="O36" s="393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393"/>
      <c r="N37" s="402"/>
      <c r="O37" s="393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393"/>
      <c r="N38" s="402"/>
      <c r="O38" s="393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9">
        <f>ROR!L14</f>
        <v>2E-3</v>
      </c>
      <c r="I39" s="118">
        <f>I12*$H39</f>
        <v>34.937467726293782</v>
      </c>
      <c r="J39" s="118">
        <f>J12*$H39</f>
        <v>2.9723296263177117</v>
      </c>
      <c r="K39" s="118">
        <f>K12*$H39</f>
        <v>15.768460559956676</v>
      </c>
      <c r="L39" s="118">
        <f>L12*$H39</f>
        <v>13.306212924596029</v>
      </c>
      <c r="M39" s="393">
        <f>M12*$H39</f>
        <v>15.029576359064137</v>
      </c>
      <c r="N39" s="402">
        <f t="shared" ref="N39:T39" si="12">N12*$D39</f>
        <v>19.658674484347191</v>
      </c>
      <c r="O39" s="393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393"/>
      <c r="N40" s="402"/>
      <c r="O40" s="393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394"/>
      <c r="N41" s="403"/>
      <c r="O41" s="394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34.937467726293782</v>
      </c>
      <c r="J42" s="120">
        <f>SUM(J39:J41)</f>
        <v>2.9723296263177117</v>
      </c>
      <c r="K42" s="120">
        <f>SUM(K39:K41)</f>
        <v>15.768460559956676</v>
      </c>
      <c r="L42" s="120">
        <f>SUM(L39:L41)</f>
        <v>13.306212924596029</v>
      </c>
      <c r="M42" s="395">
        <f>SUM(M39:M41)</f>
        <v>15.029576359064137</v>
      </c>
      <c r="N42" s="404">
        <f t="shared" ref="N42:T42" si="14">SUM(N39:N41)</f>
        <v>19.658674484347191</v>
      </c>
      <c r="O42" s="395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17468.733863146888</v>
      </c>
      <c r="J43" s="120">
        <f>J26+J32+J34+J35+J36+J42</f>
        <v>1486.1648131588558</v>
      </c>
      <c r="K43" s="120">
        <f>K26+K32+K34+K35+K36+K42</f>
        <v>7884.2302799783374</v>
      </c>
      <c r="L43" s="120">
        <f>L26+L32+L34+L35+L36+L42</f>
        <v>6653.1064622980148</v>
      </c>
      <c r="M43" s="395">
        <f>M26+M32+M34+M35+M36+M42</f>
        <v>7514.7881795320673</v>
      </c>
      <c r="N43" s="404">
        <f t="shared" ref="N43:S43" si="16">N26+N32+N34+N35+N36+N42</f>
        <v>9829.3372421735949</v>
      </c>
      <c r="O43" s="395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393"/>
      <c r="N44" s="402"/>
      <c r="O44" s="393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393">
        <f>M17-M43</f>
        <v>0</v>
      </c>
      <c r="N45" s="402">
        <f t="shared" ref="N45:T45" si="17">N17-N43</f>
        <v>0</v>
      </c>
      <c r="O45" s="393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393"/>
      <c r="N46" s="402"/>
      <c r="O46" s="393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393"/>
      <c r="N47" s="402"/>
      <c r="O47" s="393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393">
        <f>ROUND(0.35*M45,0)</f>
        <v>0</v>
      </c>
      <c r="N48" s="402">
        <f t="shared" ref="N48:T48" si="19">ROUND(0.35*N45,0)</f>
        <v>0</v>
      </c>
      <c r="O48" s="393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393"/>
      <c r="N49" s="402"/>
      <c r="O49" s="393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393"/>
      <c r="N50" s="402"/>
      <c r="O50" s="393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394"/>
      <c r="N51" s="403"/>
      <c r="O51" s="394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393"/>
      <c r="N52" s="402"/>
      <c r="O52" s="393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393">
        <f>M45-M48-M49-M50-M51</f>
        <v>0</v>
      </c>
      <c r="N53" s="402">
        <f t="shared" ref="N53:T53" si="21">N45-N48-N49-N50-N51</f>
        <v>0</v>
      </c>
      <c r="O53" s="393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464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466</v>
      </c>
    </row>
  </sheetData>
  <phoneticPr fontId="57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4" sqref="T14"/>
    </sheetView>
  </sheetViews>
  <sheetFormatPr defaultColWidth="8.85546875" defaultRowHeight="12.75"/>
  <cols>
    <col min="1" max="1" width="34.7109375" style="280" customWidth="1"/>
    <col min="2" max="3" width="0" style="280" hidden="1" customWidth="1"/>
    <col min="4" max="4" width="5.5703125" style="280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80" customWidth="1"/>
    <col min="19" max="19" width="13.42578125" style="569" customWidth="1"/>
    <col min="20" max="20" width="13.42578125" style="36" customWidth="1"/>
    <col min="21" max="16384" width="8.85546875" style="280"/>
  </cols>
  <sheetData>
    <row r="1" spans="1:21">
      <c r="A1" s="965" t="s">
        <v>6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</row>
    <row r="2" spans="1:21">
      <c r="A2" s="966" t="s">
        <v>7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6"/>
    </row>
    <row r="3" spans="1:21">
      <c r="D3" s="55"/>
    </row>
    <row r="4" spans="1:21">
      <c r="D4" s="55"/>
      <c r="E4" s="967" t="s">
        <v>29</v>
      </c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</row>
    <row r="5" spans="1:21">
      <c r="D5" s="55"/>
      <c r="E5" s="968" t="s">
        <v>292</v>
      </c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69"/>
      <c r="Q5" s="969"/>
      <c r="S5" s="111"/>
      <c r="T5" s="111" t="s">
        <v>510</v>
      </c>
    </row>
    <row r="6" spans="1:21">
      <c r="D6" s="56"/>
      <c r="E6" s="300">
        <v>2000</v>
      </c>
      <c r="F6" s="243">
        <v>2001</v>
      </c>
      <c r="G6" s="243">
        <v>2002</v>
      </c>
      <c r="H6" s="243">
        <v>2003</v>
      </c>
      <c r="I6" s="243">
        <v>2004</v>
      </c>
      <c r="J6" s="243">
        <v>2005</v>
      </c>
      <c r="K6" s="243">
        <v>2006</v>
      </c>
      <c r="L6" s="243">
        <v>2007</v>
      </c>
      <c r="M6" s="243">
        <v>2008</v>
      </c>
      <c r="N6" s="243">
        <v>2009</v>
      </c>
      <c r="O6" s="243">
        <v>2010</v>
      </c>
      <c r="P6" s="301">
        <v>2011</v>
      </c>
      <c r="Q6" s="301">
        <v>2012</v>
      </c>
      <c r="R6" s="301">
        <v>2013</v>
      </c>
      <c r="S6" s="301">
        <v>2014</v>
      </c>
      <c r="T6" s="604">
        <v>12.201499999999999</v>
      </c>
    </row>
    <row r="7" spans="1:21">
      <c r="A7" s="280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02">
        <v>0.65239999999999998</v>
      </c>
      <c r="Q7" s="302">
        <v>0.65010000000000001</v>
      </c>
      <c r="R7" s="302">
        <v>0.65190000000000003</v>
      </c>
      <c r="S7" s="302">
        <v>0.64710000000000001</v>
      </c>
      <c r="T7" s="605">
        <f>'12.2015 CB Power Supply'!F9</f>
        <v>0.65629999999999999</v>
      </c>
    </row>
    <row r="8" spans="1:21"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605"/>
    </row>
    <row r="9" spans="1:21">
      <c r="A9" s="280" t="s">
        <v>10</v>
      </c>
      <c r="D9" s="57"/>
      <c r="E9" s="244">
        <v>135976.0367</v>
      </c>
      <c r="F9" s="244">
        <v>90880</v>
      </c>
      <c r="G9" s="244">
        <v>31728</v>
      </c>
      <c r="H9" s="244">
        <v>35221</v>
      </c>
      <c r="I9" s="244">
        <v>40439</v>
      </c>
      <c r="J9" s="244">
        <v>44689.546799999996</v>
      </c>
      <c r="K9" s="244">
        <v>35381</v>
      </c>
      <c r="L9" s="244">
        <v>34954</v>
      </c>
      <c r="M9" s="244">
        <v>46849</v>
      </c>
      <c r="N9" s="244">
        <v>30933.259500000004</v>
      </c>
      <c r="O9" s="244">
        <v>132773.274</v>
      </c>
      <c r="P9" s="244">
        <v>52603.011999999995</v>
      </c>
      <c r="Q9" s="244">
        <v>54547.940699999999</v>
      </c>
      <c r="R9" s="244">
        <v>75350</v>
      </c>
      <c r="S9" s="244">
        <v>60998</v>
      </c>
      <c r="T9" s="508">
        <f>'12.2015 CB Power Supply'!F11</f>
        <v>49504</v>
      </c>
    </row>
    <row r="10" spans="1:21">
      <c r="A10" s="280" t="s">
        <v>11</v>
      </c>
      <c r="D10" s="58"/>
      <c r="E10" s="245">
        <v>300.2937</v>
      </c>
      <c r="F10" s="245">
        <v>281</v>
      </c>
      <c r="G10" s="245">
        <v>38</v>
      </c>
      <c r="H10" s="245">
        <v>297</v>
      </c>
      <c r="I10" s="245">
        <v>238</v>
      </c>
      <c r="J10" s="245">
        <v>124.85669999999999</v>
      </c>
      <c r="K10" s="245">
        <v>153</v>
      </c>
      <c r="L10" s="245">
        <v>200</v>
      </c>
      <c r="M10" s="245">
        <v>198</v>
      </c>
      <c r="N10" s="245">
        <v>247.15470000000002</v>
      </c>
      <c r="O10" s="245">
        <v>183.75119999999998</v>
      </c>
      <c r="P10" s="245">
        <v>330.76679999999999</v>
      </c>
      <c r="Q10" s="245">
        <v>303.5967</v>
      </c>
      <c r="R10" s="245">
        <v>282</v>
      </c>
      <c r="S10" s="245">
        <v>307</v>
      </c>
      <c r="T10" s="496">
        <f>'12.2015 CB Power Supply'!F12</f>
        <v>267</v>
      </c>
    </row>
    <row r="11" spans="1:21">
      <c r="A11" s="280" t="s">
        <v>12</v>
      </c>
      <c r="D11" s="58"/>
      <c r="E11" s="245">
        <v>43.751400000000004</v>
      </c>
      <c r="F11" s="245">
        <v>0</v>
      </c>
      <c r="G11" s="245">
        <v>30</v>
      </c>
      <c r="H11" s="245">
        <v>16</v>
      </c>
      <c r="I11" s="245">
        <v>16</v>
      </c>
      <c r="J11" s="245">
        <v>12.420299999999999</v>
      </c>
      <c r="K11" s="245">
        <v>14</v>
      </c>
      <c r="L11" s="245">
        <v>14</v>
      </c>
      <c r="M11" s="245">
        <v>16</v>
      </c>
      <c r="N11" s="245">
        <v>18.8123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496">
        <f>'12.2015 CB Power Supply'!F13</f>
        <v>0</v>
      </c>
    </row>
    <row r="12" spans="1:21">
      <c r="A12" s="405" t="s">
        <v>13</v>
      </c>
      <c r="D12" s="60"/>
      <c r="E12" s="320">
        <v>10967.6805</v>
      </c>
      <c r="F12" s="320">
        <v>11862</v>
      </c>
      <c r="G12" s="320">
        <v>25225</v>
      </c>
      <c r="H12" s="320">
        <v>46826</v>
      </c>
      <c r="I12" s="320">
        <v>31</v>
      </c>
      <c r="J12" s="320">
        <v>41.836799999999997</v>
      </c>
      <c r="K12" s="320">
        <v>31</v>
      </c>
      <c r="L12" s="320">
        <v>7</v>
      </c>
      <c r="M12" s="320">
        <v>2</v>
      </c>
      <c r="N12" s="320">
        <v>93.412800000000004</v>
      </c>
      <c r="O12" s="320">
        <v>456.11999999999995</v>
      </c>
      <c r="P12" s="320">
        <v>1420.9271999999999</v>
      </c>
      <c r="Q12" s="320">
        <v>1122.7227</v>
      </c>
      <c r="R12" s="320">
        <v>0</v>
      </c>
      <c r="S12" s="320">
        <v>2592</v>
      </c>
      <c r="T12" s="505">
        <f>'12.2015 CB Power Supply'!F17</f>
        <v>0</v>
      </c>
      <c r="U12" s="463" t="s">
        <v>552</v>
      </c>
    </row>
    <row r="13" spans="1:21" s="317" customFormat="1">
      <c r="A13" s="317" t="s">
        <v>379</v>
      </c>
      <c r="D13" s="6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>
        <v>63</v>
      </c>
      <c r="R13" s="320">
        <v>0</v>
      </c>
      <c r="S13" s="320">
        <v>163</v>
      </c>
      <c r="T13" s="505">
        <f>'12.2015 CB Power Supply'!F18</f>
        <v>0</v>
      </c>
      <c r="U13" s="463" t="s">
        <v>552</v>
      </c>
    </row>
    <row r="14" spans="1:21">
      <c r="A14" s="280" t="s">
        <v>14</v>
      </c>
      <c r="D14" s="60"/>
      <c r="E14" s="321">
        <f>SUM(E9:E12)</f>
        <v>147287.7623</v>
      </c>
      <c r="F14" s="321">
        <f t="shared" ref="F14:Q14" si="0">SUM(F9:F12)</f>
        <v>103023</v>
      </c>
      <c r="G14" s="321">
        <f t="shared" si="0"/>
        <v>57021</v>
      </c>
      <c r="H14" s="321">
        <f t="shared" si="0"/>
        <v>82360</v>
      </c>
      <c r="I14" s="321">
        <f t="shared" si="0"/>
        <v>40724</v>
      </c>
      <c r="J14" s="321">
        <f t="shared" si="0"/>
        <v>44868.660599999988</v>
      </c>
      <c r="K14" s="321">
        <f t="shared" si="0"/>
        <v>35579</v>
      </c>
      <c r="L14" s="321">
        <f t="shared" si="0"/>
        <v>35175</v>
      </c>
      <c r="M14" s="321">
        <f t="shared" si="0"/>
        <v>47065</v>
      </c>
      <c r="N14" s="321">
        <f t="shared" si="0"/>
        <v>31292.639300000003</v>
      </c>
      <c r="O14" s="321">
        <f t="shared" si="0"/>
        <v>133413.1452</v>
      </c>
      <c r="P14" s="321">
        <f t="shared" si="0"/>
        <v>54354.705999999991</v>
      </c>
      <c r="Q14" s="321">
        <f t="shared" si="0"/>
        <v>55974.2601</v>
      </c>
      <c r="R14" s="321">
        <f>SUM(R9:R13)</f>
        <v>75632</v>
      </c>
      <c r="S14" s="321">
        <v>64060</v>
      </c>
      <c r="T14" s="606">
        <f>SUM(T9:T13)</f>
        <v>49771</v>
      </c>
    </row>
    <row r="15" spans="1:21">
      <c r="D15" s="60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496"/>
    </row>
    <row r="16" spans="1:21">
      <c r="D16" s="60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496"/>
    </row>
    <row r="17" spans="1:26">
      <c r="A17" s="280" t="s">
        <v>15</v>
      </c>
      <c r="D17" s="60"/>
      <c r="E17" s="245">
        <v>18358.352600000002</v>
      </c>
      <c r="F17" s="245">
        <v>10164</v>
      </c>
      <c r="G17" s="245">
        <v>9430</v>
      </c>
      <c r="H17" s="245">
        <v>12014</v>
      </c>
      <c r="I17" s="245">
        <v>12358</v>
      </c>
      <c r="J17" s="245">
        <v>12956.9877</v>
      </c>
      <c r="K17" s="245">
        <v>15914</v>
      </c>
      <c r="L17" s="245">
        <v>16710</v>
      </c>
      <c r="M17" s="245">
        <v>18086</v>
      </c>
      <c r="N17" s="245">
        <v>16203.228600000002</v>
      </c>
      <c r="O17" s="245">
        <v>19974.797999999999</v>
      </c>
      <c r="P17" s="245">
        <v>21546.8148</v>
      </c>
      <c r="Q17" s="245">
        <v>16459.231800000001</v>
      </c>
      <c r="R17" s="245">
        <v>18925</v>
      </c>
      <c r="S17" s="245">
        <v>17743</v>
      </c>
      <c r="T17" s="496">
        <f>'12.2015 CB Power Supply'!F22</f>
        <v>18789</v>
      </c>
    </row>
    <row r="18" spans="1:26">
      <c r="A18" s="280" t="s">
        <v>16</v>
      </c>
      <c r="D18" s="60"/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496">
        <f>'12.2015 CB Power Supply'!F23</f>
        <v>0</v>
      </c>
    </row>
    <row r="19" spans="1:26">
      <c r="A19" s="280" t="s">
        <v>17</v>
      </c>
      <c r="D19" s="60"/>
      <c r="E19" s="245">
        <v>23060.302300000003</v>
      </c>
      <c r="F19" s="245">
        <v>3582</v>
      </c>
      <c r="G19" s="245">
        <v>8111</v>
      </c>
      <c r="H19" s="245">
        <v>15447</v>
      </c>
      <c r="I19" s="245">
        <v>45629</v>
      </c>
      <c r="J19" s="245">
        <v>55227.190799999997</v>
      </c>
      <c r="K19" s="245">
        <v>47155</v>
      </c>
      <c r="L19" s="245">
        <v>43656</v>
      </c>
      <c r="M19" s="245">
        <v>52704</v>
      </c>
      <c r="N19" s="245">
        <v>15927.531100000002</v>
      </c>
      <c r="O19" s="245">
        <v>74448.55799999999</v>
      </c>
      <c r="P19" s="245">
        <v>62923.979999999996</v>
      </c>
      <c r="Q19" s="245">
        <v>50012.192999999999</v>
      </c>
      <c r="R19" s="245">
        <v>60338</v>
      </c>
      <c r="S19" s="245">
        <v>36097</v>
      </c>
      <c r="T19" s="496">
        <f>'12.2015 CB Power Supply'!F24</f>
        <v>58913</v>
      </c>
    </row>
    <row r="20" spans="1:26">
      <c r="A20" s="280" t="s">
        <v>18</v>
      </c>
      <c r="D20" s="60"/>
      <c r="E20" s="245">
        <v>548.88120000000004</v>
      </c>
      <c r="F20" s="245">
        <v>528</v>
      </c>
      <c r="G20" s="245">
        <v>392</v>
      </c>
      <c r="H20" s="245">
        <v>528</v>
      </c>
      <c r="I20" s="245">
        <v>490</v>
      </c>
      <c r="J20" s="245">
        <v>497.46569999999997</v>
      </c>
      <c r="K20" s="245">
        <v>450</v>
      </c>
      <c r="L20" s="245">
        <v>420</v>
      </c>
      <c r="M20" s="245">
        <v>421</v>
      </c>
      <c r="N20" s="245">
        <v>464.46920000000006</v>
      </c>
      <c r="O20" s="245">
        <v>555.81479999999999</v>
      </c>
      <c r="P20" s="245">
        <v>635.43759999999997</v>
      </c>
      <c r="Q20" s="245">
        <v>673.50360000000001</v>
      </c>
      <c r="R20" s="245">
        <v>671</v>
      </c>
      <c r="S20" s="245">
        <v>636</v>
      </c>
      <c r="T20" s="496">
        <f>'12.2015 CB Power Supply'!F25</f>
        <v>681</v>
      </c>
    </row>
    <row r="21" spans="1:26">
      <c r="A21" s="280" t="s">
        <v>19</v>
      </c>
      <c r="D21" s="60"/>
      <c r="E21" s="245">
        <v>180040.32550000001</v>
      </c>
      <c r="F21" s="245">
        <v>131649</v>
      </c>
      <c r="G21" s="245">
        <v>50729</v>
      </c>
      <c r="H21" s="245">
        <v>53591</v>
      </c>
      <c r="I21" s="245">
        <v>51029</v>
      </c>
      <c r="J21" s="245">
        <v>55379.502899999992</v>
      </c>
      <c r="K21" s="245">
        <v>79145</v>
      </c>
      <c r="L21" s="245">
        <v>65642</v>
      </c>
      <c r="M21" s="245">
        <v>72581</v>
      </c>
      <c r="N21" s="245">
        <v>104870.13940000001</v>
      </c>
      <c r="O21" s="245">
        <v>142281.42119999998</v>
      </c>
      <c r="P21" s="245">
        <v>91141.584799999997</v>
      </c>
      <c r="Q21" s="245">
        <v>101282.32950000001</v>
      </c>
      <c r="R21" s="245">
        <v>109035</v>
      </c>
      <c r="S21" s="245">
        <v>116641</v>
      </c>
      <c r="T21" s="496">
        <f>'12.2015 CB Power Supply'!F26</f>
        <v>85107</v>
      </c>
    </row>
    <row r="22" spans="1:26">
      <c r="A22" s="280" t="s">
        <v>20</v>
      </c>
      <c r="D22" s="60"/>
      <c r="E22" s="245">
        <v>0</v>
      </c>
      <c r="F22" s="245">
        <v>0</v>
      </c>
      <c r="G22" s="245">
        <v>85</v>
      </c>
      <c r="H22" s="245">
        <v>87</v>
      </c>
      <c r="I22" s="245">
        <v>87</v>
      </c>
      <c r="J22" s="245">
        <v>86.942099999999996</v>
      </c>
      <c r="K22" s="245">
        <v>115</v>
      </c>
      <c r="L22" s="245">
        <v>100</v>
      </c>
      <c r="M22" s="245">
        <v>113</v>
      </c>
      <c r="N22" s="245">
        <v>103.792</v>
      </c>
      <c r="O22" s="245">
        <v>104.256</v>
      </c>
      <c r="P22" s="245">
        <v>104.384</v>
      </c>
      <c r="Q22" s="245">
        <v>104.01600000000001</v>
      </c>
      <c r="R22" s="245">
        <v>104</v>
      </c>
      <c r="S22" s="245">
        <v>0</v>
      </c>
      <c r="T22" s="496">
        <f>'12.2015 CB Power Supply'!F27</f>
        <v>0</v>
      </c>
    </row>
    <row r="23" spans="1:26">
      <c r="A23" s="280" t="s">
        <v>21</v>
      </c>
      <c r="D23" s="60"/>
      <c r="E23" s="245">
        <v>3013.5434</v>
      </c>
      <c r="F23" s="245">
        <v>3056</v>
      </c>
      <c r="G23" s="245">
        <v>3059</v>
      </c>
      <c r="H23" s="245">
        <v>3066</v>
      </c>
      <c r="I23" s="245">
        <v>4385</v>
      </c>
      <c r="J23" s="245">
        <v>2320.6349999999998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496">
        <f>'12.2015 CB Power Supply'!F28</f>
        <v>0</v>
      </c>
    </row>
    <row r="24" spans="1:26">
      <c r="A24" s="280" t="s">
        <v>22</v>
      </c>
      <c r="D24" s="60"/>
      <c r="E24" s="245">
        <v>109.3785</v>
      </c>
      <c r="F24" s="245">
        <v>171</v>
      </c>
      <c r="G24" s="245">
        <v>150</v>
      </c>
      <c r="H24" s="245">
        <v>173</v>
      </c>
      <c r="I24" s="245">
        <v>99</v>
      </c>
      <c r="J24" s="245">
        <v>141.19919999999999</v>
      </c>
      <c r="K24" s="245">
        <v>0</v>
      </c>
      <c r="L24" s="245">
        <v>0</v>
      </c>
      <c r="M24" s="245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496">
        <f>'12.2015 CB Power Supply'!F29</f>
        <v>0</v>
      </c>
    </row>
    <row r="25" spans="1:26">
      <c r="A25" s="280" t="s">
        <v>23</v>
      </c>
      <c r="D25" s="60"/>
      <c r="E25" s="245">
        <v>1984.7226000000001</v>
      </c>
      <c r="F25" s="245">
        <v>25</v>
      </c>
      <c r="G25" s="245">
        <v>46700</v>
      </c>
      <c r="H25" s="245">
        <v>63438</v>
      </c>
      <c r="I25" s="245">
        <v>51</v>
      </c>
      <c r="J25" s="245">
        <v>73.868099999999998</v>
      </c>
      <c r="K25" s="245">
        <v>291</v>
      </c>
      <c r="L25" s="245">
        <v>243</v>
      </c>
      <c r="M25" s="245">
        <v>297</v>
      </c>
      <c r="N25" s="245">
        <v>307.48380000000003</v>
      </c>
      <c r="O25" s="245">
        <v>465.89399999999995</v>
      </c>
      <c r="P25" s="245">
        <v>820.7192</v>
      </c>
      <c r="Q25" s="245">
        <v>891.93719999999996</v>
      </c>
      <c r="R25" s="245">
        <v>711</v>
      </c>
      <c r="S25" s="245">
        <v>376</v>
      </c>
      <c r="T25" s="496">
        <f>'12.2015 CB Power Supply'!F30</f>
        <v>706</v>
      </c>
    </row>
    <row r="26" spans="1:26" s="317" customFormat="1">
      <c r="A26" s="317" t="s">
        <v>380</v>
      </c>
      <c r="D26" s="60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>
        <v>0</v>
      </c>
      <c r="R26" s="245">
        <v>0</v>
      </c>
      <c r="S26" s="245">
        <v>2396</v>
      </c>
      <c r="T26" s="496">
        <f>'12.2015 CB Power Supply'!F31</f>
        <v>-139</v>
      </c>
    </row>
    <row r="27" spans="1:26">
      <c r="A27" s="280" t="s">
        <v>24</v>
      </c>
      <c r="D27" s="60"/>
      <c r="E27" s="245">
        <v>7669.7530000000006</v>
      </c>
      <c r="F27" s="245">
        <v>7010</v>
      </c>
      <c r="G27" s="245">
        <v>5723</v>
      </c>
      <c r="H27" s="245">
        <v>5938</v>
      </c>
      <c r="I27" s="245">
        <v>8671</v>
      </c>
      <c r="J27" s="245">
        <v>6436.3301999999994</v>
      </c>
      <c r="K27" s="245">
        <v>9054</v>
      </c>
      <c r="L27" s="245">
        <v>8948</v>
      </c>
      <c r="M27" s="245">
        <v>8782</v>
      </c>
      <c r="N27" s="245">
        <v>8661.4423999999999</v>
      </c>
      <c r="O27" s="245">
        <v>11537.8812</v>
      </c>
      <c r="P27" s="245">
        <v>11410.475999999999</v>
      </c>
      <c r="Q27" s="245">
        <v>11410.555200000001</v>
      </c>
      <c r="R27" s="245">
        <v>11687</v>
      </c>
      <c r="S27" s="245">
        <v>12228</v>
      </c>
      <c r="T27" s="496">
        <f>'12.2015 CB Power Supply'!F34</f>
        <v>11038</v>
      </c>
    </row>
    <row r="28" spans="1:26" ht="15.6" customHeight="1">
      <c r="A28" s="16"/>
      <c r="B28" s="16"/>
      <c r="C28" s="16"/>
      <c r="D28" s="320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496"/>
      <c r="U28" s="245"/>
      <c r="V28" s="16"/>
      <c r="W28" s="16"/>
      <c r="X28" s="16"/>
      <c r="Y28" s="16"/>
      <c r="Z28" s="16"/>
    </row>
    <row r="29" spans="1:26">
      <c r="A29" s="280" t="s">
        <v>25</v>
      </c>
      <c r="D29" s="60"/>
      <c r="E29" s="247">
        <f>SUM(E17:E28)</f>
        <v>234785.2591</v>
      </c>
      <c r="F29" s="247">
        <f t="shared" ref="F29:Q29" si="1">SUM(F17:F28)</f>
        <v>156185</v>
      </c>
      <c r="G29" s="247">
        <f t="shared" si="1"/>
        <v>124379</v>
      </c>
      <c r="H29" s="247">
        <f t="shared" si="1"/>
        <v>154282</v>
      </c>
      <c r="I29" s="247">
        <f t="shared" si="1"/>
        <v>122799</v>
      </c>
      <c r="J29" s="247">
        <f t="shared" si="1"/>
        <v>133120.12169999999</v>
      </c>
      <c r="K29" s="247">
        <f t="shared" si="1"/>
        <v>152124</v>
      </c>
      <c r="L29" s="247">
        <f t="shared" si="1"/>
        <v>135719</v>
      </c>
      <c r="M29" s="247">
        <f t="shared" si="1"/>
        <v>152984</v>
      </c>
      <c r="N29" s="247">
        <f t="shared" si="1"/>
        <v>146538.0865</v>
      </c>
      <c r="O29" s="247">
        <f t="shared" si="1"/>
        <v>249368.62319999994</v>
      </c>
      <c r="P29" s="247">
        <f t="shared" si="1"/>
        <v>188583.39639999997</v>
      </c>
      <c r="Q29" s="247">
        <f t="shared" si="1"/>
        <v>180833.76630000002</v>
      </c>
      <c r="R29" s="247">
        <f t="shared" ref="R29:T29" si="2">SUM(R17:R28)</f>
        <v>201471</v>
      </c>
      <c r="S29" s="247">
        <v>186117</v>
      </c>
      <c r="T29" s="607">
        <f t="shared" si="2"/>
        <v>175095</v>
      </c>
    </row>
    <row r="30" spans="1:26"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605"/>
    </row>
    <row r="31" spans="1:26">
      <c r="A31" s="280" t="s">
        <v>26</v>
      </c>
      <c r="D31" s="58"/>
      <c r="E31" s="245">
        <f>E14-E29</f>
        <v>-87497.496799999994</v>
      </c>
      <c r="F31" s="245">
        <f t="shared" ref="F31:Q31" si="3">F14-F29</f>
        <v>-53162</v>
      </c>
      <c r="G31" s="245">
        <f t="shared" si="3"/>
        <v>-67358</v>
      </c>
      <c r="H31" s="245">
        <f t="shared" si="3"/>
        <v>-71922</v>
      </c>
      <c r="I31" s="245">
        <f t="shared" si="3"/>
        <v>-82075</v>
      </c>
      <c r="J31" s="245">
        <f t="shared" si="3"/>
        <v>-88251.4611</v>
      </c>
      <c r="K31" s="245">
        <f t="shared" si="3"/>
        <v>-116545</v>
      </c>
      <c r="L31" s="245">
        <f t="shared" si="3"/>
        <v>-100544</v>
      </c>
      <c r="M31" s="245">
        <f t="shared" si="3"/>
        <v>-105919</v>
      </c>
      <c r="N31" s="245">
        <f t="shared" si="3"/>
        <v>-115245.4472</v>
      </c>
      <c r="O31" s="245">
        <f t="shared" si="3"/>
        <v>-115955.47799999994</v>
      </c>
      <c r="P31" s="245">
        <f t="shared" si="3"/>
        <v>-134228.69039999996</v>
      </c>
      <c r="Q31" s="245">
        <f t="shared" si="3"/>
        <v>-124859.50620000002</v>
      </c>
      <c r="R31" s="245">
        <f t="shared" ref="R31:T31" si="4">R14-R29</f>
        <v>-125839</v>
      </c>
      <c r="S31" s="245">
        <v>-122057</v>
      </c>
      <c r="T31" s="496">
        <f t="shared" si="4"/>
        <v>-125324</v>
      </c>
    </row>
    <row r="32" spans="1:26">
      <c r="D32" s="58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496"/>
    </row>
    <row r="33" spans="1:20">
      <c r="A33" s="280" t="s">
        <v>27</v>
      </c>
      <c r="C33" s="62">
        <v>0.35</v>
      </c>
      <c r="D33" s="63"/>
      <c r="E33" s="246">
        <f>E31*0.35</f>
        <v>-30624.123879999996</v>
      </c>
      <c r="F33" s="246">
        <f t="shared" ref="F33:Q33" si="5">F31*0.35</f>
        <v>-18606.699999999997</v>
      </c>
      <c r="G33" s="246">
        <f t="shared" si="5"/>
        <v>-23575.3</v>
      </c>
      <c r="H33" s="246">
        <f t="shared" si="5"/>
        <v>-25172.699999999997</v>
      </c>
      <c r="I33" s="246">
        <f t="shared" si="5"/>
        <v>-28726.249999999996</v>
      </c>
      <c r="J33" s="246">
        <f t="shared" si="5"/>
        <v>-30888.011384999998</v>
      </c>
      <c r="K33" s="246">
        <f t="shared" si="5"/>
        <v>-40790.75</v>
      </c>
      <c r="L33" s="246">
        <f t="shared" si="5"/>
        <v>-35190.399999999994</v>
      </c>
      <c r="M33" s="246">
        <f t="shared" si="5"/>
        <v>-37071.649999999994</v>
      </c>
      <c r="N33" s="246">
        <f t="shared" si="5"/>
        <v>-40335.906519999997</v>
      </c>
      <c r="O33" s="246">
        <f t="shared" si="5"/>
        <v>-40584.417299999979</v>
      </c>
      <c r="P33" s="246">
        <f t="shared" si="5"/>
        <v>-46980.041639999981</v>
      </c>
      <c r="Q33" s="246">
        <f t="shared" si="5"/>
        <v>-43700.827170000004</v>
      </c>
      <c r="R33" s="246">
        <f t="shared" ref="R33:T33" si="6">R31*0.35</f>
        <v>-44043.649999999994</v>
      </c>
      <c r="S33" s="246">
        <v>-42719.95</v>
      </c>
      <c r="T33" s="608">
        <f t="shared" si="6"/>
        <v>-43863.399999999994</v>
      </c>
    </row>
    <row r="34" spans="1:20">
      <c r="D34" s="6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508"/>
    </row>
    <row r="35" spans="1:20">
      <c r="A35" s="280" t="s">
        <v>28</v>
      </c>
      <c r="D35" s="58"/>
      <c r="E35" s="303">
        <f>E31-E33</f>
        <v>-56873.372919999994</v>
      </c>
      <c r="F35" s="303">
        <f t="shared" ref="F35:Q35" si="7">F31-F33</f>
        <v>-34555.300000000003</v>
      </c>
      <c r="G35" s="303">
        <f t="shared" si="7"/>
        <v>-43782.7</v>
      </c>
      <c r="H35" s="303">
        <f t="shared" si="7"/>
        <v>-46749.3</v>
      </c>
      <c r="I35" s="303">
        <f t="shared" si="7"/>
        <v>-53348.75</v>
      </c>
      <c r="J35" s="303">
        <f t="shared" si="7"/>
        <v>-57363.449715000002</v>
      </c>
      <c r="K35" s="303">
        <f t="shared" si="7"/>
        <v>-75754.25</v>
      </c>
      <c r="L35" s="303">
        <f t="shared" si="7"/>
        <v>-65353.600000000006</v>
      </c>
      <c r="M35" s="303">
        <f t="shared" si="7"/>
        <v>-68847.350000000006</v>
      </c>
      <c r="N35" s="303">
        <f t="shared" si="7"/>
        <v>-74909.540680000006</v>
      </c>
      <c r="O35" s="303">
        <f t="shared" si="7"/>
        <v>-75371.060699999973</v>
      </c>
      <c r="P35" s="303">
        <f t="shared" si="7"/>
        <v>-87248.648759999982</v>
      </c>
      <c r="Q35" s="303">
        <f t="shared" si="7"/>
        <v>-81158.679030000014</v>
      </c>
      <c r="R35" s="303">
        <f t="shared" ref="R35:T35" si="8">R31-R33</f>
        <v>-81795.350000000006</v>
      </c>
      <c r="S35" s="303">
        <v>-79337.05</v>
      </c>
      <c r="T35" s="609">
        <f t="shared" si="8"/>
        <v>-81460.600000000006</v>
      </c>
    </row>
    <row r="36" spans="1:20">
      <c r="E36" s="245"/>
      <c r="F36" s="245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04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04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00"/>
    </row>
    <row r="45" spans="1:20">
      <c r="J45" s="300"/>
    </row>
    <row r="54" spans="1:22">
      <c r="A54" s="494" t="s">
        <v>550</v>
      </c>
      <c r="B54" s="494"/>
      <c r="C54" s="494"/>
      <c r="D54" s="60"/>
      <c r="E54" s="462"/>
      <c r="F54" s="462"/>
      <c r="G54" s="462"/>
      <c r="H54" s="462"/>
      <c r="I54" s="462"/>
      <c r="J54" s="495">
        <f>ROUND(9555*J33,0)</f>
        <v>-295134949</v>
      </c>
      <c r="K54" s="495">
        <f>ROUND(12757*K33,0)</f>
        <v>-520367598</v>
      </c>
      <c r="L54" s="495">
        <f>ROUND(14241*L33,0)</f>
        <v>-501146486</v>
      </c>
      <c r="M54" s="495">
        <f>ROUND(15869*M33,0)</f>
        <v>-588290014</v>
      </c>
      <c r="N54" s="495">
        <f>ROUND(16051*N33,0)</f>
        <v>-647431636</v>
      </c>
      <c r="O54" s="495">
        <f>ROUND(15132*O33,0)</f>
        <v>-614123403</v>
      </c>
      <c r="P54" s="495">
        <f>ROUND(16369*P33,0)</f>
        <v>-769016302</v>
      </c>
      <c r="Q54" s="495">
        <f>ROUND(21605*Q33,0)</f>
        <v>-944156371</v>
      </c>
      <c r="R54" s="495">
        <f>ROUND(17902*R33,0)</f>
        <v>-788469422</v>
      </c>
      <c r="S54" s="495">
        <v>-800700023</v>
      </c>
      <c r="T54" s="496">
        <f>ROUND(18743*T33,0)</f>
        <v>-822131706</v>
      </c>
      <c r="U54" s="462">
        <f>'12.2015 CB Power Supply'!F57+'12.2015 CB Power Supply'!F58</f>
        <v>0</v>
      </c>
      <c r="V54" s="494" t="s">
        <v>551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workbookViewId="0"/>
  </sheetViews>
  <sheetFormatPr defaultColWidth="9.140625" defaultRowHeight="15"/>
  <cols>
    <col min="1" max="4" width="9.140625" style="258"/>
    <col min="5" max="5" width="11.5703125" style="258" bestFit="1" customWidth="1"/>
    <col min="6" max="14" width="10.5703125" style="258" bestFit="1" customWidth="1"/>
    <col min="15" max="15" width="11.5703125" style="258" bestFit="1" customWidth="1"/>
    <col min="16" max="19" width="10.5703125" style="258" bestFit="1" customWidth="1"/>
    <col min="20" max="20" width="10.5703125" style="406" bestFit="1" customWidth="1"/>
    <col min="21" max="16384" width="9.140625" style="258"/>
  </cols>
  <sheetData>
    <row r="1" spans="1:21">
      <c r="A1" s="258" t="s">
        <v>348</v>
      </c>
    </row>
    <row r="2" spans="1:21">
      <c r="P2" s="259"/>
      <c r="Q2" s="259"/>
      <c r="R2" s="259"/>
      <c r="S2" s="111"/>
      <c r="T2" s="111" t="s">
        <v>510</v>
      </c>
    </row>
    <row r="3" spans="1:21">
      <c r="D3" s="260"/>
      <c r="E3" s="261">
        <v>2000</v>
      </c>
      <c r="F3" s="262">
        <v>2001</v>
      </c>
      <c r="G3" s="262">
        <v>2002</v>
      </c>
      <c r="H3" s="262">
        <v>2003</v>
      </c>
      <c r="I3" s="262">
        <v>2004</v>
      </c>
      <c r="J3" s="262">
        <v>2005</v>
      </c>
      <c r="K3" s="262">
        <v>2006</v>
      </c>
      <c r="L3" s="262">
        <v>2007</v>
      </c>
      <c r="M3" s="262">
        <v>2008</v>
      </c>
      <c r="N3" s="262">
        <v>2009</v>
      </c>
      <c r="O3" s="262">
        <v>2010</v>
      </c>
      <c r="P3" s="262">
        <v>2011</v>
      </c>
      <c r="Q3" s="262">
        <v>2012</v>
      </c>
      <c r="R3" s="262">
        <v>2013</v>
      </c>
      <c r="S3" s="262">
        <v>2014</v>
      </c>
      <c r="T3" s="262">
        <v>12.201499999999999</v>
      </c>
    </row>
    <row r="4" spans="1:21">
      <c r="A4" s="258" t="s">
        <v>9</v>
      </c>
      <c r="D4" s="263"/>
      <c r="E4" s="264">
        <v>0.66290000000000004</v>
      </c>
      <c r="F4" s="264">
        <v>0.67479999999999996</v>
      </c>
      <c r="G4" s="264">
        <v>0.64119999999999999</v>
      </c>
      <c r="H4" s="264">
        <v>0.65480000000000005</v>
      </c>
      <c r="I4" s="264">
        <v>0.65159999999999996</v>
      </c>
      <c r="J4" s="264">
        <v>0.65369999999999995</v>
      </c>
      <c r="K4" s="264">
        <v>0.6583</v>
      </c>
      <c r="L4" s="264">
        <v>0.64590000000000003</v>
      </c>
      <c r="M4" s="264">
        <v>0.64419999999999999</v>
      </c>
      <c r="N4" s="264">
        <v>0.64870000000000005</v>
      </c>
      <c r="O4" s="264">
        <v>0.65159999999999996</v>
      </c>
      <c r="P4" s="265">
        <v>0.65239999999999998</v>
      </c>
      <c r="Q4" s="265">
        <v>0.65010000000000001</v>
      </c>
      <c r="R4" s="265">
        <v>0.65190000000000003</v>
      </c>
      <c r="S4" s="265">
        <v>0.64710000000000001</v>
      </c>
      <c r="T4" s="265">
        <v>0.65629999999999999</v>
      </c>
    </row>
    <row r="5" spans="1:21">
      <c r="A5" s="258" t="s">
        <v>349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</row>
    <row r="6" spans="1:21">
      <c r="A6" s="258" t="s">
        <v>10</v>
      </c>
      <c r="D6" s="266"/>
      <c r="E6" s="267">
        <v>135976.0367</v>
      </c>
      <c r="F6" s="267">
        <v>90880</v>
      </c>
      <c r="G6" s="267">
        <v>31728</v>
      </c>
      <c r="H6" s="267">
        <v>35221</v>
      </c>
      <c r="I6" s="267">
        <v>40439</v>
      </c>
      <c r="J6" s="267">
        <v>44689.546799999996</v>
      </c>
      <c r="K6" s="267">
        <v>35381</v>
      </c>
      <c r="L6" s="267">
        <v>34954</v>
      </c>
      <c r="M6" s="267">
        <v>46849</v>
      </c>
      <c r="N6" s="267">
        <v>30933.259500000004</v>
      </c>
      <c r="O6" s="267">
        <v>132773.274</v>
      </c>
      <c r="P6" s="267">
        <v>52603.011999999995</v>
      </c>
      <c r="Q6" s="267">
        <v>54547.940699999999</v>
      </c>
      <c r="R6" s="244">
        <v>75350</v>
      </c>
      <c r="S6" s="244">
        <f>'PS Consolidated'!S9</f>
        <v>60998</v>
      </c>
      <c r="T6" s="244">
        <f>'PS Consolidated'!T9</f>
        <v>49504</v>
      </c>
    </row>
    <row r="7" spans="1:21">
      <c r="A7" s="258" t="s">
        <v>11</v>
      </c>
      <c r="D7" s="268"/>
      <c r="E7" s="269">
        <v>300.2937</v>
      </c>
      <c r="F7" s="269">
        <v>281</v>
      </c>
      <c r="G7" s="269">
        <v>38</v>
      </c>
      <c r="H7" s="269">
        <v>297</v>
      </c>
      <c r="I7" s="269">
        <v>238</v>
      </c>
      <c r="J7" s="269">
        <v>124.85669999999999</v>
      </c>
      <c r="K7" s="269">
        <v>153</v>
      </c>
      <c r="L7" s="269">
        <v>200</v>
      </c>
      <c r="M7" s="269">
        <v>198</v>
      </c>
      <c r="N7" s="269">
        <v>247.15470000000002</v>
      </c>
      <c r="O7" s="269">
        <v>183.75119999999998</v>
      </c>
      <c r="P7" s="269">
        <v>330.76679999999999</v>
      </c>
      <c r="Q7" s="269">
        <v>303.5967</v>
      </c>
      <c r="R7" s="269">
        <v>282</v>
      </c>
      <c r="S7" s="269">
        <f>475*S4</f>
        <v>307.3725</v>
      </c>
      <c r="T7" s="269">
        <f>407*T4</f>
        <v>267.11410000000001</v>
      </c>
    </row>
    <row r="8" spans="1:21">
      <c r="A8" s="258" t="s">
        <v>12</v>
      </c>
      <c r="D8" s="268"/>
      <c r="E8" s="269">
        <v>43.751400000000004</v>
      </c>
      <c r="F8" s="269">
        <v>0</v>
      </c>
      <c r="G8" s="269">
        <v>30</v>
      </c>
      <c r="H8" s="269">
        <v>16</v>
      </c>
      <c r="I8" s="269">
        <v>16</v>
      </c>
      <c r="J8" s="269">
        <v>12.420299999999999</v>
      </c>
      <c r="K8" s="269">
        <v>14</v>
      </c>
      <c r="L8" s="269">
        <v>14</v>
      </c>
      <c r="M8" s="269">
        <v>16</v>
      </c>
      <c r="N8" s="269">
        <v>18.8123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</row>
    <row r="9" spans="1:21">
      <c r="A9" s="258" t="s">
        <v>13</v>
      </c>
      <c r="D9" s="270"/>
      <c r="E9" s="271">
        <v>10967.6805</v>
      </c>
      <c r="F9" s="271">
        <v>11862</v>
      </c>
      <c r="G9" s="271">
        <v>25225</v>
      </c>
      <c r="H9" s="271">
        <v>46826</v>
      </c>
      <c r="I9" s="271">
        <v>31</v>
      </c>
      <c r="J9" s="271">
        <v>41.836799999999997</v>
      </c>
      <c r="K9" s="271">
        <v>31</v>
      </c>
      <c r="L9" s="271">
        <v>7</v>
      </c>
      <c r="M9" s="271">
        <v>2</v>
      </c>
      <c r="N9" s="271">
        <v>93.412800000000004</v>
      </c>
      <c r="O9" s="271">
        <v>456.11999999999995</v>
      </c>
      <c r="P9" s="271">
        <v>1420.9271999999999</v>
      </c>
      <c r="Q9" s="271">
        <f>'PS Consolidated'!Q12+'PS Consolidated'!Q13</f>
        <v>1185.7227</v>
      </c>
      <c r="R9" s="271">
        <f>'PS Consolidated'!R12+'PS Consolidated'!R13</f>
        <v>0</v>
      </c>
      <c r="S9" s="271">
        <f>'PS Consolidated'!S12+'PS Consolidated'!S13</f>
        <v>2755</v>
      </c>
      <c r="T9" s="271">
        <f>'PS Consolidated'!T12+'PS Consolidated'!T13</f>
        <v>0</v>
      </c>
    </row>
    <row r="10" spans="1:21">
      <c r="A10" s="258" t="s">
        <v>14</v>
      </c>
      <c r="D10" s="270"/>
      <c r="E10" s="269">
        <f t="shared" ref="E10:R10" si="0">SUM(E6:E9)</f>
        <v>147287.7623</v>
      </c>
      <c r="F10" s="269">
        <f t="shared" si="0"/>
        <v>103023</v>
      </c>
      <c r="G10" s="269">
        <f t="shared" si="0"/>
        <v>57021</v>
      </c>
      <c r="H10" s="269">
        <f t="shared" si="0"/>
        <v>82360</v>
      </c>
      <c r="I10" s="269">
        <f t="shared" si="0"/>
        <v>40724</v>
      </c>
      <c r="J10" s="269">
        <f t="shared" si="0"/>
        <v>44868.660599999988</v>
      </c>
      <c r="K10" s="269">
        <f t="shared" si="0"/>
        <v>35579</v>
      </c>
      <c r="L10" s="269">
        <f t="shared" si="0"/>
        <v>35175</v>
      </c>
      <c r="M10" s="269">
        <f t="shared" si="0"/>
        <v>47065</v>
      </c>
      <c r="N10" s="269">
        <f t="shared" si="0"/>
        <v>31292.639300000003</v>
      </c>
      <c r="O10" s="269">
        <f t="shared" si="0"/>
        <v>133413.1452</v>
      </c>
      <c r="P10" s="269">
        <f t="shared" si="0"/>
        <v>54354.705999999991</v>
      </c>
      <c r="Q10" s="269">
        <f t="shared" si="0"/>
        <v>56037.2601</v>
      </c>
      <c r="R10" s="269">
        <f t="shared" si="0"/>
        <v>75632</v>
      </c>
      <c r="S10" s="269">
        <f t="shared" ref="S10:T10" si="1">SUM(S6:S9)</f>
        <v>64060.372499999998</v>
      </c>
      <c r="T10" s="269">
        <f t="shared" si="1"/>
        <v>49771.114099999999</v>
      </c>
    </row>
    <row r="11" spans="1:21">
      <c r="R11" s="406"/>
      <c r="S11" s="406"/>
    </row>
    <row r="12" spans="1:21">
      <c r="A12" s="258" t="s">
        <v>350</v>
      </c>
      <c r="R12" s="406"/>
      <c r="S12" s="406"/>
    </row>
    <row r="13" spans="1:21">
      <c r="A13" s="258" t="s">
        <v>351</v>
      </c>
      <c r="E13" s="272">
        <f>'CBR Hist'!F15</f>
        <v>137117</v>
      </c>
      <c r="F13" s="272">
        <f>'CBR Hist'!G15</f>
        <v>91388</v>
      </c>
      <c r="G13" s="272">
        <f>'CBR Hist'!H15</f>
        <v>29918</v>
      </c>
      <c r="H13" s="272">
        <f>'CBR Hist'!I15</f>
        <v>35252</v>
      </c>
      <c r="I13" s="272">
        <f>'CBR Hist'!J15</f>
        <v>40460</v>
      </c>
      <c r="J13" s="272">
        <f>'CBR Hist'!K15</f>
        <v>44718</v>
      </c>
      <c r="K13" s="272">
        <f>'CBR Hist'!L15</f>
        <v>35380</v>
      </c>
      <c r="L13" s="272">
        <f>'CBR Hist'!M15</f>
        <v>34954</v>
      </c>
      <c r="M13" s="272">
        <f>'CBR Hist'!N15</f>
        <v>46848</v>
      </c>
      <c r="N13" s="272">
        <f>'CBR Hist'!O15</f>
        <v>31491</v>
      </c>
      <c r="O13" s="272">
        <f>'CBR Hist'!P15</f>
        <v>133479</v>
      </c>
      <c r="P13" s="272">
        <f>'CBR Hist'!Q15</f>
        <v>52604</v>
      </c>
      <c r="Q13" s="272">
        <f>'CBR Hist'!R15</f>
        <v>54549</v>
      </c>
      <c r="R13" s="273">
        <f>'CBR Hist'!S15+1</f>
        <v>75350</v>
      </c>
      <c r="S13" s="273">
        <f>'CBR Hist'!T15</f>
        <v>60998</v>
      </c>
      <c r="T13" s="273">
        <f>'CBR Hist'!U15</f>
        <v>49505</v>
      </c>
    </row>
    <row r="14" spans="1:21">
      <c r="A14" s="258" t="s">
        <v>1</v>
      </c>
      <c r="E14" s="272">
        <f>'CBR Hist'!F17</f>
        <v>13062</v>
      </c>
      <c r="F14" s="272">
        <f>'CBR Hist'!G17</f>
        <v>14305</v>
      </c>
      <c r="G14" s="272">
        <f>'CBR Hist'!H17</f>
        <v>34274</v>
      </c>
      <c r="H14" s="272">
        <f>'CBR Hist'!I17</f>
        <v>57244</v>
      </c>
      <c r="I14" s="272">
        <f>'CBR Hist'!J17</f>
        <v>8587</v>
      </c>
      <c r="J14" s="272">
        <f>'CBR Hist'!K17</f>
        <v>10259</v>
      </c>
      <c r="K14" s="272">
        <f>'CBR Hist'!L17</f>
        <v>10178</v>
      </c>
      <c r="L14" s="272">
        <f>'CBR Hist'!M17</f>
        <v>10170</v>
      </c>
      <c r="M14" s="272">
        <f>'CBR Hist'!N17</f>
        <v>10927</v>
      </c>
      <c r="N14" s="272">
        <f>'CBR Hist'!O17</f>
        <v>9395</v>
      </c>
      <c r="O14" s="272">
        <f>'CBR Hist'!P17</f>
        <v>11786</v>
      </c>
      <c r="P14" s="272">
        <f>'CBR Hist'!Q17</f>
        <v>13666</v>
      </c>
      <c r="Q14" s="272">
        <f>'CBR Hist'!R17</f>
        <v>13089</v>
      </c>
      <c r="R14" s="273">
        <f>'CBR Hist'!S17</f>
        <v>13408</v>
      </c>
      <c r="S14" s="273">
        <f>'CBR Hist'!T17</f>
        <v>17163</v>
      </c>
      <c r="T14" s="273">
        <f>'CBR Hist'!U17</f>
        <v>16920</v>
      </c>
    </row>
    <row r="15" spans="1:21">
      <c r="R15" s="406"/>
      <c r="S15" s="406"/>
    </row>
    <row r="16" spans="1:21">
      <c r="A16" s="322" t="s">
        <v>378</v>
      </c>
      <c r="E16" s="272">
        <v>7824</v>
      </c>
      <c r="F16" s="272">
        <v>9892</v>
      </c>
      <c r="G16" s="272">
        <f>ROUND(11097*G4,0)</f>
        <v>7115</v>
      </c>
      <c r="H16" s="272">
        <f>ROUND(11559*H4,0)</f>
        <v>7569</v>
      </c>
      <c r="I16" s="272">
        <f>ROUND(8476*I4,0)</f>
        <v>5523</v>
      </c>
      <c r="J16" s="273">
        <f>ROUND(10033*J4,0)+78</f>
        <v>6637</v>
      </c>
      <c r="K16" s="273">
        <f>ROUND(10539*K4,0)+86</f>
        <v>7024</v>
      </c>
      <c r="L16" s="273">
        <f>ROUND(10488*L4,0)+102</f>
        <v>6876</v>
      </c>
      <c r="M16" s="273">
        <f>ROUND(9486*M4,0)+102</f>
        <v>6213</v>
      </c>
      <c r="N16" s="273">
        <f>ROUND(9315*N4,0)+90</f>
        <v>6133</v>
      </c>
      <c r="O16" s="273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'12.2015 CB Power Supply'!D14*T4+'12.2015 CB Power Supply'!D15</f>
        <v>10511.5432</v>
      </c>
      <c r="U16" s="488"/>
    </row>
    <row r="17" spans="1:20">
      <c r="A17" s="322" t="s">
        <v>381</v>
      </c>
      <c r="E17" s="274">
        <f>E9-E16</f>
        <v>3143.6805000000004</v>
      </c>
      <c r="F17" s="274">
        <f>F9-F16</f>
        <v>1970</v>
      </c>
      <c r="G17" s="274">
        <f>G9</f>
        <v>25225</v>
      </c>
      <c r="H17" s="274">
        <f>H9</f>
        <v>46826</v>
      </c>
      <c r="I17" s="274">
        <f>I9</f>
        <v>31</v>
      </c>
      <c r="J17" s="274">
        <f t="shared" ref="J17:Q17" si="2">J9</f>
        <v>41.836799999999997</v>
      </c>
      <c r="K17" s="274">
        <f t="shared" si="2"/>
        <v>31</v>
      </c>
      <c r="L17" s="274">
        <f t="shared" si="2"/>
        <v>7</v>
      </c>
      <c r="M17" s="274">
        <f>M9+1623</f>
        <v>1625</v>
      </c>
      <c r="N17" s="274">
        <f>N9+89</f>
        <v>182.4128</v>
      </c>
      <c r="O17" s="274">
        <f t="shared" si="2"/>
        <v>456.11999999999995</v>
      </c>
      <c r="P17" s="274">
        <f t="shared" si="2"/>
        <v>1420.9271999999999</v>
      </c>
      <c r="Q17" s="274">
        <f t="shared" si="2"/>
        <v>1185.7227</v>
      </c>
      <c r="R17" s="407">
        <f>R9</f>
        <v>0</v>
      </c>
      <c r="S17" s="407">
        <f>S9</f>
        <v>2755</v>
      </c>
      <c r="T17" s="407">
        <f>T9</f>
        <v>0</v>
      </c>
    </row>
    <row r="18" spans="1:20">
      <c r="A18" s="322" t="s">
        <v>682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407"/>
      <c r="S18" s="407"/>
      <c r="T18" s="407">
        <f>-'Cost Trends'!U138</f>
        <v>3691</v>
      </c>
    </row>
    <row r="19" spans="1:20">
      <c r="A19" s="354" t="s">
        <v>438</v>
      </c>
      <c r="E19" s="274">
        <f t="shared" ref="E19:R19" si="3">E17+E7+E8</f>
        <v>3487.7256000000007</v>
      </c>
      <c r="F19" s="274">
        <f t="shared" si="3"/>
        <v>2251</v>
      </c>
      <c r="G19" s="274">
        <f t="shared" si="3"/>
        <v>25293</v>
      </c>
      <c r="H19" s="274">
        <f t="shared" si="3"/>
        <v>47139</v>
      </c>
      <c r="I19" s="274">
        <f t="shared" si="3"/>
        <v>285</v>
      </c>
      <c r="J19" s="274">
        <f t="shared" si="3"/>
        <v>179.11379999999997</v>
      </c>
      <c r="K19" s="274">
        <f t="shared" si="3"/>
        <v>198</v>
      </c>
      <c r="L19" s="274">
        <f t="shared" si="3"/>
        <v>221</v>
      </c>
      <c r="M19" s="274">
        <f t="shared" si="3"/>
        <v>1839</v>
      </c>
      <c r="N19" s="274">
        <f t="shared" si="3"/>
        <v>448.37979999999999</v>
      </c>
      <c r="O19" s="274">
        <f t="shared" si="3"/>
        <v>639.87119999999993</v>
      </c>
      <c r="P19" s="274">
        <f t="shared" si="3"/>
        <v>1751.694</v>
      </c>
      <c r="Q19" s="274">
        <f t="shared" si="3"/>
        <v>1489.3194000000001</v>
      </c>
      <c r="R19" s="407">
        <f t="shared" si="3"/>
        <v>282</v>
      </c>
      <c r="S19" s="407">
        <f>S17+S7+S8</f>
        <v>3062.3724999999999</v>
      </c>
      <c r="T19" s="407">
        <f>T17+T7+T8</f>
        <v>267.11410000000001</v>
      </c>
    </row>
    <row r="20" spans="1:20">
      <c r="R20" s="406"/>
      <c r="S20" s="406"/>
    </row>
    <row r="21" spans="1:20">
      <c r="A21" s="258" t="s">
        <v>352</v>
      </c>
      <c r="E21" s="274">
        <f>E14-E9-E7-E8</f>
        <v>1750.2743999999996</v>
      </c>
      <c r="F21" s="274">
        <f>F14-F9-F7-F8</f>
        <v>2162</v>
      </c>
      <c r="G21" s="274">
        <f t="shared" ref="G21:Q21" si="4">G14-G16-G17-G7-G8</f>
        <v>1866</v>
      </c>
      <c r="H21" s="274">
        <f t="shared" si="4"/>
        <v>2536</v>
      </c>
      <c r="I21" s="274">
        <f t="shared" si="4"/>
        <v>2779</v>
      </c>
      <c r="J21" s="274">
        <f t="shared" si="4"/>
        <v>3442.8861999999999</v>
      </c>
      <c r="K21" s="274">
        <f t="shared" si="4"/>
        <v>2956</v>
      </c>
      <c r="L21" s="274">
        <f t="shared" si="4"/>
        <v>3073</v>
      </c>
      <c r="M21" s="274">
        <f t="shared" si="4"/>
        <v>2875</v>
      </c>
      <c r="N21" s="274">
        <f t="shared" si="4"/>
        <v>2813.6201999999998</v>
      </c>
      <c r="O21" s="274">
        <f t="shared" si="4"/>
        <v>2813.1288</v>
      </c>
      <c r="P21" s="274">
        <f t="shared" si="4"/>
        <v>2812.306</v>
      </c>
      <c r="Q21" s="274">
        <f t="shared" si="4"/>
        <v>3314.6805999999997</v>
      </c>
      <c r="R21" s="407">
        <f>R14-R16-R17-R7-R8</f>
        <v>3464</v>
      </c>
      <c r="S21" s="407">
        <f>S14-S16-S17-S7-S8</f>
        <v>3478.6275000000001</v>
      </c>
      <c r="T21" s="407">
        <f>T14-T16-T17-T7-T8-T18</f>
        <v>2450.3427000000001</v>
      </c>
    </row>
    <row r="23" spans="1:20">
      <c r="A23" s="323" t="s">
        <v>382</v>
      </c>
      <c r="E23" s="274" t="str">
        <f t="shared" ref="E23:R23" si="5">IF(E7+E8+E16+E17+E21=E14,"","footing error")</f>
        <v/>
      </c>
      <c r="F23" s="274" t="str">
        <f t="shared" si="5"/>
        <v/>
      </c>
      <c r="G23" s="274" t="str">
        <f t="shared" si="5"/>
        <v/>
      </c>
      <c r="H23" s="274" t="str">
        <f t="shared" si="5"/>
        <v/>
      </c>
      <c r="I23" s="274" t="str">
        <f t="shared" si="5"/>
        <v/>
      </c>
      <c r="J23" s="274" t="str">
        <f t="shared" si="5"/>
        <v/>
      </c>
      <c r="K23" s="274" t="str">
        <f t="shared" si="5"/>
        <v/>
      </c>
      <c r="L23" s="274" t="str">
        <f t="shared" si="5"/>
        <v/>
      </c>
      <c r="M23" s="274" t="str">
        <f t="shared" si="5"/>
        <v/>
      </c>
      <c r="N23" s="274" t="str">
        <f t="shared" si="5"/>
        <v/>
      </c>
      <c r="O23" s="274" t="str">
        <f t="shared" si="5"/>
        <v/>
      </c>
      <c r="P23" s="274" t="str">
        <f t="shared" si="5"/>
        <v/>
      </c>
      <c r="Q23" s="274" t="str">
        <f t="shared" si="5"/>
        <v/>
      </c>
      <c r="R23" s="274" t="str">
        <f t="shared" si="5"/>
        <v/>
      </c>
      <c r="S23" s="274" t="str">
        <f t="shared" ref="S23" si="6">IF(S7+S8+S16+S17+S21=S14,"","footing error")</f>
        <v/>
      </c>
      <c r="T23" s="407" t="str">
        <f>IF(T7+T8+T16+T17+T21+T18=T14,"","footing error")</f>
        <v/>
      </c>
    </row>
    <row r="24" spans="1:20">
      <c r="I24" s="398" t="s">
        <v>470</v>
      </c>
      <c r="M24" s="274">
        <v>1623</v>
      </c>
      <c r="N24" s="274">
        <v>89</v>
      </c>
      <c r="O24" s="274"/>
      <c r="P24" s="274"/>
    </row>
    <row r="25" spans="1:20">
      <c r="I25" s="275" t="s">
        <v>353</v>
      </c>
      <c r="M25" s="274"/>
      <c r="N25" s="274"/>
      <c r="O25" s="274">
        <v>-767</v>
      </c>
      <c r="P25" s="274"/>
    </row>
    <row r="26" spans="1:20">
      <c r="I26" s="275" t="s">
        <v>354</v>
      </c>
      <c r="M26" s="274"/>
      <c r="N26" s="274"/>
      <c r="O26" s="274"/>
      <c r="P26" s="274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B84"/>
  <sheetViews>
    <sheetView view="pageBreakPreview" zoomScaleNormal="100" zoomScaleSheetLayoutView="100" workbookViewId="0">
      <selection activeCell="U6" sqref="U6:U7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80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80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361</v>
      </c>
      <c r="D3" s="15"/>
      <c r="H3" s="12" t="s">
        <v>362</v>
      </c>
    </row>
    <row r="4" spans="1:21">
      <c r="A4" s="37" t="s">
        <v>92</v>
      </c>
      <c r="D4" s="15"/>
      <c r="K4" s="24"/>
      <c r="U4" s="599"/>
    </row>
    <row r="5" spans="1:21" s="23" customFormat="1">
      <c r="A5" s="26"/>
      <c r="D5" s="26"/>
      <c r="E5" s="280"/>
      <c r="F5" s="24"/>
      <c r="G5" s="25"/>
      <c r="K5" s="24"/>
      <c r="O5" s="24"/>
      <c r="U5" s="599"/>
    </row>
    <row r="6" spans="1:21" s="23" customFormat="1" ht="12" customHeight="1">
      <c r="A6" s="35"/>
      <c r="B6" s="34"/>
      <c r="C6" s="33"/>
      <c r="D6" s="33"/>
      <c r="E6" s="280"/>
      <c r="F6" s="32"/>
      <c r="G6" s="25"/>
      <c r="K6" s="32"/>
      <c r="O6" s="32"/>
      <c r="U6" s="864">
        <v>42369</v>
      </c>
    </row>
    <row r="7" spans="1:21" s="23" customFormat="1">
      <c r="A7" s="31" t="s">
        <v>3</v>
      </c>
      <c r="B7" s="30"/>
      <c r="C7" s="25"/>
      <c r="D7" s="25"/>
      <c r="E7" s="280"/>
      <c r="F7" s="24"/>
      <c r="G7" s="25"/>
      <c r="K7" s="24"/>
      <c r="O7" s="24"/>
      <c r="T7" s="111"/>
      <c r="U7" s="859" t="s">
        <v>510</v>
      </c>
    </row>
    <row r="8" spans="1:21" s="23" customFormat="1">
      <c r="A8" s="29" t="s">
        <v>89</v>
      </c>
      <c r="B8" s="28"/>
      <c r="C8" s="27"/>
      <c r="D8" s="27" t="s">
        <v>4</v>
      </c>
      <c r="E8" s="280"/>
      <c r="F8" s="281" t="s">
        <v>363</v>
      </c>
      <c r="G8" s="281" t="s">
        <v>364</v>
      </c>
      <c r="H8" s="281" t="s">
        <v>365</v>
      </c>
      <c r="I8" s="281" t="s">
        <v>366</v>
      </c>
      <c r="J8" s="281" t="s">
        <v>367</v>
      </c>
      <c r="K8" s="281" t="s">
        <v>368</v>
      </c>
      <c r="L8" s="281" t="s">
        <v>369</v>
      </c>
      <c r="M8" s="281" t="s">
        <v>370</v>
      </c>
      <c r="N8" s="281" t="s">
        <v>371</v>
      </c>
      <c r="O8" s="281" t="s">
        <v>372</v>
      </c>
      <c r="P8" s="281" t="s">
        <v>373</v>
      </c>
      <c r="Q8" s="281" t="s">
        <v>374</v>
      </c>
      <c r="R8" s="281" t="s">
        <v>375</v>
      </c>
      <c r="S8" s="281" t="s">
        <v>458</v>
      </c>
      <c r="T8" s="281" t="s">
        <v>509</v>
      </c>
      <c r="U8" s="281" t="s">
        <v>674</v>
      </c>
    </row>
    <row r="9" spans="1:21" s="74" customFormat="1">
      <c r="B9" s="75" t="s">
        <v>134</v>
      </c>
      <c r="E9" s="280"/>
      <c r="F9" s="77"/>
      <c r="G9" s="78"/>
      <c r="K9" s="76"/>
      <c r="O9" s="77"/>
    </row>
    <row r="10" spans="1:21" s="74" customFormat="1">
      <c r="B10" s="75" t="s">
        <v>135</v>
      </c>
      <c r="E10" s="280"/>
      <c r="F10" s="77"/>
      <c r="G10" s="78"/>
      <c r="K10" s="76"/>
      <c r="O10" s="77"/>
    </row>
    <row r="11" spans="1:21" s="74" customFormat="1">
      <c r="B11" s="75"/>
      <c r="E11" s="280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80"/>
      <c r="F13" s="282">
        <v>242529</v>
      </c>
      <c r="G13" s="282">
        <v>258201</v>
      </c>
      <c r="H13" s="282">
        <v>273318</v>
      </c>
      <c r="I13" s="282">
        <v>283356</v>
      </c>
      <c r="J13" s="282">
        <v>285399</v>
      </c>
      <c r="K13" s="282">
        <v>289216</v>
      </c>
      <c r="L13" s="282">
        <v>321929</v>
      </c>
      <c r="M13" s="282">
        <v>326335</v>
      </c>
      <c r="N13" s="282">
        <v>365425</v>
      </c>
      <c r="O13" s="282">
        <v>402618</v>
      </c>
      <c r="P13" s="282">
        <v>415739.9703632</v>
      </c>
      <c r="Q13" s="282">
        <v>451837</v>
      </c>
      <c r="R13" s="282">
        <v>460195</v>
      </c>
      <c r="S13" s="282">
        <v>468006</v>
      </c>
      <c r="T13" s="282">
        <v>488372</v>
      </c>
      <c r="U13" s="282">
        <v>497229</v>
      </c>
    </row>
    <row r="14" spans="1:21" s="20" customFormat="1">
      <c r="A14" s="17">
        <v>2</v>
      </c>
      <c r="B14" s="20" t="s">
        <v>83</v>
      </c>
      <c r="E14" s="280"/>
      <c r="F14" s="283">
        <v>546</v>
      </c>
      <c r="G14" s="283">
        <v>528</v>
      </c>
      <c r="H14" s="283">
        <v>791</v>
      </c>
      <c r="I14" s="283">
        <v>752</v>
      </c>
      <c r="J14" s="283">
        <v>752</v>
      </c>
      <c r="K14" s="283">
        <v>713</v>
      </c>
      <c r="L14" s="283">
        <v>733</v>
      </c>
      <c r="M14" s="283">
        <v>739</v>
      </c>
      <c r="N14" s="283">
        <v>820</v>
      </c>
      <c r="O14" s="283">
        <v>871.54909999999995</v>
      </c>
      <c r="P14" s="283">
        <v>790</v>
      </c>
      <c r="Q14" s="283">
        <v>820</v>
      </c>
      <c r="R14" s="283">
        <v>-113</v>
      </c>
      <c r="S14" s="283">
        <v>884</v>
      </c>
      <c r="T14" s="283">
        <v>922</v>
      </c>
      <c r="U14" s="283">
        <v>928</v>
      </c>
    </row>
    <row r="15" spans="1:21" s="20" customFormat="1">
      <c r="A15" s="17">
        <v>3</v>
      </c>
      <c r="B15" s="20" t="s">
        <v>82</v>
      </c>
      <c r="E15" s="280"/>
      <c r="F15" s="284">
        <v>137117</v>
      </c>
      <c r="G15" s="284">
        <v>91388</v>
      </c>
      <c r="H15" s="284">
        <v>29918</v>
      </c>
      <c r="I15" s="284">
        <v>35252</v>
      </c>
      <c r="J15" s="284">
        <v>40460</v>
      </c>
      <c r="K15" s="284">
        <v>44718</v>
      </c>
      <c r="L15" s="284">
        <v>35380</v>
      </c>
      <c r="M15" s="284">
        <v>34954</v>
      </c>
      <c r="N15" s="284">
        <v>46848</v>
      </c>
      <c r="O15" s="284">
        <v>31491</v>
      </c>
      <c r="P15" s="284">
        <v>133479</v>
      </c>
      <c r="Q15" s="284">
        <v>52604</v>
      </c>
      <c r="R15" s="284">
        <v>54549</v>
      </c>
      <c r="S15" s="284">
        <v>75349</v>
      </c>
      <c r="T15" s="284">
        <v>60998</v>
      </c>
      <c r="U15" s="284">
        <v>49505</v>
      </c>
    </row>
    <row r="16" spans="1:21" s="20" customFormat="1">
      <c r="A16" s="17">
        <v>4</v>
      </c>
      <c r="B16" s="20" t="s">
        <v>81</v>
      </c>
      <c r="E16" s="280"/>
      <c r="F16" s="285">
        <v>380192</v>
      </c>
      <c r="G16" s="285">
        <v>350117</v>
      </c>
      <c r="H16" s="285">
        <v>304027</v>
      </c>
      <c r="I16" s="285">
        <v>319360</v>
      </c>
      <c r="J16" s="285">
        <v>326611</v>
      </c>
      <c r="K16" s="285">
        <v>334647</v>
      </c>
      <c r="L16" s="285">
        <v>358042</v>
      </c>
      <c r="M16" s="285">
        <v>362028</v>
      </c>
      <c r="N16" s="285">
        <v>413093</v>
      </c>
      <c r="O16" s="285">
        <v>434980.5491</v>
      </c>
      <c r="P16" s="285">
        <v>550008.97036319994</v>
      </c>
      <c r="Q16" s="285">
        <v>505261</v>
      </c>
      <c r="R16" s="285">
        <v>514631</v>
      </c>
      <c r="S16" s="285">
        <f>SUM(S13:S15)</f>
        <v>544239</v>
      </c>
      <c r="T16" s="285">
        <f>SUM(T13:T15)</f>
        <v>550292</v>
      </c>
      <c r="U16" s="285">
        <f>SUM(U13:U15)</f>
        <v>547662</v>
      </c>
    </row>
    <row r="17" spans="1:28" s="20" customFormat="1">
      <c r="A17" s="17">
        <v>5</v>
      </c>
      <c r="B17" s="20" t="s">
        <v>80</v>
      </c>
      <c r="E17" s="280"/>
      <c r="F17" s="284">
        <v>13062</v>
      </c>
      <c r="G17" s="284">
        <v>14305</v>
      </c>
      <c r="H17" s="284">
        <v>34274</v>
      </c>
      <c r="I17" s="284">
        <v>57244</v>
      </c>
      <c r="J17" s="284">
        <v>8587</v>
      </c>
      <c r="K17" s="284">
        <v>10259</v>
      </c>
      <c r="L17" s="284">
        <v>10178</v>
      </c>
      <c r="M17" s="284">
        <v>10170</v>
      </c>
      <c r="N17" s="284">
        <v>10927</v>
      </c>
      <c r="O17" s="284">
        <v>9395</v>
      </c>
      <c r="P17" s="284">
        <v>11786</v>
      </c>
      <c r="Q17" s="284">
        <v>13666</v>
      </c>
      <c r="R17" s="284">
        <v>13089</v>
      </c>
      <c r="S17" s="284">
        <v>13408</v>
      </c>
      <c r="T17" s="284">
        <v>17163</v>
      </c>
      <c r="U17" s="284">
        <v>16920</v>
      </c>
    </row>
    <row r="18" spans="1:28" s="20" customFormat="1">
      <c r="A18" s="17">
        <v>6</v>
      </c>
      <c r="B18" s="20" t="s">
        <v>79</v>
      </c>
      <c r="E18" s="280"/>
      <c r="F18" s="285">
        <v>393254</v>
      </c>
      <c r="G18" s="285">
        <v>364422</v>
      </c>
      <c r="H18" s="285">
        <v>338301</v>
      </c>
      <c r="I18" s="285">
        <v>376604</v>
      </c>
      <c r="J18" s="285">
        <v>335198</v>
      </c>
      <c r="K18" s="285">
        <v>344906</v>
      </c>
      <c r="L18" s="285">
        <v>368220</v>
      </c>
      <c r="M18" s="285">
        <v>372198</v>
      </c>
      <c r="N18" s="285">
        <v>424020</v>
      </c>
      <c r="O18" s="285">
        <v>444375.5491</v>
      </c>
      <c r="P18" s="285">
        <v>561794.97036319994</v>
      </c>
      <c r="Q18" s="285">
        <v>518927</v>
      </c>
      <c r="R18" s="285">
        <v>527720</v>
      </c>
      <c r="S18" s="285">
        <f>SUM(S16:S17)</f>
        <v>557647</v>
      </c>
      <c r="T18" s="285">
        <f>SUM(T16:T17)</f>
        <v>567455</v>
      </c>
      <c r="U18" s="285">
        <f>SUM(U16:U17)</f>
        <v>564582</v>
      </c>
    </row>
    <row r="19" spans="1:28" s="20" customFormat="1">
      <c r="A19" s="17"/>
      <c r="E19" s="280"/>
      <c r="F19" s="286"/>
      <c r="G19" s="286"/>
      <c r="H19" s="286"/>
      <c r="I19" s="286"/>
      <c r="J19" s="286"/>
      <c r="K19" s="286"/>
      <c r="L19" s="286"/>
      <c r="M19" s="285"/>
      <c r="N19" s="285"/>
      <c r="O19" s="285"/>
      <c r="P19" s="285"/>
      <c r="Q19" s="285"/>
      <c r="R19" s="285"/>
      <c r="S19" s="285"/>
      <c r="T19" s="285"/>
      <c r="U19" s="285"/>
    </row>
    <row r="20" spans="1:28" s="20" customFormat="1">
      <c r="A20" s="17"/>
      <c r="B20" s="20" t="s">
        <v>78</v>
      </c>
      <c r="E20" s="280"/>
      <c r="F20" s="286"/>
      <c r="G20" s="286"/>
      <c r="H20" s="286"/>
      <c r="I20" s="286"/>
      <c r="J20" s="286"/>
      <c r="K20" s="286"/>
      <c r="L20" s="286"/>
      <c r="M20" s="285"/>
      <c r="N20" s="285"/>
      <c r="O20" s="285"/>
      <c r="P20" s="285"/>
      <c r="Q20" s="285"/>
      <c r="R20" s="285"/>
      <c r="S20" s="285"/>
      <c r="T20" s="285"/>
      <c r="U20" s="285"/>
    </row>
    <row r="21" spans="1:28" s="20" customFormat="1">
      <c r="A21" s="17"/>
      <c r="B21" s="20" t="s">
        <v>77</v>
      </c>
      <c r="E21" s="280"/>
      <c r="F21" s="286"/>
      <c r="G21" s="286"/>
      <c r="H21" s="286"/>
      <c r="I21" s="286"/>
      <c r="J21" s="286"/>
      <c r="K21" s="286"/>
      <c r="L21" s="286"/>
      <c r="M21" s="285"/>
      <c r="N21" s="285"/>
      <c r="O21" s="285"/>
      <c r="P21" s="285"/>
      <c r="Q21" s="285"/>
      <c r="R21" s="285"/>
      <c r="S21" s="285"/>
      <c r="T21" s="285"/>
      <c r="U21" s="285"/>
    </row>
    <row r="22" spans="1:28" s="20" customFormat="1">
      <c r="A22" s="17">
        <v>7</v>
      </c>
      <c r="C22" s="20" t="s">
        <v>69</v>
      </c>
      <c r="E22" s="280"/>
      <c r="F22" s="283">
        <v>78721</v>
      </c>
      <c r="G22" s="283">
        <v>47157</v>
      </c>
      <c r="H22" s="283">
        <v>101475</v>
      </c>
      <c r="I22" s="283">
        <v>132098</v>
      </c>
      <c r="J22" s="283">
        <v>101545</v>
      </c>
      <c r="K22" s="283">
        <v>105374</v>
      </c>
      <c r="L22" s="283">
        <v>104260</v>
      </c>
      <c r="M22" s="283">
        <v>102890</v>
      </c>
      <c r="N22" s="283">
        <v>117123</v>
      </c>
      <c r="O22" s="283">
        <v>87599</v>
      </c>
      <c r="P22" s="283">
        <v>147107</v>
      </c>
      <c r="Q22" s="283">
        <v>145634</v>
      </c>
      <c r="R22" s="283">
        <v>131795</v>
      </c>
      <c r="S22" s="283">
        <v>143904</v>
      </c>
      <c r="T22" s="288">
        <v>120307</v>
      </c>
      <c r="U22" s="288">
        <v>140485</v>
      </c>
    </row>
    <row r="23" spans="1:28" s="20" customFormat="1">
      <c r="A23" s="17">
        <v>8</v>
      </c>
      <c r="C23" s="20" t="s">
        <v>76</v>
      </c>
      <c r="E23" s="280"/>
      <c r="F23" s="283">
        <v>181189</v>
      </c>
      <c r="G23" s="283">
        <v>132159</v>
      </c>
      <c r="H23" s="283">
        <v>50769</v>
      </c>
      <c r="I23" s="283">
        <v>46591</v>
      </c>
      <c r="J23" s="283">
        <v>51042</v>
      </c>
      <c r="K23" s="283">
        <v>55046</v>
      </c>
      <c r="L23" s="283">
        <v>79146</v>
      </c>
      <c r="M23" s="283">
        <v>65640</v>
      </c>
      <c r="N23" s="283">
        <v>72508</v>
      </c>
      <c r="O23" s="537">
        <f>104869-4432</f>
        <v>100437</v>
      </c>
      <c r="P23" s="283">
        <v>142197</v>
      </c>
      <c r="Q23" s="283">
        <v>91142</v>
      </c>
      <c r="R23" s="283">
        <v>101283</v>
      </c>
      <c r="S23" s="283">
        <v>109034</v>
      </c>
      <c r="T23" s="283">
        <v>116643</v>
      </c>
      <c r="U23" s="283">
        <v>85107</v>
      </c>
    </row>
    <row r="24" spans="1:28" s="20" customFormat="1">
      <c r="A24" s="17">
        <v>9</v>
      </c>
      <c r="C24" s="20" t="s">
        <v>136</v>
      </c>
      <c r="E24" s="280"/>
      <c r="F24" s="283">
        <v>-3114</v>
      </c>
      <c r="G24" s="283">
        <v>9152</v>
      </c>
      <c r="H24" s="283">
        <v>13808</v>
      </c>
      <c r="I24" s="283">
        <v>14915</v>
      </c>
      <c r="J24" s="283">
        <v>22879</v>
      </c>
      <c r="K24" s="283">
        <v>13812</v>
      </c>
      <c r="L24" s="283">
        <v>25745</v>
      </c>
      <c r="M24" s="283">
        <v>21795</v>
      </c>
      <c r="N24" s="283">
        <v>22000</v>
      </c>
      <c r="O24" s="283">
        <v>22266</v>
      </c>
      <c r="P24" s="283">
        <v>22129</v>
      </c>
      <c r="Q24" s="283">
        <v>25158</v>
      </c>
      <c r="R24" s="283">
        <v>25872</v>
      </c>
      <c r="S24" s="283">
        <v>23284</v>
      </c>
      <c r="T24" s="283">
        <v>23715</v>
      </c>
      <c r="U24" s="288">
        <v>24947</v>
      </c>
    </row>
    <row r="25" spans="1:28" s="20" customFormat="1">
      <c r="A25" s="17">
        <v>10</v>
      </c>
      <c r="C25" s="21" t="s">
        <v>137</v>
      </c>
      <c r="D25" s="21"/>
      <c r="E25" s="280"/>
      <c r="Q25" s="20">
        <v>403</v>
      </c>
      <c r="R25" s="20">
        <v>-7936</v>
      </c>
      <c r="S25" s="20">
        <v>8629</v>
      </c>
      <c r="T25" s="20">
        <v>8101</v>
      </c>
      <c r="U25" s="20">
        <v>5974</v>
      </c>
    </row>
    <row r="26" spans="1:28" s="20" customFormat="1">
      <c r="A26" s="17">
        <v>11</v>
      </c>
      <c r="C26" s="20" t="s">
        <v>68</v>
      </c>
      <c r="E26" s="280"/>
      <c r="F26" s="284">
        <v>9346</v>
      </c>
      <c r="G26" s="284">
        <v>5139</v>
      </c>
      <c r="H26" s="284">
        <v>7164</v>
      </c>
      <c r="I26" s="284">
        <v>6722</v>
      </c>
      <c r="J26" s="284">
        <v>7283</v>
      </c>
      <c r="K26" s="284">
        <v>9900</v>
      </c>
      <c r="L26" s="284">
        <v>9115</v>
      </c>
      <c r="M26" s="284">
        <v>8319</v>
      </c>
      <c r="N26" s="284">
        <v>8146</v>
      </c>
      <c r="O26" s="284">
        <v>9014</v>
      </c>
      <c r="P26" s="284">
        <v>9955</v>
      </c>
      <c r="Q26" s="284">
        <v>10846</v>
      </c>
      <c r="R26" s="284">
        <v>11456</v>
      </c>
      <c r="S26" s="284">
        <v>12913</v>
      </c>
      <c r="T26" s="284">
        <v>12828</v>
      </c>
      <c r="U26" s="284">
        <v>14133</v>
      </c>
    </row>
    <row r="27" spans="1:28" s="20" customFormat="1">
      <c r="A27" s="17">
        <v>12</v>
      </c>
      <c r="B27" s="20" t="s">
        <v>75</v>
      </c>
      <c r="E27" s="280"/>
      <c r="F27" s="285">
        <v>266142</v>
      </c>
      <c r="G27" s="285">
        <v>193607</v>
      </c>
      <c r="H27" s="285">
        <v>173216</v>
      </c>
      <c r="I27" s="285">
        <v>200326</v>
      </c>
      <c r="J27" s="285">
        <v>182749</v>
      </c>
      <c r="K27" s="285">
        <v>184132</v>
      </c>
      <c r="L27" s="285">
        <v>218266</v>
      </c>
      <c r="M27" s="285">
        <v>198644</v>
      </c>
      <c r="N27" s="285">
        <v>219777</v>
      </c>
      <c r="O27" s="285">
        <v>223748</v>
      </c>
      <c r="P27" s="285">
        <v>321388</v>
      </c>
      <c r="Q27" s="285">
        <v>273183</v>
      </c>
      <c r="R27" s="285">
        <v>262470</v>
      </c>
      <c r="S27" s="285">
        <f>SUM(S22:S26)</f>
        <v>297764</v>
      </c>
      <c r="T27" s="285">
        <f>SUM(T22:T26)</f>
        <v>281594</v>
      </c>
      <c r="U27" s="285">
        <f>SUM(U22:U26)</f>
        <v>270646</v>
      </c>
    </row>
    <row r="28" spans="1:28" s="20" customFormat="1">
      <c r="A28" s="17"/>
      <c r="E28" s="280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1:28" s="20" customFormat="1">
      <c r="A29" s="17"/>
      <c r="B29" s="20" t="s">
        <v>55</v>
      </c>
      <c r="E29" s="280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</row>
    <row r="30" spans="1:28" s="20" customFormat="1">
      <c r="A30" s="17">
        <v>13</v>
      </c>
      <c r="C30" s="20" t="s">
        <v>69</v>
      </c>
      <c r="E30" s="280"/>
      <c r="F30" s="283">
        <v>9418</v>
      </c>
      <c r="G30" s="283">
        <v>10560</v>
      </c>
      <c r="H30" s="283">
        <v>9631</v>
      </c>
      <c r="I30" s="283">
        <v>10171</v>
      </c>
      <c r="J30" s="283">
        <v>12016</v>
      </c>
      <c r="K30" s="283">
        <v>14263</v>
      </c>
      <c r="L30" s="283">
        <v>15485</v>
      </c>
      <c r="M30" s="283">
        <v>14563</v>
      </c>
      <c r="N30" s="283">
        <v>17329</v>
      </c>
      <c r="O30" s="283">
        <v>17267</v>
      </c>
      <c r="P30" s="283">
        <v>18354</v>
      </c>
      <c r="Q30" s="283">
        <v>19081</v>
      </c>
      <c r="R30" s="283">
        <v>21152</v>
      </c>
      <c r="S30" s="283">
        <v>20878</v>
      </c>
      <c r="T30" s="283">
        <v>21299</v>
      </c>
      <c r="U30" s="283">
        <v>24056</v>
      </c>
    </row>
    <row r="31" spans="1:28" s="20" customFormat="1">
      <c r="A31" s="17">
        <v>14</v>
      </c>
      <c r="C31" s="20" t="s">
        <v>138</v>
      </c>
      <c r="E31" s="280"/>
      <c r="F31" s="283">
        <v>9056</v>
      </c>
      <c r="G31" s="283">
        <v>9178</v>
      </c>
      <c r="H31" s="283">
        <v>9427</v>
      </c>
      <c r="I31" s="283">
        <v>9752</v>
      </c>
      <c r="J31" s="283">
        <v>10067</v>
      </c>
      <c r="K31" s="283">
        <v>10399</v>
      </c>
      <c r="L31" s="283">
        <v>10776</v>
      </c>
      <c r="M31" s="283">
        <v>11333</v>
      </c>
      <c r="N31" s="283">
        <v>15611</v>
      </c>
      <c r="O31" s="283">
        <v>16809</v>
      </c>
      <c r="P31" s="283">
        <v>17985</v>
      </c>
      <c r="Q31" s="283">
        <v>19240</v>
      </c>
      <c r="R31" s="283">
        <v>20749</v>
      </c>
      <c r="S31" s="283">
        <v>22303</v>
      </c>
      <c r="T31" s="283">
        <v>23794</v>
      </c>
      <c r="U31" s="288">
        <v>25379</v>
      </c>
    </row>
    <row r="32" spans="1:28" s="20" customFormat="1">
      <c r="A32" s="17">
        <v>15</v>
      </c>
      <c r="C32" s="20" t="s">
        <v>715</v>
      </c>
      <c r="E32" s="280"/>
      <c r="F32" s="284">
        <v>11693</v>
      </c>
      <c r="G32" s="284">
        <v>15462</v>
      </c>
      <c r="H32" s="284">
        <v>16996</v>
      </c>
      <c r="I32" s="284">
        <v>17286</v>
      </c>
      <c r="J32" s="284">
        <v>17401</v>
      </c>
      <c r="K32" s="284">
        <v>14988</v>
      </c>
      <c r="L32" s="284">
        <v>16307</v>
      </c>
      <c r="M32" s="284">
        <v>16156</v>
      </c>
      <c r="N32" s="284">
        <v>17416</v>
      </c>
      <c r="O32" s="863">
        <f>18207+9</f>
        <v>18216</v>
      </c>
      <c r="P32" s="863">
        <f>19990+39</f>
        <v>20029</v>
      </c>
      <c r="Q32" s="863">
        <f>22393+66</f>
        <v>22459</v>
      </c>
      <c r="R32" s="863">
        <f>22595+104</f>
        <v>22699</v>
      </c>
      <c r="S32" s="863">
        <f>23288+521</f>
        <v>23809</v>
      </c>
      <c r="T32" s="863">
        <f>25575+246</f>
        <v>25821</v>
      </c>
      <c r="U32" s="863">
        <f>26806+642</f>
        <v>27448</v>
      </c>
      <c r="V32" s="970" t="s">
        <v>713</v>
      </c>
      <c r="W32" s="970"/>
      <c r="X32" s="970"/>
      <c r="Y32" s="970"/>
      <c r="Z32" s="970"/>
      <c r="AA32" s="970"/>
      <c r="AB32" s="970"/>
    </row>
    <row r="33" spans="1:21" s="20" customFormat="1">
      <c r="A33" s="17">
        <v>16</v>
      </c>
      <c r="B33" s="20" t="s">
        <v>74</v>
      </c>
      <c r="E33" s="280"/>
      <c r="F33" s="285">
        <v>30167</v>
      </c>
      <c r="G33" s="285">
        <v>35200</v>
      </c>
      <c r="H33" s="285">
        <v>36054</v>
      </c>
      <c r="I33" s="285">
        <v>37209</v>
      </c>
      <c r="J33" s="285">
        <v>39484</v>
      </c>
      <c r="K33" s="285">
        <v>39650</v>
      </c>
      <c r="L33" s="285">
        <v>42568</v>
      </c>
      <c r="M33" s="285">
        <v>42052</v>
      </c>
      <c r="N33" s="285">
        <v>50356</v>
      </c>
      <c r="O33" s="285">
        <v>52283</v>
      </c>
      <c r="P33" s="285">
        <v>56329</v>
      </c>
      <c r="Q33" s="285">
        <v>60714.453812</v>
      </c>
      <c r="R33" s="285">
        <v>64495.925350000005</v>
      </c>
      <c r="S33" s="285">
        <f>SUM(S30:S32)</f>
        <v>66990</v>
      </c>
      <c r="T33" s="285">
        <f>SUM(T30:T32)</f>
        <v>70914</v>
      </c>
      <c r="U33" s="285">
        <f>SUM(U30:U32)</f>
        <v>76883</v>
      </c>
    </row>
    <row r="34" spans="1:21" s="20" customFormat="1">
      <c r="E34" s="280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</row>
    <row r="35" spans="1:21" s="20" customFormat="1">
      <c r="A35" s="17">
        <v>17</v>
      </c>
      <c r="B35" s="20" t="s">
        <v>73</v>
      </c>
      <c r="E35" s="280"/>
      <c r="F35" s="283">
        <v>5768</v>
      </c>
      <c r="G35" s="283">
        <v>6196</v>
      </c>
      <c r="H35" s="283">
        <v>7113</v>
      </c>
      <c r="I35" s="283">
        <v>7129</v>
      </c>
      <c r="J35" s="283">
        <v>7352</v>
      </c>
      <c r="K35" s="283">
        <v>7156</v>
      </c>
      <c r="L35" s="283">
        <v>7097</v>
      </c>
      <c r="M35" s="283">
        <v>7514</v>
      </c>
      <c r="N35" s="283">
        <v>7919</v>
      </c>
      <c r="O35" s="283">
        <v>9646</v>
      </c>
      <c r="P35" s="283">
        <v>9261</v>
      </c>
      <c r="Q35" s="283">
        <v>10274.701588</v>
      </c>
      <c r="R35" s="283">
        <v>10335.791302</v>
      </c>
      <c r="S35" s="283">
        <v>11334</v>
      </c>
      <c r="T35" s="283">
        <v>11166</v>
      </c>
      <c r="U35" s="283">
        <v>12363</v>
      </c>
    </row>
    <row r="36" spans="1:21" s="20" customFormat="1">
      <c r="A36" s="17">
        <v>18</v>
      </c>
      <c r="B36" s="20" t="s">
        <v>72</v>
      </c>
      <c r="E36" s="280"/>
      <c r="F36" s="283">
        <v>5704</v>
      </c>
      <c r="G36" s="283">
        <v>5381</v>
      </c>
      <c r="H36" s="283">
        <v>6261</v>
      </c>
      <c r="I36" s="283">
        <v>6620</v>
      </c>
      <c r="J36" s="283">
        <v>266</v>
      </c>
      <c r="K36" s="283">
        <v>7127</v>
      </c>
      <c r="L36" s="283">
        <v>1159</v>
      </c>
      <c r="M36" s="283">
        <v>7472</v>
      </c>
      <c r="N36" s="283">
        <v>12847</v>
      </c>
      <c r="O36" s="283">
        <v>19736</v>
      </c>
      <c r="P36" s="283">
        <v>20832</v>
      </c>
      <c r="Q36" s="283">
        <v>21292</v>
      </c>
      <c r="R36" s="283">
        <v>18487</v>
      </c>
      <c r="S36" s="283">
        <v>1516</v>
      </c>
      <c r="T36" s="283">
        <v>1383</v>
      </c>
      <c r="U36" s="283">
        <v>1454</v>
      </c>
    </row>
    <row r="37" spans="1:21" s="20" customFormat="1">
      <c r="A37" s="17">
        <v>19</v>
      </c>
      <c r="B37" s="20" t="s">
        <v>71</v>
      </c>
      <c r="E37" s="280"/>
      <c r="F37" s="283">
        <v>1071</v>
      </c>
      <c r="G37" s="283">
        <v>734</v>
      </c>
      <c r="H37" s="283">
        <v>628</v>
      </c>
      <c r="I37" s="283">
        <v>734</v>
      </c>
      <c r="J37" s="283">
        <v>686</v>
      </c>
      <c r="K37" s="283">
        <v>430</v>
      </c>
      <c r="L37" s="283">
        <v>657</v>
      </c>
      <c r="M37" s="283">
        <v>682</v>
      </c>
      <c r="N37" s="283">
        <v>571</v>
      </c>
      <c r="O37" s="283">
        <v>660</v>
      </c>
      <c r="P37" s="283">
        <v>176</v>
      </c>
      <c r="Q37" s="283">
        <v>4</v>
      </c>
      <c r="R37" s="283">
        <v>5</v>
      </c>
      <c r="S37" s="283">
        <v>5</v>
      </c>
      <c r="T37" s="283">
        <v>0</v>
      </c>
      <c r="U37" s="283">
        <v>0</v>
      </c>
    </row>
    <row r="38" spans="1:21" s="20" customFormat="1">
      <c r="A38" s="17"/>
      <c r="E38" s="280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</row>
    <row r="39" spans="1:21" s="20" customFormat="1">
      <c r="B39" s="20" t="s">
        <v>70</v>
      </c>
      <c r="E39" s="280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</row>
    <row r="40" spans="1:21" s="20" customFormat="1">
      <c r="A40" s="17">
        <v>20</v>
      </c>
      <c r="C40" s="20" t="s">
        <v>69</v>
      </c>
      <c r="E40" s="280"/>
      <c r="F40" s="283">
        <v>30350</v>
      </c>
      <c r="G40" s="283">
        <v>25102</v>
      </c>
      <c r="H40" s="283">
        <v>30304</v>
      </c>
      <c r="I40" s="283">
        <v>30153</v>
      </c>
      <c r="J40" s="283">
        <v>31927</v>
      </c>
      <c r="K40" s="283">
        <v>33143</v>
      </c>
      <c r="L40" s="283">
        <v>33148</v>
      </c>
      <c r="M40" s="283">
        <v>35844</v>
      </c>
      <c r="N40" s="283">
        <v>35982</v>
      </c>
      <c r="O40" s="283">
        <v>38461</v>
      </c>
      <c r="P40" s="283">
        <v>44662</v>
      </c>
      <c r="Q40" s="283">
        <v>44779.252</v>
      </c>
      <c r="R40" s="283">
        <v>49333.396000000001</v>
      </c>
      <c r="S40" s="283">
        <v>43310</v>
      </c>
      <c r="T40" s="283">
        <v>46210</v>
      </c>
      <c r="U40" s="288">
        <v>49942</v>
      </c>
    </row>
    <row r="41" spans="1:21" s="20" customFormat="1">
      <c r="A41" s="17">
        <v>21</v>
      </c>
      <c r="C41" s="20" t="s">
        <v>138</v>
      </c>
      <c r="E41" s="280"/>
      <c r="F41" s="283">
        <v>3998</v>
      </c>
      <c r="G41" s="283">
        <v>4414</v>
      </c>
      <c r="H41" s="283">
        <v>6606</v>
      </c>
      <c r="I41" s="283">
        <v>6659</v>
      </c>
      <c r="J41" s="283">
        <v>6072</v>
      </c>
      <c r="K41" s="283">
        <v>6537</v>
      </c>
      <c r="L41" s="283">
        <v>6459</v>
      </c>
      <c r="M41" s="283">
        <v>6739</v>
      </c>
      <c r="N41" s="283">
        <v>7187</v>
      </c>
      <c r="O41" s="283">
        <v>7688</v>
      </c>
      <c r="P41" s="283">
        <v>9277</v>
      </c>
      <c r="Q41" s="283">
        <v>10906</v>
      </c>
      <c r="R41" s="283">
        <v>12517</v>
      </c>
      <c r="S41" s="283">
        <v>14721</v>
      </c>
      <c r="T41" s="283">
        <v>16947</v>
      </c>
      <c r="U41" s="288">
        <v>21503</v>
      </c>
    </row>
    <row r="42" spans="1:21" s="20" customFormat="1">
      <c r="A42" s="79">
        <v>22</v>
      </c>
      <c r="C42" s="20" t="s">
        <v>68</v>
      </c>
      <c r="E42" s="280"/>
      <c r="F42" s="284">
        <v>5</v>
      </c>
      <c r="G42" s="284">
        <v>2</v>
      </c>
      <c r="H42" s="284">
        <v>1</v>
      </c>
      <c r="I42" s="284">
        <v>2</v>
      </c>
      <c r="J42" s="284">
        <v>3</v>
      </c>
      <c r="K42" s="284">
        <v>-4</v>
      </c>
      <c r="L42" s="284">
        <v>0</v>
      </c>
      <c r="M42" s="284">
        <v>-9</v>
      </c>
      <c r="N42" s="284">
        <v>-3</v>
      </c>
      <c r="O42" s="284">
        <v>-3</v>
      </c>
      <c r="P42" s="284">
        <v>2</v>
      </c>
      <c r="Q42" s="284">
        <v>0</v>
      </c>
      <c r="R42" s="284">
        <v>-4</v>
      </c>
      <c r="S42" s="284">
        <v>0</v>
      </c>
      <c r="T42" s="284">
        <v>0</v>
      </c>
      <c r="U42" s="570">
        <v>0</v>
      </c>
    </row>
    <row r="43" spans="1:21" s="20" customFormat="1">
      <c r="A43" s="17">
        <v>23</v>
      </c>
      <c r="B43" s="20" t="s">
        <v>67</v>
      </c>
      <c r="E43" s="280"/>
      <c r="F43" s="287">
        <v>34353</v>
      </c>
      <c r="G43" s="287">
        <v>29518</v>
      </c>
      <c r="H43" s="287">
        <v>36911</v>
      </c>
      <c r="I43" s="287">
        <v>36814</v>
      </c>
      <c r="J43" s="287">
        <v>38002</v>
      </c>
      <c r="K43" s="287">
        <v>39676</v>
      </c>
      <c r="L43" s="287">
        <v>39607</v>
      </c>
      <c r="M43" s="287">
        <v>42574</v>
      </c>
      <c r="N43" s="287">
        <v>43166</v>
      </c>
      <c r="O43" s="287">
        <v>46146</v>
      </c>
      <c r="P43" s="287">
        <v>53941</v>
      </c>
      <c r="Q43" s="287">
        <v>55685.252</v>
      </c>
      <c r="R43" s="287">
        <v>61846.396000000001</v>
      </c>
      <c r="S43" s="287">
        <f>SUM(S40:S42)</f>
        <v>58031</v>
      </c>
      <c r="T43" s="287">
        <f>SUM(T40:T42)</f>
        <v>63157</v>
      </c>
      <c r="U43" s="287">
        <f>SUM(U40:U42)</f>
        <v>71445</v>
      </c>
    </row>
    <row r="44" spans="1:21" s="20" customFormat="1" ht="18" customHeight="1">
      <c r="A44" s="17">
        <v>24</v>
      </c>
      <c r="B44" s="20" t="s">
        <v>66</v>
      </c>
      <c r="E44" s="280"/>
      <c r="F44" s="287">
        <v>343205</v>
      </c>
      <c r="G44" s="287">
        <v>270636</v>
      </c>
      <c r="H44" s="287">
        <v>260183</v>
      </c>
      <c r="I44" s="287">
        <v>288832</v>
      </c>
      <c r="J44" s="287">
        <v>268539</v>
      </c>
      <c r="K44" s="287">
        <v>278171</v>
      </c>
      <c r="L44" s="287">
        <v>309354</v>
      </c>
      <c r="M44" s="287">
        <v>298938</v>
      </c>
      <c r="N44" s="287">
        <v>334636</v>
      </c>
      <c r="O44" s="287">
        <v>352219</v>
      </c>
      <c r="P44" s="287">
        <v>461927</v>
      </c>
      <c r="Q44" s="287">
        <v>421153.40740000003</v>
      </c>
      <c r="R44" s="287">
        <v>417640.11265200004</v>
      </c>
      <c r="S44" s="287">
        <f>S27+S33+S35+S36+S37+S43</f>
        <v>435640</v>
      </c>
      <c r="T44" s="287">
        <f>T27+T33+T35+T36+T37+T43</f>
        <v>428214</v>
      </c>
      <c r="U44" s="287">
        <f>U27+U33+U35+U36+U37+U43</f>
        <v>432791</v>
      </c>
    </row>
    <row r="45" spans="1:21" s="20" customFormat="1">
      <c r="E45" s="280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1:21" s="20" customFormat="1">
      <c r="A46" s="17">
        <v>25</v>
      </c>
      <c r="B46" s="20" t="s">
        <v>65</v>
      </c>
      <c r="E46" s="280"/>
      <c r="F46" s="282">
        <v>50049</v>
      </c>
      <c r="G46" s="282">
        <v>93786</v>
      </c>
      <c r="H46" s="282">
        <v>78118</v>
      </c>
      <c r="I46" s="282">
        <v>87772</v>
      </c>
      <c r="J46" s="282">
        <v>66659</v>
      </c>
      <c r="K46" s="282">
        <v>66735</v>
      </c>
      <c r="L46" s="282">
        <v>58866</v>
      </c>
      <c r="M46" s="282">
        <v>73260</v>
      </c>
      <c r="N46" s="282">
        <v>89384</v>
      </c>
      <c r="O46" s="282">
        <v>92156.549100000004</v>
      </c>
      <c r="P46" s="282">
        <v>99867.970363199944</v>
      </c>
      <c r="Q46" s="282">
        <v>97773.592599999974</v>
      </c>
      <c r="R46" s="282">
        <v>110079.88734799996</v>
      </c>
      <c r="S46" s="282">
        <f>S18-S44</f>
        <v>122007</v>
      </c>
      <c r="T46" s="282">
        <f>T18-T44</f>
        <v>139241</v>
      </c>
      <c r="U46" s="282">
        <f>U18-U44</f>
        <v>131791</v>
      </c>
    </row>
    <row r="47" spans="1:21" s="20" customFormat="1">
      <c r="A47" s="17"/>
      <c r="E47" s="280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</row>
    <row r="48" spans="1:21" s="20" customFormat="1">
      <c r="A48" s="19"/>
      <c r="B48" s="20" t="s">
        <v>64</v>
      </c>
      <c r="E48" s="280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</row>
    <row r="49" spans="1:22" s="20" customFormat="1">
      <c r="A49" s="79">
        <v>26</v>
      </c>
      <c r="B49" s="20" t="s">
        <v>139</v>
      </c>
      <c r="D49" s="68"/>
      <c r="E49" s="280"/>
      <c r="F49" s="288">
        <v>13500</v>
      </c>
      <c r="G49" s="288">
        <v>7802.6454399910144</v>
      </c>
      <c r="H49" s="288">
        <v>12532.4934614427</v>
      </c>
      <c r="I49" s="288">
        <v>18199.38094551977</v>
      </c>
      <c r="J49" s="288">
        <v>10602.745932108257</v>
      </c>
      <c r="K49" s="288">
        <v>6760.4768703774607</v>
      </c>
      <c r="L49" s="288">
        <v>3583.5198936206907</v>
      </c>
      <c r="M49" s="288">
        <v>5069.5165750000015</v>
      </c>
      <c r="N49" s="288">
        <v>-6217.1202000000012</v>
      </c>
      <c r="O49" s="288">
        <v>-1846</v>
      </c>
      <c r="P49" s="288">
        <v>9263</v>
      </c>
      <c r="Q49" s="288">
        <v>6568.9074099999998</v>
      </c>
      <c r="R49" s="288">
        <v>11499.260571799998</v>
      </c>
      <c r="S49" s="288">
        <v>19267</v>
      </c>
      <c r="T49" s="288">
        <v>-7683</v>
      </c>
      <c r="U49" s="288">
        <v>4968</v>
      </c>
    </row>
    <row r="50" spans="1:22" s="21" customFormat="1">
      <c r="A50" s="17">
        <v>27</v>
      </c>
      <c r="B50" s="21" t="s">
        <v>140</v>
      </c>
      <c r="E50" s="280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>
        <v>206.8288</v>
      </c>
      <c r="R50" s="288">
        <v>70.410550000000001</v>
      </c>
      <c r="S50" s="288">
        <v>1</v>
      </c>
      <c r="T50" s="288">
        <v>-136</v>
      </c>
      <c r="U50" s="288">
        <v>1</v>
      </c>
    </row>
    <row r="51" spans="1:22" s="20" customFormat="1">
      <c r="A51" s="17">
        <v>28</v>
      </c>
      <c r="B51" s="20" t="s">
        <v>63</v>
      </c>
      <c r="E51" s="280"/>
      <c r="F51" s="288">
        <v>3549</v>
      </c>
      <c r="G51" s="288">
        <v>16107</v>
      </c>
      <c r="H51" s="288">
        <v>3470</v>
      </c>
      <c r="I51" s="288">
        <v>1284</v>
      </c>
      <c r="J51" s="288">
        <v>608</v>
      </c>
      <c r="K51" s="288">
        <v>3867</v>
      </c>
      <c r="L51" s="288">
        <v>3975</v>
      </c>
      <c r="M51" s="288">
        <v>6497</v>
      </c>
      <c r="N51" s="288">
        <v>26634</v>
      </c>
      <c r="O51" s="288">
        <v>23983</v>
      </c>
      <c r="P51" s="288">
        <v>13823</v>
      </c>
      <c r="Q51" s="288">
        <v>16402</v>
      </c>
      <c r="R51" s="288">
        <v>15684</v>
      </c>
      <c r="S51" s="288">
        <v>10613</v>
      </c>
      <c r="T51" s="288">
        <v>46085</v>
      </c>
      <c r="U51" s="288">
        <v>29492</v>
      </c>
    </row>
    <row r="52" spans="1:22" s="20" customFormat="1">
      <c r="A52" s="19">
        <v>29</v>
      </c>
      <c r="B52" s="20" t="s">
        <v>62</v>
      </c>
      <c r="E52" s="280"/>
      <c r="F52" s="288"/>
      <c r="G52" s="288"/>
      <c r="H52" s="288"/>
      <c r="I52" s="288"/>
      <c r="J52" s="288"/>
      <c r="K52" s="288"/>
      <c r="L52" s="288"/>
      <c r="M52" s="288"/>
      <c r="N52" s="288"/>
      <c r="O52" s="288">
        <v>-58</v>
      </c>
      <c r="P52" s="288">
        <v>-83</v>
      </c>
      <c r="Q52" s="288">
        <v>-99</v>
      </c>
      <c r="R52" s="288">
        <v>-128</v>
      </c>
      <c r="S52" s="288">
        <v>-130</v>
      </c>
      <c r="T52" s="288">
        <v>-128</v>
      </c>
      <c r="U52" s="288">
        <v>-129</v>
      </c>
    </row>
    <row r="53" spans="1:22">
      <c r="B53" s="289" t="s">
        <v>296</v>
      </c>
      <c r="F53" s="288">
        <v>5683</v>
      </c>
      <c r="G53" s="288">
        <v>5369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</row>
    <row r="54" spans="1:22" s="18" customFormat="1" ht="13.5" thickBot="1">
      <c r="A54" s="22">
        <v>30</v>
      </c>
      <c r="B54" s="18" t="s">
        <v>61</v>
      </c>
      <c r="E54" s="280"/>
      <c r="F54" s="290">
        <v>27317</v>
      </c>
      <c r="G54" s="290">
        <v>64507.354560008986</v>
      </c>
      <c r="H54" s="290">
        <v>62115.506538557296</v>
      </c>
      <c r="I54" s="290">
        <v>68288.619054480223</v>
      </c>
      <c r="J54" s="290">
        <v>55448.254067891743</v>
      </c>
      <c r="K54" s="290">
        <v>56107.523129622539</v>
      </c>
      <c r="L54" s="290">
        <v>51307.480106379313</v>
      </c>
      <c r="M54" s="290">
        <v>61693.483424999999</v>
      </c>
      <c r="N54" s="290">
        <v>68967.120200000005</v>
      </c>
      <c r="O54" s="290">
        <v>70077.549100000004</v>
      </c>
      <c r="P54" s="290">
        <v>76864.970363199944</v>
      </c>
      <c r="Q54" s="290">
        <v>74694.856389999972</v>
      </c>
      <c r="R54" s="290">
        <v>82954.216226199962</v>
      </c>
      <c r="S54" s="290">
        <f>S46-S49-S50-S51-S52</f>
        <v>92256</v>
      </c>
      <c r="T54" s="290">
        <f>T46-T49-T50-T51-T52</f>
        <v>101103</v>
      </c>
      <c r="U54" s="290">
        <f>U46-U49-U50-U51-U52</f>
        <v>97459</v>
      </c>
    </row>
    <row r="55" spans="1:22" ht="13.5" thickTop="1">
      <c r="A55" s="22"/>
      <c r="D55" s="11" t="s">
        <v>716</v>
      </c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</row>
    <row r="56" spans="1:22">
      <c r="A56" s="22"/>
      <c r="B56" s="11" t="s">
        <v>60</v>
      </c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</row>
    <row r="57" spans="1:22">
      <c r="B57" s="11" t="s">
        <v>59</v>
      </c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</row>
    <row r="58" spans="1:22" s="18" customFormat="1">
      <c r="A58" s="80">
        <v>31</v>
      </c>
      <c r="C58" s="18" t="s">
        <v>58</v>
      </c>
      <c r="E58" s="280"/>
      <c r="F58" s="282">
        <v>15127</v>
      </c>
      <c r="G58" s="282">
        <v>16340</v>
      </c>
      <c r="H58" s="282">
        <v>20910</v>
      </c>
      <c r="I58" s="282">
        <v>21299</v>
      </c>
      <c r="J58" s="282">
        <v>21374</v>
      </c>
      <c r="K58" s="282">
        <v>22459</v>
      </c>
      <c r="L58" s="282">
        <v>23458</v>
      </c>
      <c r="M58" s="282">
        <v>20632</v>
      </c>
      <c r="N58" s="282">
        <v>23321</v>
      </c>
      <c r="O58" s="282">
        <v>57116</v>
      </c>
      <c r="P58" s="282">
        <v>81955</v>
      </c>
      <c r="Q58" s="282">
        <v>84081</v>
      </c>
      <c r="R58" s="282">
        <v>85247</v>
      </c>
      <c r="S58" s="282">
        <v>91466</v>
      </c>
      <c r="T58" s="282">
        <v>102620</v>
      </c>
      <c r="U58" s="414">
        <v>144970</v>
      </c>
      <c r="V58" s="600"/>
    </row>
    <row r="59" spans="1:22" s="20" customFormat="1">
      <c r="A59" s="22">
        <v>32</v>
      </c>
      <c r="C59" s="20" t="s">
        <v>57</v>
      </c>
      <c r="E59" s="280"/>
      <c r="F59" s="288">
        <v>369323</v>
      </c>
      <c r="G59" s="288">
        <v>382522</v>
      </c>
      <c r="H59" s="288">
        <v>598523</v>
      </c>
      <c r="I59" s="288">
        <v>609668</v>
      </c>
      <c r="J59" s="288">
        <v>651608</v>
      </c>
      <c r="K59" s="288">
        <v>669043</v>
      </c>
      <c r="L59" s="288">
        <v>703455</v>
      </c>
      <c r="M59" s="288">
        <v>712962</v>
      </c>
      <c r="N59" s="288">
        <v>724416</v>
      </c>
      <c r="O59" s="288">
        <v>751055</v>
      </c>
      <c r="P59" s="288">
        <v>767632</v>
      </c>
      <c r="Q59" s="288">
        <v>706894</v>
      </c>
      <c r="R59" s="288">
        <v>717448</v>
      </c>
      <c r="S59" s="288">
        <v>738315</v>
      </c>
      <c r="T59" s="288">
        <v>746101</v>
      </c>
      <c r="U59" s="288">
        <v>779441</v>
      </c>
      <c r="V59" s="21"/>
    </row>
    <row r="60" spans="1:22" s="20" customFormat="1">
      <c r="A60" s="22">
        <v>33</v>
      </c>
      <c r="C60" s="20" t="s">
        <v>56</v>
      </c>
      <c r="E60" s="280"/>
      <c r="F60" s="288">
        <v>181627</v>
      </c>
      <c r="G60" s="288">
        <v>191517</v>
      </c>
      <c r="H60" s="288">
        <v>186550</v>
      </c>
      <c r="I60" s="288">
        <v>196937</v>
      </c>
      <c r="J60" s="288">
        <v>213539</v>
      </c>
      <c r="K60" s="288">
        <v>224696</v>
      </c>
      <c r="L60" s="288">
        <v>244435</v>
      </c>
      <c r="M60" s="288">
        <v>259532</v>
      </c>
      <c r="N60" s="288">
        <v>289302</v>
      </c>
      <c r="O60" s="288">
        <v>301090</v>
      </c>
      <c r="P60" s="288">
        <v>312505</v>
      </c>
      <c r="Q60" s="288">
        <v>328012</v>
      </c>
      <c r="R60" s="288">
        <v>342382</v>
      </c>
      <c r="S60" s="288">
        <v>359941</v>
      </c>
      <c r="T60" s="288">
        <v>371971</v>
      </c>
      <c r="U60" s="288">
        <v>401700</v>
      </c>
      <c r="V60" s="21"/>
    </row>
    <row r="61" spans="1:22" s="20" customFormat="1">
      <c r="A61" s="22">
        <v>34</v>
      </c>
      <c r="C61" s="20" t="s">
        <v>55</v>
      </c>
      <c r="E61" s="280"/>
      <c r="F61" s="288">
        <v>398104</v>
      </c>
      <c r="G61" s="288">
        <v>416427</v>
      </c>
      <c r="H61" s="288">
        <v>429742</v>
      </c>
      <c r="I61" s="288">
        <v>443424</v>
      </c>
      <c r="J61" s="288">
        <v>459516</v>
      </c>
      <c r="K61" s="288">
        <v>480638</v>
      </c>
      <c r="L61" s="288">
        <v>502571</v>
      </c>
      <c r="M61" s="288">
        <v>528809</v>
      </c>
      <c r="N61" s="288">
        <v>561016</v>
      </c>
      <c r="O61" s="288">
        <v>598884</v>
      </c>
      <c r="P61" s="288">
        <v>638445</v>
      </c>
      <c r="Q61" s="288">
        <v>696082</v>
      </c>
      <c r="R61" s="288">
        <v>743732</v>
      </c>
      <c r="S61" s="288">
        <v>796640</v>
      </c>
      <c r="T61" s="288">
        <v>842795</v>
      </c>
      <c r="U61" s="288">
        <v>895055</v>
      </c>
      <c r="V61" s="21"/>
    </row>
    <row r="62" spans="1:22" s="20" customFormat="1">
      <c r="A62" s="22">
        <v>35</v>
      </c>
      <c r="C62" s="20" t="s">
        <v>54</v>
      </c>
      <c r="E62" s="280"/>
      <c r="F62" s="288">
        <v>58402</v>
      </c>
      <c r="G62" s="288">
        <v>59846</v>
      </c>
      <c r="H62" s="288">
        <v>59771</v>
      </c>
      <c r="I62" s="288">
        <v>60444</v>
      </c>
      <c r="J62" s="288">
        <v>63155</v>
      </c>
      <c r="K62" s="288">
        <v>65299</v>
      </c>
      <c r="L62" s="288">
        <v>80110</v>
      </c>
      <c r="M62" s="288">
        <v>81368</v>
      </c>
      <c r="N62" s="288">
        <v>91205</v>
      </c>
      <c r="O62" s="288">
        <v>98727</v>
      </c>
      <c r="P62" s="288">
        <v>120996</v>
      </c>
      <c r="Q62" s="288">
        <v>140218</v>
      </c>
      <c r="R62" s="288">
        <v>155104</v>
      </c>
      <c r="S62" s="288">
        <v>179134</v>
      </c>
      <c r="T62" s="288">
        <v>196867</v>
      </c>
      <c r="U62" s="288">
        <v>212726</v>
      </c>
      <c r="V62" s="21"/>
    </row>
    <row r="63" spans="1:22" s="20" customFormat="1">
      <c r="A63" s="22">
        <v>36</v>
      </c>
      <c r="B63" s="20" t="s">
        <v>53</v>
      </c>
      <c r="E63" s="280"/>
      <c r="F63" s="291">
        <v>1022583</v>
      </c>
      <c r="G63" s="291">
        <v>1066652</v>
      </c>
      <c r="H63" s="291">
        <v>1295496</v>
      </c>
      <c r="I63" s="291">
        <v>1331772</v>
      </c>
      <c r="J63" s="291">
        <v>1409192</v>
      </c>
      <c r="K63" s="291">
        <v>1462135</v>
      </c>
      <c r="L63" s="291">
        <v>1554029</v>
      </c>
      <c r="M63" s="291">
        <v>1603303</v>
      </c>
      <c r="N63" s="291">
        <v>1689260</v>
      </c>
      <c r="O63" s="291">
        <v>1806872</v>
      </c>
      <c r="P63" s="291">
        <v>1921533</v>
      </c>
      <c r="Q63" s="291">
        <v>1955287</v>
      </c>
      <c r="R63" s="291">
        <v>2043913</v>
      </c>
      <c r="S63" s="291">
        <f>SUM(S58:S62)</f>
        <v>2165496</v>
      </c>
      <c r="T63" s="291">
        <f>SUM(T58:T62)</f>
        <v>2260354</v>
      </c>
      <c r="U63" s="291">
        <f>SUM(U58:U62)</f>
        <v>2433892</v>
      </c>
      <c r="V63" s="21"/>
    </row>
    <row r="64" spans="1:22" s="20" customFormat="1" ht="18" customHeight="1">
      <c r="A64" s="22"/>
      <c r="B64" s="20" t="s">
        <v>141</v>
      </c>
      <c r="E64" s="280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80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3">
        <v>3744</v>
      </c>
      <c r="R65" s="293">
        <v>4369</v>
      </c>
      <c r="S65" s="293">
        <v>17667</v>
      </c>
      <c r="T65" s="293">
        <v>20242</v>
      </c>
      <c r="U65" s="293">
        <v>24943</v>
      </c>
      <c r="V65" s="21"/>
    </row>
    <row r="66" spans="1:22" s="20" customFormat="1">
      <c r="A66" s="22">
        <v>38</v>
      </c>
      <c r="C66" s="20" t="s">
        <v>57</v>
      </c>
      <c r="E66" s="280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3">
        <v>286300</v>
      </c>
      <c r="R66" s="293">
        <v>300170</v>
      </c>
      <c r="S66" s="293">
        <v>314599</v>
      </c>
      <c r="T66" s="293">
        <v>325531</v>
      </c>
      <c r="U66" s="293">
        <v>342899</v>
      </c>
      <c r="V66" s="21"/>
    </row>
    <row r="67" spans="1:22" s="20" customFormat="1">
      <c r="A67" s="22">
        <v>39</v>
      </c>
      <c r="C67" s="20" t="s">
        <v>56</v>
      </c>
      <c r="E67" s="280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3">
        <v>111144</v>
      </c>
      <c r="R67" s="293">
        <v>116316</v>
      </c>
      <c r="S67" s="293">
        <v>122308</v>
      </c>
      <c r="T67" s="293">
        <v>123869</v>
      </c>
      <c r="U67" s="293">
        <v>129936</v>
      </c>
      <c r="V67" s="21"/>
    </row>
    <row r="68" spans="1:22" s="20" customFormat="1">
      <c r="A68" s="22">
        <v>40</v>
      </c>
      <c r="C68" s="20" t="s">
        <v>55</v>
      </c>
      <c r="E68" s="280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3">
        <v>209101</v>
      </c>
      <c r="R68" s="293">
        <v>221408</v>
      </c>
      <c r="S68" s="293">
        <v>236201</v>
      </c>
      <c r="T68" s="293">
        <v>252722</v>
      </c>
      <c r="U68" s="293">
        <v>273578</v>
      </c>
      <c r="V68" s="21"/>
    </row>
    <row r="69" spans="1:22" s="20" customFormat="1">
      <c r="A69" s="22">
        <v>41</v>
      </c>
      <c r="C69" s="20" t="s">
        <v>54</v>
      </c>
      <c r="E69" s="280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385">
        <v>56694</v>
      </c>
      <c r="R69" s="385">
        <v>61871</v>
      </c>
      <c r="S69" s="385">
        <v>58357</v>
      </c>
      <c r="T69" s="385">
        <v>65720</v>
      </c>
      <c r="U69" s="385">
        <v>73050</v>
      </c>
      <c r="V69" s="21"/>
    </row>
    <row r="70" spans="1:22" s="20" customFormat="1">
      <c r="A70" s="22">
        <v>42</v>
      </c>
      <c r="B70" s="20" t="s">
        <v>142</v>
      </c>
      <c r="E70" s="280"/>
      <c r="F70" s="288">
        <v>348345</v>
      </c>
      <c r="G70" s="288">
        <v>359654</v>
      </c>
      <c r="H70" s="288">
        <v>418593</v>
      </c>
      <c r="I70" s="288">
        <v>450096</v>
      </c>
      <c r="J70" s="288">
        <v>475935</v>
      </c>
      <c r="K70" s="288">
        <v>503194</v>
      </c>
      <c r="L70" s="288">
        <v>536682</v>
      </c>
      <c r="M70" s="288">
        <v>567320</v>
      </c>
      <c r="N70" s="288">
        <v>600292</v>
      </c>
      <c r="O70" s="288">
        <v>632110</v>
      </c>
      <c r="P70" s="288">
        <v>676635</v>
      </c>
      <c r="Q70" s="288">
        <v>666983</v>
      </c>
      <c r="R70" s="288">
        <v>704134</v>
      </c>
      <c r="S70" s="288">
        <f>SUM(S65:S69)</f>
        <v>749132</v>
      </c>
      <c r="T70" s="288">
        <f>SUM(T65:T69)</f>
        <v>788084</v>
      </c>
      <c r="U70" s="288">
        <f>SUM(U65:U69)</f>
        <v>844406</v>
      </c>
      <c r="V70" s="21"/>
    </row>
    <row r="71" spans="1:22" s="20" customFormat="1">
      <c r="A71" s="22">
        <v>43</v>
      </c>
      <c r="B71" s="20" t="s">
        <v>143</v>
      </c>
      <c r="E71" s="280"/>
      <c r="F71" s="291">
        <v>674238</v>
      </c>
      <c r="G71" s="291">
        <v>706998</v>
      </c>
      <c r="H71" s="291">
        <v>876903</v>
      </c>
      <c r="I71" s="291">
        <v>881676</v>
      </c>
      <c r="J71" s="291">
        <v>933257</v>
      </c>
      <c r="K71" s="291">
        <v>958941</v>
      </c>
      <c r="L71" s="291">
        <v>1017347</v>
      </c>
      <c r="M71" s="291">
        <v>1035983</v>
      </c>
      <c r="N71" s="291">
        <v>1088968</v>
      </c>
      <c r="O71" s="291">
        <v>1174762</v>
      </c>
      <c r="P71" s="291">
        <v>1244898</v>
      </c>
      <c r="Q71" s="291">
        <v>1288304</v>
      </c>
      <c r="R71" s="291">
        <v>1339779</v>
      </c>
      <c r="S71" s="291">
        <f>S63-S70</f>
        <v>1416364</v>
      </c>
      <c r="T71" s="291">
        <f>T63-T70</f>
        <v>1472270</v>
      </c>
      <c r="U71" s="291">
        <f>U63-U70</f>
        <v>1589486</v>
      </c>
      <c r="V71" s="21"/>
    </row>
    <row r="72" spans="1:22" s="20" customFormat="1" ht="6.75" customHeight="1">
      <c r="A72" s="22"/>
      <c r="E72" s="280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1"/>
    </row>
    <row r="73" spans="1:22" s="20" customFormat="1">
      <c r="A73" s="19">
        <v>44</v>
      </c>
      <c r="B73" s="20" t="s">
        <v>51</v>
      </c>
      <c r="E73" s="280"/>
      <c r="F73" s="288">
        <v>-104246</v>
      </c>
      <c r="G73" s="288">
        <v>-108113</v>
      </c>
      <c r="H73" s="288">
        <v>-113807</v>
      </c>
      <c r="I73" s="288">
        <v>-138127</v>
      </c>
      <c r="J73" s="288">
        <v>-154531</v>
      </c>
      <c r="K73" s="288">
        <v>-138256</v>
      </c>
      <c r="L73" s="288">
        <v>-142383</v>
      </c>
      <c r="M73" s="288">
        <v>-143546</v>
      </c>
      <c r="N73" s="288">
        <v>-151677</v>
      </c>
      <c r="O73" s="288">
        <v>-169421</v>
      </c>
      <c r="P73" s="288">
        <v>-190931</v>
      </c>
      <c r="Q73" s="288">
        <v>-201163</v>
      </c>
      <c r="R73" s="288">
        <v>-208209</v>
      </c>
      <c r="S73" s="288">
        <v>-221354</v>
      </c>
      <c r="T73" s="288">
        <v>-257766</v>
      </c>
      <c r="U73" s="288">
        <v>-317860</v>
      </c>
      <c r="V73" s="21"/>
    </row>
    <row r="74" spans="1:22" s="20" customFormat="1">
      <c r="A74" s="19">
        <v>45</v>
      </c>
      <c r="C74" s="20" t="s">
        <v>144</v>
      </c>
      <c r="E74" s="280"/>
      <c r="F74" s="291">
        <v>569992</v>
      </c>
      <c r="G74" s="291">
        <v>598885</v>
      </c>
      <c r="H74" s="291">
        <v>763096</v>
      </c>
      <c r="I74" s="291">
        <v>743549</v>
      </c>
      <c r="J74" s="291">
        <v>778726</v>
      </c>
      <c r="K74" s="291">
        <v>820685</v>
      </c>
      <c r="L74" s="291">
        <v>874964</v>
      </c>
      <c r="M74" s="291">
        <v>892437</v>
      </c>
      <c r="N74" s="291">
        <v>937291</v>
      </c>
      <c r="O74" s="291">
        <v>1005341</v>
      </c>
      <c r="P74" s="291">
        <v>1053967</v>
      </c>
      <c r="Q74" s="291">
        <v>1087141</v>
      </c>
      <c r="R74" s="291">
        <v>1131570</v>
      </c>
      <c r="S74" s="291">
        <f>S71+S73</f>
        <v>1195010</v>
      </c>
      <c r="T74" s="291">
        <f>T71+T73</f>
        <v>1214504</v>
      </c>
      <c r="U74" s="291">
        <f>U71+U73</f>
        <v>1271626</v>
      </c>
      <c r="V74" s="21"/>
    </row>
    <row r="75" spans="1:22" s="20" customFormat="1">
      <c r="A75" s="22">
        <v>46</v>
      </c>
      <c r="B75" s="20" t="s">
        <v>145</v>
      </c>
      <c r="E75" s="280"/>
      <c r="F75" s="288">
        <v>-1500</v>
      </c>
      <c r="G75" s="288">
        <v>-1370</v>
      </c>
      <c r="H75" s="288">
        <v>-1238</v>
      </c>
      <c r="I75" s="288">
        <v>-1106</v>
      </c>
      <c r="J75" s="288">
        <v>-715</v>
      </c>
      <c r="K75" s="288">
        <v>-843</v>
      </c>
      <c r="L75" s="288">
        <v>-453</v>
      </c>
      <c r="M75" s="288">
        <v>-582</v>
      </c>
      <c r="N75" s="288">
        <v>-451</v>
      </c>
      <c r="O75" s="288">
        <v>-322</v>
      </c>
      <c r="P75" s="288">
        <v>-127</v>
      </c>
      <c r="Q75" s="288">
        <v>32534</v>
      </c>
      <c r="R75" s="288">
        <v>16438</v>
      </c>
      <c r="S75" s="288">
        <v>14761</v>
      </c>
      <c r="T75" s="288">
        <v>10846</v>
      </c>
      <c r="U75" s="288">
        <v>7458</v>
      </c>
      <c r="V75" s="21"/>
    </row>
    <row r="76" spans="1:22" s="20" customFormat="1">
      <c r="A76" s="22">
        <v>47</v>
      </c>
      <c r="B76" s="20" t="s">
        <v>52</v>
      </c>
      <c r="E76" s="280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>
        <v>18188</v>
      </c>
      <c r="Q76" s="288">
        <v>18188</v>
      </c>
      <c r="R76" s="288">
        <v>10967</v>
      </c>
      <c r="S76" s="288">
        <v>16281</v>
      </c>
      <c r="T76" s="288">
        <v>47807</v>
      </c>
      <c r="U76" s="288">
        <v>59722</v>
      </c>
      <c r="V76" s="21"/>
    </row>
    <row r="77" spans="1:22" s="20" customFormat="1">
      <c r="A77" s="19"/>
      <c r="E77" s="280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80"/>
      <c r="F78" s="294">
        <v>568492</v>
      </c>
      <c r="G78" s="294">
        <v>597515</v>
      </c>
      <c r="H78" s="294">
        <v>761858</v>
      </c>
      <c r="I78" s="294">
        <v>742443</v>
      </c>
      <c r="J78" s="294">
        <v>778011</v>
      </c>
      <c r="K78" s="294">
        <v>819842</v>
      </c>
      <c r="L78" s="294">
        <v>874511</v>
      </c>
      <c r="M78" s="294">
        <v>891855</v>
      </c>
      <c r="N78" s="294">
        <v>936840</v>
      </c>
      <c r="O78" s="294">
        <v>1005019</v>
      </c>
      <c r="P78" s="294">
        <v>1072028</v>
      </c>
      <c r="Q78" s="294">
        <v>1137863</v>
      </c>
      <c r="R78" s="294">
        <v>1158975</v>
      </c>
      <c r="S78" s="294">
        <f>SUM(S74:S76)</f>
        <v>1226052</v>
      </c>
      <c r="T78" s="294">
        <f>SUM(T74:T76)</f>
        <v>1273157</v>
      </c>
      <c r="U78" s="294">
        <f>SUM(U74:U76)</f>
        <v>1338806</v>
      </c>
      <c r="V78" s="600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7.5246400642060854E-2</v>
      </c>
      <c r="T79" s="41">
        <f t="shared" si="1"/>
        <v>7.9411258784266192E-2</v>
      </c>
      <c r="U79" s="41">
        <f t="shared" ref="U79" si="2">U54/U78</f>
        <v>7.2795461030201541E-2</v>
      </c>
    </row>
    <row r="83" spans="1:15" s="14" customFormat="1">
      <c r="A83" s="81"/>
      <c r="E83" s="280"/>
      <c r="F83" s="12"/>
      <c r="K83" s="12"/>
      <c r="N83" s="70"/>
      <c r="O83" s="12"/>
    </row>
    <row r="84" spans="1:15">
      <c r="D84" s="43"/>
    </row>
  </sheetData>
  <mergeCells count="1">
    <mergeCell ref="V32:AB32"/>
  </mergeCells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2016-11-28T08:00:00+00:00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9DF39-6998-4B98-816C-D36A535A8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21C857-D1C9-4AA9-A3D0-74DDB0079F24}"/>
</file>

<file path=customXml/itemProps3.xml><?xml version="1.0" encoding="utf-8"?>
<ds:datastoreItem xmlns:ds="http://schemas.openxmlformats.org/officeDocument/2006/customXml" ds:itemID="{BA984CF9-CFCA-4FCA-959E-C9206EECFDE3}">
  <ds:schemaRefs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f70c62-691b-492e-ba59-9d389529a97e"/>
  </ds:schemaRefs>
</ds:datastoreItem>
</file>

<file path=customXml/itemProps4.xml><?xml version="1.0" encoding="utf-8"?>
<ds:datastoreItem xmlns:ds="http://schemas.openxmlformats.org/officeDocument/2006/customXml" ds:itemID="{B0C816B0-C7AD-4E1E-9581-23060185C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Plant Trends</vt:lpstr>
      <vt:lpstr>Summary</vt:lpstr>
      <vt:lpstr>ROR</vt:lpstr>
      <vt:lpstr>Attrition 12.2015 to 2018</vt:lpstr>
      <vt:lpstr>Cost Trends</vt:lpstr>
      <vt:lpstr>Net Plant</vt:lpstr>
      <vt:lpstr>Dep-Amort</vt:lpstr>
      <vt:lpstr>Adj Taxes</vt:lpstr>
      <vt:lpstr>Adj Operating Exp-2007-2015</vt:lpstr>
      <vt:lpstr>Weighted Revenue Growth</vt:lpstr>
      <vt:lpstr>PF Power Supply 09.2015 load</vt:lpstr>
      <vt:lpstr>incremental load expense</vt:lpstr>
      <vt:lpstr>PF Power Supply 2018 load</vt:lpstr>
      <vt:lpstr>Other Revenue</vt:lpstr>
      <vt:lpstr>09.2015 Rev Model</vt:lpstr>
      <vt:lpstr>2017-18 Forecast Billing Determ</vt:lpstr>
      <vt:lpstr>12.2015 CB Power Supply</vt:lpstr>
      <vt:lpstr>456 Revenue</vt:lpstr>
      <vt:lpstr>CS2-Colstrip 2016 Incrmntl Exp</vt:lpstr>
      <vt:lpstr>Reg Amorts</vt:lpstr>
      <vt:lpstr>DSM</vt:lpstr>
      <vt:lpstr>ResX</vt:lpstr>
      <vt:lpstr>PS Consolidated</vt:lpstr>
      <vt:lpstr>Other Rev</vt:lpstr>
      <vt:lpstr>CBR Hist</vt:lpstr>
      <vt:lpstr>Sheet1</vt:lpstr>
      <vt:lpstr>'09.2015 Rev Model'!Base1_Billing2</vt:lpstr>
      <vt:lpstr>'09.2015 Rev Model'!Print_Area</vt:lpstr>
      <vt:lpstr>'12.2015 CB Power Supply'!Print_Area</vt:lpstr>
      <vt:lpstr>'2017-18 Forecast Billing Determ'!Print_Area</vt:lpstr>
      <vt:lpstr>'Adj Operating Exp-2007-2015'!Print_Area</vt:lpstr>
      <vt:lpstr>'Adj Taxes'!Print_Area</vt:lpstr>
      <vt:lpstr>'Attrition 12.2015 to 2018'!Print_Area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09.2015 load'!Print_Area</vt:lpstr>
      <vt:lpstr>'PF Power Supply 2018 load'!Print_Area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2016-11-28T22:57:09Z</cp:lastPrinted>
  <dcterms:created xsi:type="dcterms:W3CDTF">2012-01-25T16:30:38Z</dcterms:created>
  <dcterms:modified xsi:type="dcterms:W3CDTF">2016-11-28T23:00:12Z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