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810" yWindow="2850" windowWidth="16350" windowHeight="4470" tabRatio="780"/>
  </bookViews>
  <sheets>
    <sheet name="New Format" sheetId="85" r:id="rId1"/>
    <sheet name="Pg 1 CofCap " sheetId="87" r:id="rId2"/>
    <sheet name="Pg 2 Cost of Total Debt" sheetId="88" r:id="rId3"/>
    <sheet name="Pg 3 STD Int &amp; Fees-Details" sheetId="89" r:id="rId4"/>
    <sheet name="Pg 5 Reacquired Debt" sheetId="91" r:id="rId5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_xlnm.Print_Area" localSheetId="0">'New Format'!$A$1:$G$49</definedName>
    <definedName name="_xlnm.Print_Area" localSheetId="1">'Pg 1 CofCap '!$A$1:$F$42</definedName>
    <definedName name="_xlnm.Print_Area" localSheetId="2">'Pg 2 Cost of Total Debt'!$A$1:$J$47</definedName>
    <definedName name="_xlnm.Print_Area" localSheetId="3">'Pg 3 STD Int &amp; Fees-Details'!$A$1:$P$61</definedName>
    <definedName name="_xlnm.Print_Area" localSheetId="4">'Pg 5 Reacquired Debt'!$A$1:$K$37</definedName>
    <definedName name="_xlnm.Print_Titles" localSheetId="4">'Pg 5 Reacquired Debt'!$1:$7</definedName>
  </definedNames>
  <calcPr calcId="162913" calcMode="autoNoTable"/>
</workbook>
</file>

<file path=xl/calcChain.xml><?xml version="1.0" encoding="utf-8"?>
<calcChain xmlns="http://schemas.openxmlformats.org/spreadsheetml/2006/main">
  <c r="D11" i="85" l="1"/>
  <c r="C11" i="85"/>
  <c r="E11" i="85" s="1"/>
  <c r="K26" i="91"/>
  <c r="K25" i="91"/>
  <c r="K24" i="91"/>
  <c r="K23" i="91"/>
  <c r="K22" i="91"/>
  <c r="K21" i="91"/>
  <c r="K20" i="91"/>
  <c r="K19" i="91"/>
  <c r="D19" i="91"/>
  <c r="K18" i="91"/>
  <c r="D18" i="91"/>
  <c r="K17" i="91"/>
  <c r="D17" i="91"/>
  <c r="K16" i="91"/>
  <c r="D16" i="91"/>
  <c r="K15" i="91"/>
  <c r="K14" i="91"/>
  <c r="K13" i="91"/>
  <c r="K12" i="91"/>
  <c r="K11" i="91"/>
  <c r="H11" i="91"/>
  <c r="D11" i="91"/>
  <c r="K10" i="91"/>
  <c r="H10" i="91"/>
  <c r="D10" i="91"/>
  <c r="K9" i="91"/>
  <c r="A6" i="91"/>
  <c r="A7" i="91" s="1"/>
  <c r="A8" i="91" s="1"/>
  <c r="A9" i="91" s="1"/>
  <c r="A10" i="91" s="1"/>
  <c r="A11" i="91" s="1"/>
  <c r="A12" i="91" s="1"/>
  <c r="A13" i="91" s="1"/>
  <c r="A14" i="91" s="1"/>
  <c r="A15" i="91" s="1"/>
  <c r="A16" i="91" s="1"/>
  <c r="A17" i="91" s="1"/>
  <c r="A18" i="91" s="1"/>
  <c r="A19" i="91" s="1"/>
  <c r="A20" i="91" s="1"/>
  <c r="A21" i="91" s="1"/>
  <c r="A22" i="91" s="1"/>
  <c r="A23" i="91" s="1"/>
  <c r="A24" i="91" s="1"/>
  <c r="A25" i="91" s="1"/>
  <c r="A26" i="91" s="1"/>
  <c r="A27" i="91" s="1"/>
  <c r="A28" i="91" s="1"/>
  <c r="A29" i="91" s="1"/>
  <c r="A30" i="91" s="1"/>
  <c r="A31" i="91" s="1"/>
  <c r="A32" i="91" s="1"/>
  <c r="A33" i="91" s="1"/>
  <c r="A34" i="91" s="1"/>
  <c r="A35" i="91" s="1"/>
  <c r="B3" i="91"/>
  <c r="O57" i="89"/>
  <c r="N57" i="89"/>
  <c r="M57" i="89"/>
  <c r="L57" i="89"/>
  <c r="K57" i="89"/>
  <c r="J57" i="89"/>
  <c r="I57" i="89"/>
  <c r="H57" i="89"/>
  <c r="G57" i="89"/>
  <c r="F57" i="89"/>
  <c r="E57" i="89"/>
  <c r="D57" i="89"/>
  <c r="P56" i="89"/>
  <c r="P55" i="89"/>
  <c r="P54" i="89"/>
  <c r="P53" i="89"/>
  <c r="P52" i="89"/>
  <c r="P51" i="89"/>
  <c r="G43" i="89"/>
  <c r="O43" i="89" s="1"/>
  <c r="D43" i="89"/>
  <c r="F43" i="89" s="1"/>
  <c r="E42" i="89"/>
  <c r="D33" i="89"/>
  <c r="E33" i="89" s="1"/>
  <c r="F33" i="89" s="1"/>
  <c r="C21" i="89"/>
  <c r="D17" i="89"/>
  <c r="D21" i="89" s="1"/>
  <c r="C16" i="89"/>
  <c r="A7" i="89"/>
  <c r="A9" i="89" s="1"/>
  <c r="A10" i="89" s="1"/>
  <c r="A11" i="89" s="1"/>
  <c r="A12" i="89" s="1"/>
  <c r="A14" i="89" s="1"/>
  <c r="A15" i="89" s="1"/>
  <c r="A16" i="89" s="1"/>
  <c r="A17" i="89" s="1"/>
  <c r="A19" i="89" s="1"/>
  <c r="A20" i="89" s="1"/>
  <c r="A21" i="89" s="1"/>
  <c r="A23" i="89" s="1"/>
  <c r="A25" i="89" s="1"/>
  <c r="A26" i="89" s="1"/>
  <c r="A27" i="89" s="1"/>
  <c r="A28" i="89" s="1"/>
  <c r="A30" i="89" s="1"/>
  <c r="A32" i="89" s="1"/>
  <c r="A33" i="89" s="1"/>
  <c r="A34" i="89" s="1"/>
  <c r="A35" i="89" s="1"/>
  <c r="A37" i="89" s="1"/>
  <c r="A38" i="89" s="1"/>
  <c r="A39" i="89" s="1"/>
  <c r="A41" i="89" s="1"/>
  <c r="A42" i="89" s="1"/>
  <c r="A43" i="89" s="1"/>
  <c r="A44" i="89" s="1"/>
  <c r="A50" i="89" s="1"/>
  <c r="A51" i="89" s="1"/>
  <c r="A52" i="89" s="1"/>
  <c r="A53" i="89" s="1"/>
  <c r="A54" i="89" s="1"/>
  <c r="A55" i="89" s="1"/>
  <c r="A56" i="89" s="1"/>
  <c r="A57" i="89" s="1"/>
  <c r="A61" i="89" s="1"/>
  <c r="D6" i="89"/>
  <c r="D23" i="89" s="1"/>
  <c r="A6" i="89"/>
  <c r="B3" i="89"/>
  <c r="J50" i="88"/>
  <c r="I32" i="88"/>
  <c r="I28" i="88"/>
  <c r="G27" i="88"/>
  <c r="H27" i="88" s="1"/>
  <c r="G26" i="88"/>
  <c r="H26" i="88" s="1"/>
  <c r="G25" i="88"/>
  <c r="H25" i="88" s="1"/>
  <c r="G24" i="88"/>
  <c r="H24" i="88" s="1"/>
  <c r="G23" i="88"/>
  <c r="H23" i="88" s="1"/>
  <c r="G22" i="88"/>
  <c r="H22" i="88" s="1"/>
  <c r="G21" i="88"/>
  <c r="H21" i="88" s="1"/>
  <c r="G20" i="88"/>
  <c r="H20" i="88" s="1"/>
  <c r="G19" i="88"/>
  <c r="H19" i="88" s="1"/>
  <c r="G18" i="88"/>
  <c r="H18" i="88" s="1"/>
  <c r="G17" i="88"/>
  <c r="H17" i="88" s="1"/>
  <c r="G16" i="88"/>
  <c r="H16" i="88" s="1"/>
  <c r="G15" i="88"/>
  <c r="H15" i="88" s="1"/>
  <c r="G14" i="88"/>
  <c r="H14" i="88" s="1"/>
  <c r="G13" i="88"/>
  <c r="H13" i="88" s="1"/>
  <c r="G12" i="88"/>
  <c r="H12" i="88" s="1"/>
  <c r="G11" i="88"/>
  <c r="H11" i="88" s="1"/>
  <c r="G10" i="88"/>
  <c r="A7" i="88"/>
  <c r="A8" i="88" s="1"/>
  <c r="A9" i="88" s="1"/>
  <c r="A10" i="88" s="1"/>
  <c r="A11" i="88" s="1"/>
  <c r="A12" i="88" s="1"/>
  <c r="A13" i="88" s="1"/>
  <c r="A14" i="88" s="1"/>
  <c r="A15" i="88" s="1"/>
  <c r="A16" i="88" s="1"/>
  <c r="A17" i="88" s="1"/>
  <c r="A18" i="88" s="1"/>
  <c r="A19" i="88" s="1"/>
  <c r="A20" i="88" s="1"/>
  <c r="A21" i="88" s="1"/>
  <c r="A22" i="88" s="1"/>
  <c r="A23" i="88" s="1"/>
  <c r="A24" i="88" s="1"/>
  <c r="A25" i="88" s="1"/>
  <c r="A26" i="88" s="1"/>
  <c r="A27" i="88" s="1"/>
  <c r="A28" i="88" s="1"/>
  <c r="A29" i="88" s="1"/>
  <c r="A30" i="88" s="1"/>
  <c r="A31" i="88" s="1"/>
  <c r="A32" i="88" s="1"/>
  <c r="A33" i="88" s="1"/>
  <c r="A34" i="88" s="1"/>
  <c r="A35" i="88" s="1"/>
  <c r="A36" i="88" s="1"/>
  <c r="A37" i="88" s="1"/>
  <c r="A38" i="88" s="1"/>
  <c r="A39" i="88" s="1"/>
  <c r="A40" i="88" s="1"/>
  <c r="A41" i="88" s="1"/>
  <c r="A42" i="88" s="1"/>
  <c r="A43" i="88" s="1"/>
  <c r="A44" i="88" s="1"/>
  <c r="A45" i="88" s="1"/>
  <c r="A46" i="88" s="1"/>
  <c r="A6" i="88"/>
  <c r="F22" i="87"/>
  <c r="D18" i="87"/>
  <c r="H40" i="88" s="1"/>
  <c r="A9" i="87"/>
  <c r="A10" i="87" s="1"/>
  <c r="A11" i="87" s="1"/>
  <c r="A12" i="87" s="1"/>
  <c r="A13" i="87" s="1"/>
  <c r="A14" i="87" s="1"/>
  <c r="A15" i="87" s="1"/>
  <c r="A16" i="87" s="1"/>
  <c r="A17" i="87" s="1"/>
  <c r="A18" i="87" s="1"/>
  <c r="A19" i="87" s="1"/>
  <c r="A20" i="87" s="1"/>
  <c r="A21" i="87" s="1"/>
  <c r="A22" i="87" s="1"/>
  <c r="A23" i="87" s="1"/>
  <c r="A24" i="87" s="1"/>
  <c r="A25" i="87" s="1"/>
  <c r="H43" i="89" l="1"/>
  <c r="I34" i="88"/>
  <c r="H39" i="88" s="1"/>
  <c r="H41" i="88" s="1"/>
  <c r="I43" i="89"/>
  <c r="L43" i="89"/>
  <c r="P57" i="89"/>
  <c r="K29" i="91"/>
  <c r="M43" i="89"/>
  <c r="H28" i="88"/>
  <c r="H34" i="88" s="1"/>
  <c r="D21" i="87"/>
  <c r="C10" i="85" s="1"/>
  <c r="D44" i="89"/>
  <c r="D16" i="89"/>
  <c r="C20" i="89"/>
  <c r="G33" i="89"/>
  <c r="E6" i="89"/>
  <c r="E17" i="89"/>
  <c r="F42" i="89"/>
  <c r="E43" i="89"/>
  <c r="J43" i="89"/>
  <c r="N43" i="89"/>
  <c r="K43" i="89"/>
  <c r="E21" i="89" l="1"/>
  <c r="F17" i="89"/>
  <c r="H33" i="89"/>
  <c r="E23" i="89"/>
  <c r="F6" i="89"/>
  <c r="G42" i="89"/>
  <c r="D20" i="89"/>
  <c r="E16" i="89"/>
  <c r="P46" i="89"/>
  <c r="K31" i="91"/>
  <c r="K33" i="91" s="1"/>
  <c r="F19" i="87" s="1"/>
  <c r="P58" i="89"/>
  <c r="P59" i="89" s="1"/>
  <c r="F16" i="87" s="1"/>
  <c r="C7" i="89"/>
  <c r="G34" i="88"/>
  <c r="E18" i="87" s="1"/>
  <c r="F18" i="87" s="1"/>
  <c r="F20" i="87" l="1"/>
  <c r="H42" i="89"/>
  <c r="F23" i="89"/>
  <c r="G6" i="89"/>
  <c r="I33" i="89"/>
  <c r="D7" i="89"/>
  <c r="C10" i="89"/>
  <c r="C11" i="89" s="1"/>
  <c r="E20" i="89"/>
  <c r="F16" i="89"/>
  <c r="F21" i="89"/>
  <c r="G17" i="89"/>
  <c r="E44" i="89"/>
  <c r="C34" i="89" l="1"/>
  <c r="C35" i="89" s="1"/>
  <c r="F20" i="89"/>
  <c r="G16" i="89"/>
  <c r="G21" i="89"/>
  <c r="H17" i="89"/>
  <c r="C12" i="89"/>
  <c r="J33" i="89"/>
  <c r="I42" i="89"/>
  <c r="D10" i="89"/>
  <c r="D11" i="89" s="1"/>
  <c r="D27" i="89" s="1"/>
  <c r="E7" i="89"/>
  <c r="G23" i="89"/>
  <c r="H6" i="89"/>
  <c r="F44" i="89"/>
  <c r="G44" i="89" l="1"/>
  <c r="J42" i="89"/>
  <c r="F7" i="89"/>
  <c r="E10" i="89"/>
  <c r="D34" i="89"/>
  <c r="D35" i="89" s="1"/>
  <c r="H16" i="89"/>
  <c r="G20" i="89"/>
  <c r="H23" i="89"/>
  <c r="I6" i="89"/>
  <c r="D12" i="89"/>
  <c r="D26" i="89"/>
  <c r="K33" i="89"/>
  <c r="H21" i="89"/>
  <c r="I17" i="89"/>
  <c r="D38" i="89"/>
  <c r="H44" i="89" l="1"/>
  <c r="G7" i="89"/>
  <c r="F10" i="89"/>
  <c r="K42" i="89"/>
  <c r="H20" i="89"/>
  <c r="I16" i="89"/>
  <c r="L33" i="89"/>
  <c r="I23" i="89"/>
  <c r="J6" i="89"/>
  <c r="E26" i="89"/>
  <c r="D39" i="89"/>
  <c r="I21" i="89"/>
  <c r="J17" i="89"/>
  <c r="D28" i="89"/>
  <c r="E11" i="89"/>
  <c r="J23" i="89" l="1"/>
  <c r="K6" i="89"/>
  <c r="E28" i="89"/>
  <c r="F26" i="89"/>
  <c r="D30" i="89"/>
  <c r="J16" i="89"/>
  <c r="I20" i="89"/>
  <c r="E34" i="89"/>
  <c r="E35" i="89" s="1"/>
  <c r="E27" i="89"/>
  <c r="E12" i="89"/>
  <c r="M33" i="89"/>
  <c r="L42" i="89"/>
  <c r="H7" i="89"/>
  <c r="G10" i="89"/>
  <c r="J21" i="89"/>
  <c r="K17" i="89"/>
  <c r="I44" i="89"/>
  <c r="F11" i="89"/>
  <c r="F27" i="89" s="1"/>
  <c r="G26" i="89" l="1"/>
  <c r="E30" i="89"/>
  <c r="H10" i="89"/>
  <c r="H26" i="89" s="1"/>
  <c r="I7" i="89"/>
  <c r="N33" i="89"/>
  <c r="E38" i="89"/>
  <c r="F34" i="89"/>
  <c r="F35" i="89" s="1"/>
  <c r="F38" i="89" s="1"/>
  <c r="F39" i="89" s="1"/>
  <c r="K21" i="89"/>
  <c r="L17" i="89"/>
  <c r="F28" i="89"/>
  <c r="K23" i="89"/>
  <c r="L6" i="89"/>
  <c r="G11" i="89"/>
  <c r="G27" i="89" s="1"/>
  <c r="M42" i="89"/>
  <c r="J20" i="89"/>
  <c r="K16" i="89"/>
  <c r="F12" i="89"/>
  <c r="J44" i="89"/>
  <c r="N42" i="89" l="1"/>
  <c r="F30" i="89"/>
  <c r="G34" i="89"/>
  <c r="G35" i="89" s="1"/>
  <c r="K44" i="89"/>
  <c r="L21" i="89"/>
  <c r="M17" i="89"/>
  <c r="E39" i="89"/>
  <c r="J7" i="89"/>
  <c r="I10" i="89"/>
  <c r="H11" i="89"/>
  <c r="H12" i="89" s="1"/>
  <c r="G28" i="89"/>
  <c r="L16" i="89"/>
  <c r="K20" i="89"/>
  <c r="L23" i="89"/>
  <c r="M6" i="89"/>
  <c r="G38" i="89"/>
  <c r="G39" i="89" s="1"/>
  <c r="O33" i="89"/>
  <c r="G12" i="89"/>
  <c r="H27" i="89" l="1"/>
  <c r="H28" i="89" s="1"/>
  <c r="H30" i="89"/>
  <c r="K7" i="89"/>
  <c r="J10" i="89"/>
  <c r="M21" i="89"/>
  <c r="N17" i="89"/>
  <c r="I26" i="89"/>
  <c r="L20" i="89"/>
  <c r="M16" i="89"/>
  <c r="O42" i="89"/>
  <c r="M23" i="89"/>
  <c r="N6" i="89"/>
  <c r="G30" i="89"/>
  <c r="L44" i="89"/>
  <c r="H34" i="89"/>
  <c r="H35" i="89" s="1"/>
  <c r="H38" i="89" s="1"/>
  <c r="H39" i="89" s="1"/>
  <c r="I27" i="89"/>
  <c r="I11" i="89"/>
  <c r="I34" i="89" l="1"/>
  <c r="I35" i="89" s="1"/>
  <c r="M44" i="89"/>
  <c r="I12" i="89"/>
  <c r="N16" i="89"/>
  <c r="M20" i="89"/>
  <c r="N21" i="89"/>
  <c r="O17" i="89"/>
  <c r="O21" i="89" s="1"/>
  <c r="L7" i="89"/>
  <c r="K10" i="89"/>
  <c r="I38" i="89"/>
  <c r="I39" i="89" s="1"/>
  <c r="N23" i="89"/>
  <c r="O6" i="89"/>
  <c r="O23" i="89" s="1"/>
  <c r="O44" i="89" s="1"/>
  <c r="I28" i="89"/>
  <c r="J11" i="89"/>
  <c r="J26" i="89"/>
  <c r="J34" i="89" l="1"/>
  <c r="J35" i="89" s="1"/>
  <c r="N44" i="89"/>
  <c r="K26" i="89"/>
  <c r="J38" i="89"/>
  <c r="J39" i="89" s="1"/>
  <c r="I30" i="89"/>
  <c r="L10" i="89"/>
  <c r="L11" i="89" s="1"/>
  <c r="M7" i="89"/>
  <c r="O16" i="89"/>
  <c r="O20" i="89" s="1"/>
  <c r="N20" i="89"/>
  <c r="P44" i="89"/>
  <c r="K11" i="89"/>
  <c r="K27" i="89" s="1"/>
  <c r="J12" i="89"/>
  <c r="J27" i="89"/>
  <c r="J28" i="89" s="1"/>
  <c r="K12" i="89" l="1"/>
  <c r="L34" i="89"/>
  <c r="L35" i="89" s="1"/>
  <c r="J30" i="89"/>
  <c r="N7" i="89"/>
  <c r="M10" i="89"/>
  <c r="M11" i="89" s="1"/>
  <c r="K28" i="89"/>
  <c r="L12" i="89"/>
  <c r="L26" i="89"/>
  <c r="K34" i="89"/>
  <c r="K35" i="89" s="1"/>
  <c r="L27" i="89"/>
  <c r="L28" i="89" l="1"/>
  <c r="L30" i="89" s="1"/>
  <c r="M26" i="89"/>
  <c r="K30" i="89"/>
  <c r="L38" i="89"/>
  <c r="L39" i="89" s="1"/>
  <c r="M34" i="89"/>
  <c r="M35" i="89" s="1"/>
  <c r="M38" i="89" s="1"/>
  <c r="M39" i="89" s="1"/>
  <c r="M27" i="89"/>
  <c r="M28" i="89" s="1"/>
  <c r="O7" i="89"/>
  <c r="N10" i="89"/>
  <c r="N11" i="89" s="1"/>
  <c r="K38" i="89"/>
  <c r="K39" i="89" s="1"/>
  <c r="M12" i="89"/>
  <c r="N26" i="89" l="1"/>
  <c r="M30" i="89"/>
  <c r="N34" i="89"/>
  <c r="N35" i="89" s="1"/>
  <c r="N38" i="89" s="1"/>
  <c r="N39" i="89" s="1"/>
  <c r="O10" i="89"/>
  <c r="O11" i="89" s="1"/>
  <c r="P7" i="89"/>
  <c r="I36" i="88" s="1"/>
  <c r="I37" i="88" s="1"/>
  <c r="N27" i="89"/>
  <c r="N12" i="89"/>
  <c r="N28" i="89" l="1"/>
  <c r="N30" i="89" s="1"/>
  <c r="O34" i="89"/>
  <c r="O35" i="89" s="1"/>
  <c r="P11" i="89"/>
  <c r="O27" i="89"/>
  <c r="P27" i="89" s="1"/>
  <c r="O26" i="89"/>
  <c r="O12" i="89"/>
  <c r="P12" i="89" s="1"/>
  <c r="P10" i="89"/>
  <c r="O38" i="89"/>
  <c r="O28" i="89" l="1"/>
  <c r="P26" i="89"/>
  <c r="O39" i="89"/>
  <c r="P39" i="89" s="1"/>
  <c r="P45" i="89" s="1"/>
  <c r="P47" i="89" s="1"/>
  <c r="F15" i="87" s="1"/>
  <c r="P38" i="89"/>
  <c r="O30" i="89" l="1"/>
  <c r="P28" i="89"/>
  <c r="P30" i="89" l="1"/>
  <c r="H36" i="88"/>
  <c r="G36" i="88" l="1"/>
  <c r="E14" i="87" s="1"/>
  <c r="F14" i="87" s="1"/>
  <c r="F17" i="87" s="1"/>
  <c r="F21" i="87" s="1"/>
  <c r="H37" i="88"/>
  <c r="G37" i="88" s="1"/>
  <c r="F23" i="87" l="1"/>
  <c r="E21" i="87"/>
  <c r="D10" i="85" s="1"/>
  <c r="E10" i="85" l="1"/>
  <c r="E14" i="85" s="1"/>
  <c r="D14" i="85"/>
  <c r="D15" i="85"/>
  <c r="C15" i="85"/>
  <c r="E15" i="85" s="1"/>
  <c r="A10" i="85"/>
  <c r="A11" i="85" s="1"/>
  <c r="A12" i="85" s="1"/>
  <c r="A13" i="85" s="1"/>
  <c r="A14" i="85" s="1"/>
  <c r="A15" i="85" s="1"/>
  <c r="A16" i="85" s="1"/>
  <c r="C12" i="85" l="1"/>
  <c r="C14" i="85"/>
  <c r="C16" i="85" s="1"/>
  <c r="E16" i="85" l="1"/>
  <c r="E12" i="85"/>
</calcChain>
</file>

<file path=xl/comments1.xml><?xml version="1.0" encoding="utf-8"?>
<comments xmlns="http://schemas.openxmlformats.org/spreadsheetml/2006/main">
  <authors>
    <author>Puget Sound Energy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
</t>
        </r>
        <r>
          <rPr>
            <sz val="9"/>
            <color indexed="81"/>
            <rFont val="Tahoma"/>
            <family val="2"/>
          </rPr>
          <t xml:space="preserve">Adjusted Test Year Capital strucute STD Ratio ( excluding March -June 2018 CP borwoing to pay JR Sub note Hybrid tendering and calling
</t>
        </r>
      </text>
    </comment>
  </commentList>
</comments>
</file>

<file path=xl/comments2.xml><?xml version="1.0" encoding="utf-8"?>
<comments xmlns="http://schemas.openxmlformats.org/spreadsheetml/2006/main">
  <authors>
    <author>Flekser, Clifford</author>
    <author>Jim Sant</author>
    <author>Cindy Song</author>
    <author>jsant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Flekser, Clifford:</t>
        </r>
        <r>
          <rPr>
            <sz val="9"/>
            <color indexed="81"/>
            <rFont val="Tahoma"/>
            <family val="2"/>
          </rPr>
          <t xml:space="preserve">
Total Capitlization * STD Weighting of Cap Structure</t>
        </r>
      </text>
    </comment>
    <comment ref="B10" authorId="1" shapeId="0">
      <text>
        <r>
          <rPr>
            <sz val="8"/>
            <color indexed="81"/>
            <rFont val="Tahoma"/>
            <family val="2"/>
          </rPr>
          <t>Assumes half of borrowings are under CP, up to a max of $125 million outstanding to allow for managing maturities within the $75 million swingline,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2" shapeId="0">
      <text>
        <r>
          <rPr>
            <sz val="9"/>
            <color indexed="81"/>
            <rFont val="Tahoma"/>
            <family val="2"/>
          </rPr>
          <t>Moody's forecast as of Feb 8, 2019.</t>
        </r>
      </text>
    </comment>
    <comment ref="B16" authorId="2" shapeId="0">
      <text>
        <r>
          <rPr>
            <sz val="9"/>
            <color indexed="81"/>
            <rFont val="Tahoma"/>
            <family val="2"/>
          </rPr>
          <t>Backed out from 1-month indicative CP quote received from Wells Fargo on Jan 25, 2019</t>
        </r>
      </text>
    </comment>
    <comment ref="C41" authorId="3" shapeId="0">
      <text>
        <r>
          <rPr>
            <sz val="8"/>
            <color indexed="81"/>
            <rFont val="Tahoma"/>
            <family val="2"/>
          </rPr>
          <t xml:space="preserve">Represents LC Fees under credit agreements.  </t>
        </r>
      </text>
    </comment>
    <comment ref="C44" authorId="3" shapeId="0">
      <text>
        <r>
          <rPr>
            <sz val="8"/>
            <color indexed="81"/>
            <rFont val="Tahoma"/>
            <family val="2"/>
          </rPr>
          <t>LC fee with Wells Fargo outside of credit agrmt commitments.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<sst xmlns="http://schemas.openxmlformats.org/spreadsheetml/2006/main" count="229" uniqueCount="167">
  <si>
    <t xml:space="preserve"> </t>
  </si>
  <si>
    <t>(A)</t>
  </si>
  <si>
    <t>Utility Capital Structure</t>
  </si>
  <si>
    <t>Cost of</t>
  </si>
  <si>
    <t>Description</t>
  </si>
  <si>
    <t>Ratio</t>
  </si>
  <si>
    <t>Cost</t>
  </si>
  <si>
    <t>Capital</t>
  </si>
  <si>
    <t>Issue</t>
  </si>
  <si>
    <t>Annual</t>
  </si>
  <si>
    <t>Rate</t>
  </si>
  <si>
    <t>MTN-A</t>
  </si>
  <si>
    <t>MTN-B</t>
  </si>
  <si>
    <t>MTN-C</t>
  </si>
  <si>
    <t>PCB</t>
  </si>
  <si>
    <t>Schedule of Annual Charges on Reacquired Debt</t>
  </si>
  <si>
    <t>(B)</t>
  </si>
  <si>
    <t xml:space="preserve">Total Amortization on Reacquired Debt </t>
  </si>
  <si>
    <t>8.40% Capital Trust II</t>
  </si>
  <si>
    <t>Interest</t>
  </si>
  <si>
    <t>PCB Series 1991A</t>
  </si>
  <si>
    <t>PCB Series 1991B</t>
  </si>
  <si>
    <t>PCB Series 1992</t>
  </si>
  <si>
    <t>PCB Series 1993</t>
  </si>
  <si>
    <t>WNG 8.4%</t>
  </si>
  <si>
    <t>WNG 8.39%</t>
  </si>
  <si>
    <t>(C)</t>
  </si>
  <si>
    <t>Commitment Fees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</si>
  <si>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</si>
  <si>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</si>
  <si>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</si>
  <si>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</si>
  <si>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</si>
  <si>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</si>
  <si>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</si>
  <si>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</si>
  <si>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</si>
  <si>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</si>
  <si>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</si>
  <si>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</si>
  <si>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</si>
  <si>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Annual Charge</t>
  </si>
  <si>
    <t>Cost Rate (ii)</t>
  </si>
  <si>
    <t>SN</t>
  </si>
  <si>
    <t>$200mm VRN</t>
  </si>
  <si>
    <t>30 Yr 5.483%</t>
  </si>
  <si>
    <t>Maturity</t>
  </si>
  <si>
    <t>Date</t>
  </si>
  <si>
    <t>8.231% Capital Trust I (Tender)</t>
  </si>
  <si>
    <t>WNG 8.25%</t>
  </si>
  <si>
    <t>20 Yr 6.740%</t>
  </si>
  <si>
    <t>30 Yr 7.350%</t>
  </si>
  <si>
    <t>2003 PCB's</t>
  </si>
  <si>
    <t>30 Yr 6.724%</t>
  </si>
  <si>
    <t>9.14% PP</t>
  </si>
  <si>
    <t>9.625% PP</t>
  </si>
  <si>
    <t>Amortization (i)</t>
  </si>
  <si>
    <t>Redemption</t>
  </si>
  <si>
    <t>Refinance</t>
  </si>
  <si>
    <t>for Amort.</t>
  </si>
  <si>
    <t>WNG 7.19%</t>
  </si>
  <si>
    <t>Totals</t>
  </si>
  <si>
    <t>$25M 9.57% Gas FMB's</t>
  </si>
  <si>
    <t>40 Yr 4.70%</t>
  </si>
  <si>
    <t>PCB Series 2003</t>
  </si>
  <si>
    <t>2013 PCB's</t>
  </si>
  <si>
    <t>SN 5.197%</t>
  </si>
  <si>
    <t>SN 6.75%</t>
  </si>
  <si>
    <t>30 Yr 4.30%</t>
  </si>
  <si>
    <t>Interest Rate Components:</t>
  </si>
  <si>
    <t>Monthly</t>
  </si>
  <si>
    <t>No. of Months</t>
  </si>
  <si>
    <t>in Period</t>
  </si>
  <si>
    <t>Weighted Cost of Reacquired Debt</t>
  </si>
  <si>
    <t>(i) Amortization is over life of replacement issue or remaining life of called bond if no replacement issue.</t>
  </si>
  <si>
    <t>Puget Sound Energy</t>
  </si>
  <si>
    <t>Short Term Debt Interest and Fees Details</t>
  </si>
  <si>
    <t>Avg of Mo Avg</t>
  </si>
  <si>
    <t>STD Average Balance (in 000's)</t>
  </si>
  <si>
    <t>Borrowings (000's):</t>
  </si>
  <si>
    <t>Commercial Paper (CP)</t>
  </si>
  <si>
    <t>Credit Facilities</t>
  </si>
  <si>
    <t>Total Short-term Debt</t>
  </si>
  <si>
    <t>Projected LIBO Rates (1 mo)</t>
  </si>
  <si>
    <t>Est'd CP Spread</t>
  </si>
  <si>
    <t>Credit Facilities Margin</t>
  </si>
  <si>
    <t>Annual Interest Rates:</t>
  </si>
  <si>
    <t>CP</t>
  </si>
  <si>
    <t>Number of Days in Month</t>
  </si>
  <si>
    <t>Interest Expense (i):</t>
  </si>
  <si>
    <t>CP Interest</t>
  </si>
  <si>
    <t>Credit Facilities Interest</t>
  </si>
  <si>
    <t>Total Interest</t>
  </si>
  <si>
    <t>Avg Monthly Borrowing Rate</t>
  </si>
  <si>
    <t>Loan Commitments (000's):</t>
  </si>
  <si>
    <t>Credit Facility Commitments</t>
  </si>
  <si>
    <t>Loan &amp; LOC Utilization</t>
  </si>
  <si>
    <t>Unutilized Portion</t>
  </si>
  <si>
    <t>Commitment Fees:</t>
  </si>
  <si>
    <t>Commitment Fees (Unutilized portion)</t>
  </si>
  <si>
    <t>Total Commitment Fees</t>
  </si>
  <si>
    <t>Letters of Credit:</t>
  </si>
  <si>
    <t>LC Outstanding under Cr Agrmt (000's)</t>
  </si>
  <si>
    <t>LC Outstanding with Wells (000's)</t>
  </si>
  <si>
    <t>Commitment Fees + Letter of Credit</t>
  </si>
  <si>
    <t>Weight Cost of Commitment Fees</t>
  </si>
  <si>
    <t>Total Amortization</t>
  </si>
  <si>
    <t>Weight Cost of Short-Term Debt Issuance Cost Amortization</t>
  </si>
  <si>
    <t xml:space="preserve">Amortization of Short-Term Debt Issue Cost </t>
  </si>
  <si>
    <t>Amortization of Reacquired Debt</t>
  </si>
  <si>
    <t>Total Debt</t>
  </si>
  <si>
    <t>Common Equity</t>
  </si>
  <si>
    <t xml:space="preserve">Total </t>
  </si>
  <si>
    <t>Rates</t>
  </si>
  <si>
    <t>Short-Term Debt Cost of Interest</t>
  </si>
  <si>
    <t>Blended Cost of Interest (ST&amp;LT Debt)</t>
  </si>
  <si>
    <t>Implied Rate Year Capitalization</t>
  </si>
  <si>
    <t>Bond</t>
  </si>
  <si>
    <t>Net Proceeds Per $100 (i)</t>
  </si>
  <si>
    <t>(iv)</t>
  </si>
  <si>
    <t>Proposed Cost of Capital and Rate of Return</t>
  </si>
  <si>
    <t>General Rate Case Request</t>
  </si>
  <si>
    <t>Requested Long-term Debt Ratio in Rate Year</t>
  </si>
  <si>
    <t>Projected AMA Long-term Debt in Rate year ($ in 000's)</t>
  </si>
  <si>
    <t>Implied AMA Total Capitalization in Rate Year ($ in 000's)</t>
  </si>
  <si>
    <t>Annual Charge ($'000)</t>
  </si>
  <si>
    <t>Requested Cost of Debt</t>
  </si>
  <si>
    <t>Total First Mortgage Bonds and Senior Notes</t>
  </si>
  <si>
    <t>Total Junior Subordinated Notes</t>
  </si>
  <si>
    <t>Total Long-term Debt Cost of Interest</t>
  </si>
  <si>
    <t>Principal    
in 000's</t>
  </si>
  <si>
    <t>Weighted Short-Term Debt Rate</t>
  </si>
  <si>
    <t>Marginal Short-Term Debt Rate</t>
  </si>
  <si>
    <t>Marginal Long-Term Debt Rate</t>
  </si>
  <si>
    <t>Weighted Long-Term Debt Rate</t>
  </si>
  <si>
    <t>Short Term Debt Issue Cost Amortization:</t>
  </si>
  <si>
    <t>PUGET SOUND ENERGY</t>
  </si>
  <si>
    <r>
      <t xml:space="preserve">JrSubN </t>
    </r>
    <r>
      <rPr>
        <b/>
        <sz val="8"/>
        <rFont val="Times New Roman"/>
        <family val="1"/>
      </rPr>
      <t>(iii)</t>
    </r>
  </si>
  <si>
    <r>
      <t xml:space="preserve">(i) </t>
    </r>
    <r>
      <rPr>
        <sz val="8"/>
        <rFont val="Times New Roman"/>
        <family val="1"/>
      </rPr>
      <t>Net proceeds are face amount less underwriter's fees and issuance expenses.</t>
    </r>
  </si>
  <si>
    <r>
      <t>(ii)</t>
    </r>
    <r>
      <rPr>
        <sz val="8"/>
        <rFont val="Times New Roman"/>
        <family val="1"/>
      </rPr>
      <t xml:space="preserve"> Cost Rate for each bond is the yield to maturity based on net proceeds.</t>
    </r>
  </si>
  <si>
    <r>
      <t>(iv)</t>
    </r>
    <r>
      <rPr>
        <sz val="8"/>
        <rFont val="Times New Roman"/>
        <family val="1"/>
      </rPr>
      <t xml:space="preserve"> For blended cost of interest for short-term debt and long-term debt, the cost rate is the total annual interest charge divided by the average outstanding balance for the period.</t>
    </r>
  </si>
  <si>
    <r>
      <t xml:space="preserve">Total LC Fees </t>
    </r>
    <r>
      <rPr>
        <sz val="8"/>
        <rFont val="Times New Roman"/>
        <family val="1"/>
      </rPr>
      <t>($ not in 000's)</t>
    </r>
  </si>
  <si>
    <r>
      <t xml:space="preserve">(i) </t>
    </r>
    <r>
      <rPr>
        <sz val="8"/>
        <rFont val="Times New Roman"/>
        <family val="1"/>
      </rPr>
      <t>Monthly short-term interest is calculated on the average balance for the month times the interest rate for the month times the actual days in the month divided by 360 days.</t>
    </r>
  </si>
  <si>
    <t>Requested For Rate Year April 2020 through March 2021</t>
  </si>
  <si>
    <t>For The 12 Months Ended March 31, 2021</t>
  </si>
  <si>
    <t xml:space="preserve"> --&gt; exclude $250M Junior Subordinated Notes from calculation (tendered in March 2018)</t>
  </si>
  <si>
    <t xml:space="preserve"> --&gt; exclude $200M June 2018 Mortgage Bond from calculation (refinanced in June 2018)</t>
  </si>
  <si>
    <t>Jr. Subordinated Notes</t>
  </si>
  <si>
    <t xml:space="preserve"> --&gt; include the June 2018 $600M issuance</t>
  </si>
  <si>
    <r>
      <t xml:space="preserve">(iii) </t>
    </r>
    <r>
      <rPr>
        <sz val="8"/>
        <rFont val="Times New Roman"/>
        <family val="1"/>
      </rPr>
      <t>$250M Jr Subordinated security was tendered for and paid down in March/April 2018</t>
    </r>
  </si>
  <si>
    <t>$400mm Operating Capital Facility (18101083/18900403)</t>
  </si>
  <si>
    <t>$400mm Capital Expenditure Facility (18900423)</t>
  </si>
  <si>
    <t>$650mm Liquidity Fac (18100673)</t>
  </si>
  <si>
    <t>$650mm Liquidity Refinance (18900443)</t>
  </si>
  <si>
    <t>$800mm Liquidity Fac (18100683)</t>
  </si>
  <si>
    <t>$650mm Liquidity Refinance (18900473)</t>
  </si>
  <si>
    <t>PUGET SOUND ENERGY, INC.</t>
  </si>
  <si>
    <t>DESCRIPTION</t>
  </si>
  <si>
    <t>Line</t>
  </si>
  <si>
    <t>No.</t>
  </si>
  <si>
    <t>SHORT AND LONG TERM DEBT</t>
  </si>
  <si>
    <t>EQUITY</t>
  </si>
  <si>
    <t>TOTAL</t>
  </si>
  <si>
    <t>TOTAL AFTER TAX COST OF CAPITAL</t>
  </si>
  <si>
    <t>AFTER TAX SHORT TERM DEBT ( (LINE 1)* 79%)</t>
  </si>
  <si>
    <r>
      <rPr>
        <b/>
        <sz val="9"/>
        <rFont val="Times New Roman"/>
        <family val="1"/>
      </rPr>
      <t>(i)</t>
    </r>
    <r>
      <rPr>
        <sz val="9"/>
        <rFont val="Times New Roman"/>
        <family val="1"/>
      </rPr>
      <t xml:space="preserve"> Average of Month-End Balances adjusted from hybrid tendering and calling.</t>
    </r>
  </si>
  <si>
    <t>2019 GENERAL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</si>
</sst>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mmm\ d\,\ yyyy"/>
    <numFmt numFmtId="166" formatCode="0.000%"/>
    <numFmt numFmtId="167" formatCode="&quot;$&quot;#,##0"/>
    <numFmt numFmtId="168" formatCode="_(* #,##0_);_(* \(#,##0\);_(* &quot;-&quot;??_);_(@_)"/>
    <numFmt numFmtId="169" formatCode="#,##0.0000_);\(#,##0.0000\)"/>
    <numFmt numFmtId="170" formatCode="&quot; As of &quot;mmmm\ d\,\ yyyy"/>
    <numFmt numFmtId="171" formatCode="#,###,;\(#,###,\)"/>
    <numFmt numFmtId="172" formatCode="0.00_);\(0.00\)"/>
    <numFmt numFmtId="173" formatCode="#,###.000,;\(#,###.000,\)"/>
    <numFmt numFmtId="174" formatCode="&quot; For The 12 Months Ending &quot;mmmm\ d\,\ yyyy"/>
    <numFmt numFmtId="175" formatCode="&quot;$&quot;#,##0\ ;\(&quot;$&quot;#,##0\)"/>
    <numFmt numFmtId="176" formatCode="#,###.00,;\(#,###.00,\)"/>
    <numFmt numFmtId="177" formatCode="&quot;$&quot;#,000,;\(&quot;$&quot;#,000,\)"/>
    <numFmt numFmtId="178" formatCode="[$-409]d\-mmm\-yy;@"/>
    <numFmt numFmtId="179" formatCode="&quot;$&quot;#,##0.000_);\(&quot;$&quot;#,##0.000\)"/>
    <numFmt numFmtId="180" formatCode="0.0_);[Red]\(0.0\)"/>
    <numFmt numFmtId="181" formatCode="0.0000%"/>
    <numFmt numFmtId="182" formatCode="0.000000%"/>
    <numFmt numFmtId="183" formatCode="m/d/yy;@"/>
    <numFmt numFmtId="184" formatCode="_(* #,##0.000_);_(* \(#,##0.000\);_(* &quot;-&quot;??_);_(@_)"/>
  </numFmts>
  <fonts count="66">
    <font>
      <sz val="8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i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b/>
      <u val="double"/>
      <sz val="10"/>
      <name val="Times New Roman"/>
      <family val="1"/>
    </font>
    <font>
      <b/>
      <sz val="7"/>
      <name val="Times New Roman"/>
      <family val="1"/>
    </font>
    <font>
      <u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b/>
      <sz val="9"/>
      <color indexed="10"/>
      <name val="Times New Roman"/>
      <family val="1"/>
    </font>
    <font>
      <b/>
      <u/>
      <sz val="8"/>
      <name val="Times New Roman"/>
      <family val="1"/>
    </font>
    <font>
      <sz val="7"/>
      <name val="Times New Roman"/>
      <family val="1"/>
    </font>
    <font>
      <sz val="9"/>
      <color indexed="10"/>
      <name val="Times New Roman"/>
      <family val="1"/>
    </font>
    <font>
      <b/>
      <i/>
      <sz val="9"/>
      <name val="Times New Roman"/>
      <family val="1"/>
    </font>
    <font>
      <sz val="9"/>
      <color indexed="12"/>
      <name val="Times New Roman"/>
      <family val="1"/>
    </font>
    <font>
      <u/>
      <sz val="9"/>
      <name val="Times New Roman"/>
      <family val="1"/>
    </font>
    <font>
      <i/>
      <sz val="8"/>
      <name val="Times New Roman"/>
      <family val="1"/>
    </font>
    <font>
      <b/>
      <sz val="9"/>
      <color indexed="81"/>
      <name val="Tahoma"/>
      <family val="2"/>
    </font>
    <font>
      <sz val="8"/>
      <color rgb="FF0000FF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i/>
      <sz val="10"/>
      <color indexed="12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u val="double"/>
      <sz val="10"/>
      <name val="Arial"/>
      <family val="2"/>
    </font>
    <font>
      <b/>
      <sz val="9"/>
      <name val="Arial"/>
      <family val="2"/>
    </font>
    <font>
      <b/>
      <sz val="10"/>
      <color rgb="FF0000FF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37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1" applyNumberFormat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1" fillId="17" borderId="2" applyNumberFormat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172" fontId="13" fillId="0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37" fontId="13" fillId="0" borderId="0"/>
    <xf numFmtId="37" fontId="11" fillId="0" borderId="0"/>
    <xf numFmtId="0" fontId="2" fillId="0" borderId="0"/>
    <xf numFmtId="37" fontId="2" fillId="0" borderId="0"/>
    <xf numFmtId="37" fontId="2" fillId="0" borderId="0"/>
    <xf numFmtId="3" fontId="11" fillId="0" borderId="0"/>
    <xf numFmtId="10" fontId="2" fillId="0" borderId="0"/>
    <xf numFmtId="0" fontId="2" fillId="0" borderId="0"/>
    <xf numFmtId="0" fontId="11" fillId="4" borderId="7" applyNumberFormat="0" applyFont="0" applyAlignment="0" applyProtection="0"/>
    <xf numFmtId="0" fontId="11" fillId="4" borderId="7" applyNumberFormat="0" applyFon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6">
    <xf numFmtId="37" fontId="0" fillId="0" borderId="0" xfId="0"/>
    <xf numFmtId="10" fontId="3" fillId="0" borderId="0" xfId="91" applyFont="1"/>
    <xf numFmtId="10" fontId="3" fillId="0" borderId="0" xfId="91" applyFont="1" applyAlignment="1">
      <alignment horizontal="centerContinuous"/>
    </xf>
    <xf numFmtId="1" fontId="3" fillId="0" borderId="0" xfId="91" applyNumberFormat="1" applyFont="1" applyAlignment="1" applyProtection="1">
      <alignment horizontal="center"/>
    </xf>
    <xf numFmtId="37" fontId="3" fillId="0" borderId="0" xfId="0" applyFont="1"/>
    <xf numFmtId="5" fontId="3" fillId="0" borderId="0" xfId="91" applyNumberFormat="1" applyFont="1" applyProtection="1"/>
    <xf numFmtId="164" fontId="3" fillId="0" borderId="0" xfId="91" applyNumberFormat="1" applyFont="1" applyProtection="1"/>
    <xf numFmtId="10" fontId="3" fillId="0" borderId="0" xfId="91" applyNumberFormat="1" applyFont="1" applyProtection="1"/>
    <xf numFmtId="37" fontId="3" fillId="0" borderId="0" xfId="89" applyFont="1"/>
    <xf numFmtId="37" fontId="3" fillId="0" borderId="0" xfId="89" applyFont="1" applyAlignment="1" applyProtection="1">
      <alignment horizontal="center"/>
    </xf>
    <xf numFmtId="37" fontId="5" fillId="0" borderId="0" xfId="89" applyFont="1" applyAlignment="1">
      <alignment horizontal="center"/>
    </xf>
    <xf numFmtId="5" fontId="3" fillId="0" borderId="0" xfId="89" applyNumberFormat="1" applyFont="1"/>
    <xf numFmtId="37" fontId="6" fillId="0" borderId="0" xfId="89" applyFont="1"/>
    <xf numFmtId="37" fontId="6" fillId="0" borderId="0" xfId="89" applyFont="1" applyFill="1"/>
    <xf numFmtId="15" fontId="3" fillId="0" borderId="0" xfId="89" applyNumberFormat="1" applyFont="1" applyProtection="1"/>
    <xf numFmtId="0" fontId="3" fillId="0" borderId="0" xfId="92" applyFont="1" applyAlignment="1" applyProtection="1">
      <alignment horizontal="left"/>
    </xf>
    <xf numFmtId="0" fontId="4" fillId="0" borderId="0" xfId="92" applyFont="1"/>
    <xf numFmtId="5" fontId="4" fillId="0" borderId="0" xfId="92" applyNumberFormat="1" applyFont="1" applyProtection="1"/>
    <xf numFmtId="37" fontId="8" fillId="0" borderId="0" xfId="89" applyFont="1" applyFill="1" applyAlignment="1">
      <alignment horizontal="center"/>
    </xf>
    <xf numFmtId="5" fontId="6" fillId="0" borderId="0" xfId="89" applyNumberFormat="1" applyFont="1" applyFill="1"/>
    <xf numFmtId="37" fontId="6" fillId="0" borderId="0" xfId="89" applyFont="1" applyFill="1" applyAlignment="1">
      <alignment horizontal="center"/>
    </xf>
    <xf numFmtId="37" fontId="6" fillId="0" borderId="0" xfId="0" applyFont="1" applyFill="1"/>
    <xf numFmtId="10" fontId="6" fillId="0" borderId="0" xfId="0" applyNumberFormat="1" applyFont="1" applyFill="1" applyAlignment="1">
      <alignment horizontal="left"/>
    </xf>
    <xf numFmtId="15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/>
    <xf numFmtId="2" fontId="6" fillId="0" borderId="0" xfId="0" applyNumberFormat="1" applyFont="1" applyFill="1"/>
    <xf numFmtId="10" fontId="6" fillId="0" borderId="0" xfId="0" applyNumberFormat="1" applyFont="1" applyFill="1"/>
    <xf numFmtId="37" fontId="8" fillId="0" borderId="0" xfId="89" applyFont="1" applyFill="1" applyAlignment="1" applyProtection="1">
      <alignment horizontal="center"/>
    </xf>
    <xf numFmtId="10" fontId="6" fillId="0" borderId="0" xfId="89" applyNumberFormat="1" applyFont="1" applyFill="1" applyProtection="1"/>
    <xf numFmtId="166" fontId="6" fillId="0" borderId="0" xfId="89" applyNumberFormat="1" applyFont="1" applyFill="1" applyAlignment="1" applyProtection="1">
      <alignment horizontal="fill"/>
    </xf>
    <xf numFmtId="165" fontId="3" fillId="0" borderId="0" xfId="89" applyNumberFormat="1" applyFont="1" applyFill="1"/>
    <xf numFmtId="15" fontId="14" fillId="0" borderId="0" xfId="92" applyNumberFormat="1" applyFont="1" applyBorder="1" applyAlignment="1">
      <alignment horizontal="left"/>
    </xf>
    <xf numFmtId="37" fontId="12" fillId="0" borderId="0" xfId="0" applyFont="1" applyBorder="1"/>
    <xf numFmtId="37" fontId="15" fillId="0" borderId="0" xfId="89" applyFont="1"/>
    <xf numFmtId="0" fontId="16" fillId="0" borderId="0" xfId="92" applyFont="1"/>
    <xf numFmtId="0" fontId="4" fillId="0" borderId="0" xfId="92" applyFont="1" applyFill="1"/>
    <xf numFmtId="0" fontId="4" fillId="0" borderId="0" xfId="92" applyFont="1" applyAlignment="1">
      <alignment horizontal="center"/>
    </xf>
    <xf numFmtId="37" fontId="3" fillId="0" borderId="0" xfId="91" applyNumberFormat="1" applyFont="1"/>
    <xf numFmtId="5" fontId="15" fillId="0" borderId="0" xfId="89" applyNumberFormat="1" applyFont="1" applyFill="1"/>
    <xf numFmtId="5" fontId="3" fillId="0" borderId="0" xfId="89" applyNumberFormat="1" applyFont="1" applyFill="1"/>
    <xf numFmtId="37" fontId="3" fillId="0" borderId="0" xfId="89" applyFont="1" applyFill="1"/>
    <xf numFmtId="5" fontId="4" fillId="0" borderId="0" xfId="92" applyNumberFormat="1" applyFont="1"/>
    <xf numFmtId="5" fontId="34" fillId="0" borderId="0" xfId="87" applyNumberFormat="1" applyFont="1" applyFill="1" applyBorder="1" applyAlignment="1" applyProtection="1">
      <alignment horizontal="left"/>
    </xf>
    <xf numFmtId="10" fontId="3" fillId="0" borderId="0" xfId="91" applyFont="1" applyBorder="1" applyAlignment="1">
      <alignment horizontal="centerContinuous" vertical="center" wrapText="1"/>
    </xf>
    <xf numFmtId="10" fontId="3" fillId="0" borderId="0" xfId="97" applyNumberFormat="1" applyFont="1"/>
    <xf numFmtId="170" fontId="5" fillId="0" borderId="0" xfId="91" applyNumberFormat="1" applyFont="1" applyBorder="1" applyAlignment="1" applyProtection="1">
      <alignment horizontal="centerContinuous" vertical="center" wrapText="1"/>
    </xf>
    <xf numFmtId="1" fontId="15" fillId="0" borderId="0" xfId="91" applyNumberFormat="1" applyFont="1" applyAlignment="1" applyProtection="1">
      <alignment horizontal="center"/>
    </xf>
    <xf numFmtId="37" fontId="36" fillId="0" borderId="0" xfId="88" applyFont="1" applyAlignment="1" applyProtection="1">
      <alignment horizontal="center"/>
    </xf>
    <xf numFmtId="10" fontId="3" fillId="0" borderId="0" xfId="91" applyNumberFormat="1" applyFont="1" applyBorder="1"/>
    <xf numFmtId="10" fontId="3" fillId="0" borderId="0" xfId="91" applyFont="1" applyBorder="1" applyAlignment="1">
      <alignment horizontal="right"/>
    </xf>
    <xf numFmtId="10" fontId="3" fillId="0" borderId="0" xfId="91" applyFont="1" applyBorder="1" applyAlignment="1">
      <alignment horizontal="center"/>
    </xf>
    <xf numFmtId="10" fontId="3" fillId="0" borderId="0" xfId="91" applyNumberFormat="1" applyFont="1" applyBorder="1" applyAlignment="1">
      <alignment horizontal="right"/>
    </xf>
    <xf numFmtId="10" fontId="12" fillId="0" borderId="0" xfId="91" applyFont="1" applyAlignment="1" applyProtection="1">
      <alignment horizontal="left"/>
    </xf>
    <xf numFmtId="38" fontId="3" fillId="0" borderId="0" xfId="91" applyNumberFormat="1" applyFont="1"/>
    <xf numFmtId="37" fontId="14" fillId="0" borderId="0" xfId="89" applyNumberFormat="1" applyFont="1" applyAlignment="1" applyProtection="1">
      <alignment horizontal="centerContinuous"/>
    </xf>
    <xf numFmtId="0" fontId="5" fillId="0" borderId="0" xfId="92" quotePrefix="1" applyFont="1" applyFill="1" applyBorder="1" applyAlignment="1" applyProtection="1">
      <alignment horizontal="centerContinuous" vertical="center" wrapText="1"/>
    </xf>
    <xf numFmtId="0" fontId="14" fillId="0" borderId="0" xfId="92" quotePrefix="1" applyFont="1" applyFill="1" applyBorder="1" applyAlignment="1" applyProtection="1">
      <alignment horizontal="centerContinuous" vertical="center" wrapText="1"/>
    </xf>
    <xf numFmtId="174" fontId="14" fillId="0" borderId="0" xfId="89" quotePrefix="1" applyNumberFormat="1" applyFont="1" applyFill="1" applyAlignment="1" applyProtection="1">
      <alignment horizontal="centerContinuous"/>
    </xf>
    <xf numFmtId="174" fontId="14" fillId="0" borderId="0" xfId="89" applyNumberFormat="1" applyFont="1" applyFill="1" applyAlignment="1" applyProtection="1">
      <alignment horizontal="centerContinuous"/>
    </xf>
    <xf numFmtId="3" fontId="15" fillId="0" borderId="0" xfId="90" applyFont="1" applyAlignment="1">
      <alignment horizontal="center"/>
    </xf>
    <xf numFmtId="37" fontId="40" fillId="0" borderId="0" xfId="88" applyFont="1" applyAlignment="1" applyProtection="1">
      <alignment horizontal="center"/>
    </xf>
    <xf numFmtId="3" fontId="3" fillId="0" borderId="0" xfId="90" applyFont="1" applyAlignment="1">
      <alignment horizontal="center"/>
    </xf>
    <xf numFmtId="166" fontId="36" fillId="0" borderId="0" xfId="90" applyNumberFormat="1" applyFont="1" applyAlignment="1" applyProtection="1">
      <alignment horizontal="center"/>
    </xf>
    <xf numFmtId="3" fontId="36" fillId="0" borderId="0" xfId="90" applyFont="1" applyAlignment="1">
      <alignment horizontal="center"/>
    </xf>
    <xf numFmtId="3" fontId="36" fillId="0" borderId="10" xfId="90" applyFont="1" applyBorder="1" applyAlignment="1" applyProtection="1">
      <alignment horizontal="center"/>
    </xf>
    <xf numFmtId="3" fontId="36" fillId="0" borderId="10" xfId="90" quotePrefix="1" applyFont="1" applyBorder="1" applyAlignment="1" applyProtection="1">
      <alignment horizontal="center"/>
    </xf>
    <xf numFmtId="37" fontId="15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center"/>
    </xf>
    <xf numFmtId="17" fontId="15" fillId="0" borderId="0" xfId="0" applyNumberFormat="1" applyFont="1" applyAlignment="1">
      <alignment horizontal="center"/>
    </xf>
    <xf numFmtId="39" fontId="15" fillId="0" borderId="0" xfId="0" applyNumberFormat="1" applyFont="1" applyFill="1" applyAlignment="1">
      <alignment horizontal="center"/>
    </xf>
    <xf numFmtId="10" fontId="15" fillId="0" borderId="0" xfId="0" applyNumberFormat="1" applyFont="1" applyAlignment="1">
      <alignment horizontal="right"/>
    </xf>
    <xf numFmtId="171" fontId="15" fillId="0" borderId="0" xfId="87" applyNumberFormat="1" applyFont="1" applyFill="1" applyProtection="1"/>
    <xf numFmtId="37" fontId="15" fillId="0" borderId="0" xfId="89" applyNumberFormat="1" applyFont="1" applyAlignment="1" applyProtection="1">
      <alignment horizontal="left"/>
    </xf>
    <xf numFmtId="17" fontId="15" fillId="0" borderId="0" xfId="89" applyNumberFormat="1" applyFont="1" applyAlignment="1" applyProtection="1">
      <alignment horizontal="center"/>
    </xf>
    <xf numFmtId="171" fontId="15" fillId="0" borderId="0" xfId="87" applyNumberFormat="1" applyFont="1" applyFill="1" applyBorder="1" applyProtection="1"/>
    <xf numFmtId="37" fontId="36" fillId="0" borderId="0" xfId="0" applyNumberFormat="1" applyFont="1"/>
    <xf numFmtId="166" fontId="15" fillId="0" borderId="0" xfId="0" applyNumberFormat="1" applyFont="1"/>
    <xf numFmtId="39" fontId="15" fillId="0" borderId="0" xfId="0" applyNumberFormat="1" applyFont="1" applyFill="1" applyAlignment="1">
      <alignment horizontal="right"/>
    </xf>
    <xf numFmtId="171" fontId="36" fillId="0" borderId="0" xfId="87" applyNumberFormat="1" applyFont="1" applyFill="1" applyBorder="1" applyProtection="1"/>
    <xf numFmtId="37" fontId="15" fillId="0" borderId="0" xfId="0" applyNumberFormat="1" applyFont="1"/>
    <xf numFmtId="10" fontId="15" fillId="0" borderId="0" xfId="0" applyNumberFormat="1" applyFont="1"/>
    <xf numFmtId="171" fontId="36" fillId="0" borderId="0" xfId="87" applyNumberFormat="1" applyFont="1" applyFill="1" applyProtection="1"/>
    <xf numFmtId="17" fontId="15" fillId="0" borderId="0" xfId="89" applyNumberFormat="1" applyFont="1" applyAlignment="1" applyProtection="1">
      <alignment horizontal="left"/>
    </xf>
    <xf numFmtId="37" fontId="36" fillId="0" borderId="0" xfId="89" applyNumberFormat="1" applyFont="1" applyAlignment="1" applyProtection="1">
      <alignment horizontal="left"/>
    </xf>
    <xf numFmtId="10" fontId="36" fillId="0" borderId="0" xfId="97" applyNumberFormat="1" applyFont="1" applyFill="1"/>
    <xf numFmtId="171" fontId="36" fillId="0" borderId="12" xfId="87" applyNumberFormat="1" applyFont="1" applyFill="1" applyBorder="1" applyProtection="1"/>
    <xf numFmtId="177" fontId="42" fillId="0" borderId="12" xfId="87" applyNumberFormat="1" applyFont="1" applyBorder="1" applyProtection="1"/>
    <xf numFmtId="169" fontId="15" fillId="0" borderId="0" xfId="0" applyNumberFormat="1" applyFont="1" applyFill="1"/>
    <xf numFmtId="3" fontId="15" fillId="0" borderId="0" xfId="90" applyFont="1"/>
    <xf numFmtId="10" fontId="15" fillId="0" borderId="0" xfId="97" applyNumberFormat="1" applyFont="1" applyFill="1"/>
    <xf numFmtId="37" fontId="36" fillId="0" borderId="0" xfId="86" applyNumberFormat="1" applyFont="1" applyFill="1" applyBorder="1"/>
    <xf numFmtId="10" fontId="36" fillId="0" borderId="12" xfId="0" applyNumberFormat="1" applyFont="1" applyFill="1" applyBorder="1"/>
    <xf numFmtId="169" fontId="15" fillId="0" borderId="0" xfId="0" applyNumberFormat="1" applyFont="1" applyFill="1" applyAlignment="1">
      <alignment horizontal="center"/>
    </xf>
    <xf numFmtId="10" fontId="36" fillId="0" borderId="0" xfId="89" applyNumberFormat="1" applyFont="1" applyFill="1" applyBorder="1" applyProtection="1"/>
    <xf numFmtId="176" fontId="44" fillId="0" borderId="0" xfId="87" applyNumberFormat="1" applyFont="1" applyFill="1" applyBorder="1" applyProtection="1"/>
    <xf numFmtId="177" fontId="42" fillId="0" borderId="0" xfId="87" applyNumberFormat="1" applyFont="1" applyBorder="1" applyProtection="1"/>
    <xf numFmtId="3" fontId="36" fillId="0" borderId="0" xfId="90" quotePrefix="1" applyFont="1"/>
    <xf numFmtId="37" fontId="36" fillId="0" borderId="0" xfId="89" applyNumberFormat="1" applyFont="1"/>
    <xf numFmtId="37" fontId="15" fillId="0" borderId="0" xfId="89" applyNumberFormat="1" applyFont="1"/>
    <xf numFmtId="169" fontId="15" fillId="0" borderId="0" xfId="0" applyNumberFormat="1" applyFont="1"/>
    <xf numFmtId="173" fontId="43" fillId="0" borderId="0" xfId="87" applyNumberFormat="1" applyFont="1" applyFill="1" applyProtection="1"/>
    <xf numFmtId="37" fontId="15" fillId="0" borderId="0" xfId="86" applyFont="1" applyFill="1"/>
    <xf numFmtId="37" fontId="12" fillId="0" borderId="0" xfId="86" applyFont="1" applyFill="1"/>
    <xf numFmtId="37" fontId="8" fillId="0" borderId="0" xfId="86" applyFont="1" applyFill="1"/>
    <xf numFmtId="37" fontId="15" fillId="0" borderId="0" xfId="88" applyFont="1" applyFill="1" applyAlignment="1" applyProtection="1">
      <alignment horizontal="center"/>
    </xf>
    <xf numFmtId="37" fontId="36" fillId="0" borderId="0" xfId="88" applyFont="1" applyFill="1" applyAlignment="1" applyProtection="1">
      <alignment horizontal="center"/>
    </xf>
    <xf numFmtId="17" fontId="41" fillId="0" borderId="0" xfId="86" applyNumberFormat="1" applyFont="1" applyFill="1" applyBorder="1" applyAlignment="1">
      <alignment horizontal="center"/>
    </xf>
    <xf numFmtId="37" fontId="41" fillId="0" borderId="0" xfId="86" applyFont="1" applyFill="1" applyBorder="1" applyAlignment="1">
      <alignment horizontal="center" wrapText="1"/>
    </xf>
    <xf numFmtId="37" fontId="36" fillId="0" borderId="0" xfId="86" applyFont="1" applyFill="1" applyBorder="1"/>
    <xf numFmtId="5" fontId="15" fillId="0" borderId="0" xfId="87" applyNumberFormat="1" applyFont="1" applyFill="1" applyBorder="1" applyProtection="1"/>
    <xf numFmtId="5" fontId="43" fillId="0" borderId="0" xfId="87" applyNumberFormat="1" applyFont="1" applyFill="1" applyBorder="1" applyProtection="1"/>
    <xf numFmtId="5" fontId="42" fillId="0" borderId="0" xfId="87" applyNumberFormat="1" applyFont="1" applyFill="1" applyBorder="1" applyProtection="1"/>
    <xf numFmtId="37" fontId="15" fillId="0" borderId="0" xfId="86" applyFont="1" applyFill="1" applyBorder="1"/>
    <xf numFmtId="37" fontId="43" fillId="0" borderId="0" xfId="87" applyNumberFormat="1" applyFont="1" applyFill="1" applyBorder="1" applyProtection="1"/>
    <xf numFmtId="37" fontId="15" fillId="0" borderId="0" xfId="86" applyFont="1" applyFill="1" applyBorder="1" applyAlignment="1">
      <alignment horizontal="left" indent="1"/>
    </xf>
    <xf numFmtId="5" fontId="43" fillId="0" borderId="13" xfId="87" applyNumberFormat="1" applyFont="1" applyFill="1" applyBorder="1" applyProtection="1"/>
    <xf numFmtId="5" fontId="42" fillId="0" borderId="13" xfId="87" applyNumberFormat="1" applyFont="1" applyFill="1" applyBorder="1" applyProtection="1"/>
    <xf numFmtId="37" fontId="12" fillId="0" borderId="0" xfId="86" applyFont="1" applyFill="1" applyBorder="1"/>
    <xf numFmtId="37" fontId="36" fillId="0" borderId="0" xfId="86" applyFont="1" applyFill="1" applyBorder="1" applyAlignment="1">
      <alignment horizontal="centerContinuous" vertical="center" wrapText="1"/>
    </xf>
    <xf numFmtId="37" fontId="14" fillId="0" borderId="0" xfId="86" applyFont="1" applyFill="1" applyBorder="1" applyAlignment="1">
      <alignment horizontal="centerContinuous" vertical="center" wrapText="1"/>
    </xf>
    <xf numFmtId="10" fontId="54" fillId="0" borderId="0" xfId="86" applyNumberFormat="1" applyFont="1" applyFill="1"/>
    <xf numFmtId="166" fontId="15" fillId="0" borderId="0" xfId="86" applyNumberFormat="1" applyFont="1" applyFill="1"/>
    <xf numFmtId="37" fontId="15" fillId="0" borderId="0" xfId="86" applyFont="1" applyFill="1" applyBorder="1" applyAlignment="1">
      <alignment horizontal="left"/>
    </xf>
    <xf numFmtId="10" fontId="43" fillId="0" borderId="11" xfId="87" applyNumberFormat="1" applyFont="1" applyFill="1" applyBorder="1" applyProtection="1"/>
    <xf numFmtId="37" fontId="45" fillId="0" borderId="0" xfId="86" applyFont="1" applyFill="1" applyBorder="1" applyAlignment="1">
      <alignment horizontal="center"/>
    </xf>
    <xf numFmtId="37" fontId="46" fillId="0" borderId="0" xfId="86" applyFont="1" applyFill="1" applyBorder="1" applyAlignment="1">
      <alignment horizontal="center" wrapText="1"/>
    </xf>
    <xf numFmtId="37" fontId="36" fillId="0" borderId="0" xfId="86" applyFont="1" applyFill="1" applyBorder="1" applyAlignment="1">
      <alignment horizontal="left" indent="1"/>
    </xf>
    <xf numFmtId="37" fontId="15" fillId="0" borderId="12" xfId="86" applyFont="1" applyFill="1" applyBorder="1"/>
    <xf numFmtId="5" fontId="42" fillId="0" borderId="12" xfId="87" applyNumberFormat="1" applyFont="1" applyFill="1" applyBorder="1" applyProtection="1"/>
    <xf numFmtId="10" fontId="15" fillId="0" borderId="0" xfId="86" applyNumberFormat="1" applyFont="1" applyFill="1"/>
    <xf numFmtId="5" fontId="54" fillId="0" borderId="0" xfId="87" applyNumberFormat="1" applyFont="1" applyFill="1" applyBorder="1" applyProtection="1"/>
    <xf numFmtId="37" fontId="15" fillId="0" borderId="0" xfId="86" applyFont="1" applyFill="1" applyBorder="1" applyAlignment="1">
      <alignment horizontal="left" indent="2"/>
    </xf>
    <xf numFmtId="5" fontId="43" fillId="0" borderId="11" xfId="87" applyNumberFormat="1" applyFont="1" applyFill="1" applyBorder="1" applyProtection="1"/>
    <xf numFmtId="37" fontId="41" fillId="0" borderId="0" xfId="86" applyFont="1" applyFill="1" applyBorder="1" applyAlignment="1">
      <alignment horizontal="center"/>
    </xf>
    <xf numFmtId="5" fontId="43" fillId="0" borderId="12" xfId="87" applyNumberFormat="1" applyFont="1" applyFill="1" applyBorder="1" applyProtection="1"/>
    <xf numFmtId="178" fontId="15" fillId="0" borderId="0" xfId="86" applyNumberFormat="1" applyFont="1" applyFill="1" applyBorder="1" applyAlignment="1">
      <alignment horizontal="left"/>
    </xf>
    <xf numFmtId="10" fontId="15" fillId="0" borderId="0" xfId="86" applyNumberFormat="1" applyFont="1" applyFill="1" applyBorder="1"/>
    <xf numFmtId="179" fontId="43" fillId="0" borderId="0" xfId="87" applyNumberFormat="1" applyFont="1" applyFill="1" applyBorder="1" applyProtection="1"/>
    <xf numFmtId="37" fontId="12" fillId="0" borderId="0" xfId="86" applyFont="1" applyFill="1" applyAlignment="1">
      <alignment horizontal="right"/>
    </xf>
    <xf numFmtId="5" fontId="15" fillId="0" borderId="12" xfId="86" applyNumberFormat="1" applyFont="1" applyFill="1" applyBorder="1"/>
    <xf numFmtId="5" fontId="15" fillId="0" borderId="0" xfId="86" applyNumberFormat="1" applyFont="1" applyFill="1" applyBorder="1"/>
    <xf numFmtId="37" fontId="48" fillId="0" borderId="0" xfId="86" applyFont="1" applyFill="1"/>
    <xf numFmtId="169" fontId="12" fillId="0" borderId="0" xfId="86" applyNumberFormat="1" applyFont="1" applyFill="1"/>
    <xf numFmtId="0" fontId="12" fillId="0" borderId="0" xfId="92" applyFont="1"/>
    <xf numFmtId="170" fontId="14" fillId="0" borderId="0" xfId="92" applyNumberFormat="1" applyFont="1" applyFill="1" applyAlignment="1">
      <alignment horizontal="left"/>
    </xf>
    <xf numFmtId="0" fontId="49" fillId="0" borderId="0" xfId="92" quotePrefix="1" applyFont="1" applyFill="1" applyAlignment="1" applyProtection="1">
      <alignment horizontal="center"/>
    </xf>
    <xf numFmtId="1" fontId="12" fillId="0" borderId="0" xfId="92" applyNumberFormat="1" applyFont="1" applyFill="1" applyAlignment="1" applyProtection="1">
      <alignment horizontal="center"/>
    </xf>
    <xf numFmtId="37" fontId="36" fillId="0" borderId="0" xfId="88" quotePrefix="1" applyFont="1" applyAlignment="1" applyProtection="1">
      <alignment horizontal="center"/>
    </xf>
    <xf numFmtId="0" fontId="14" fillId="0" borderId="0" xfId="92" applyFont="1" applyFill="1" applyAlignment="1" applyProtection="1">
      <alignment horizontal="center"/>
    </xf>
    <xf numFmtId="0" fontId="36" fillId="0" borderId="0" xfId="92" applyFont="1" applyFill="1" applyAlignment="1" applyProtection="1">
      <alignment horizontal="center"/>
    </xf>
    <xf numFmtId="0" fontId="36" fillId="0" borderId="0" xfId="92" applyFont="1" applyFill="1" applyAlignment="1">
      <alignment horizontal="center"/>
    </xf>
    <xf numFmtId="0" fontId="36" fillId="0" borderId="0" xfId="92" applyFont="1" applyFill="1" applyBorder="1" applyAlignment="1" applyProtection="1">
      <alignment horizontal="center" wrapText="1"/>
    </xf>
    <xf numFmtId="0" fontId="36" fillId="0" borderId="10" xfId="92" applyFont="1" applyFill="1" applyBorder="1" applyAlignment="1" applyProtection="1">
      <alignment horizontal="left"/>
    </xf>
    <xf numFmtId="0" fontId="36" fillId="0" borderId="10" xfId="92" applyFont="1" applyFill="1" applyBorder="1" applyAlignment="1" applyProtection="1">
      <alignment horizontal="center" wrapText="1"/>
    </xf>
    <xf numFmtId="0" fontId="36" fillId="0" borderId="10" xfId="92" applyFont="1" applyFill="1" applyBorder="1" applyAlignment="1" applyProtection="1">
      <alignment horizontal="center"/>
    </xf>
    <xf numFmtId="166" fontId="12" fillId="0" borderId="0" xfId="92" applyNumberFormat="1" applyFont="1" applyFill="1" applyAlignment="1">
      <alignment horizontal="left"/>
    </xf>
    <xf numFmtId="15" fontId="12" fillId="0" borderId="0" xfId="92" applyNumberFormat="1" applyFont="1" applyFill="1" applyAlignment="1">
      <alignment horizontal="center"/>
    </xf>
    <xf numFmtId="15" fontId="12" fillId="0" borderId="0" xfId="92" applyNumberFormat="1" applyFont="1" applyFill="1" applyAlignment="1">
      <alignment horizontal="right"/>
    </xf>
    <xf numFmtId="7" fontId="12" fillId="0" borderId="0" xfId="92" applyNumberFormat="1" applyFont="1" applyFill="1"/>
    <xf numFmtId="5" fontId="12" fillId="0" borderId="0" xfId="92" applyNumberFormat="1" applyFont="1" applyFill="1"/>
    <xf numFmtId="0" fontId="12" fillId="0" borderId="0" xfId="92" applyNumberFormat="1" applyFont="1" applyFill="1" applyAlignment="1">
      <alignment horizontal="center"/>
    </xf>
    <xf numFmtId="166" fontId="12" fillId="0" borderId="0" xfId="92" applyNumberFormat="1" applyFont="1" applyFill="1" applyAlignment="1" applyProtection="1">
      <alignment horizontal="left"/>
    </xf>
    <xf numFmtId="15" fontId="12" fillId="0" borderId="0" xfId="92" applyNumberFormat="1" applyFont="1" applyFill="1" applyAlignment="1" applyProtection="1">
      <alignment horizontal="center"/>
    </xf>
    <xf numFmtId="180" fontId="50" fillId="0" borderId="0" xfId="92" applyNumberFormat="1" applyFont="1" applyFill="1"/>
    <xf numFmtId="5" fontId="51" fillId="0" borderId="0" xfId="92" applyNumberFormat="1" applyFont="1" applyFill="1"/>
    <xf numFmtId="0" fontId="14" fillId="0" borderId="0" xfId="92" quotePrefix="1" applyFont="1" applyFill="1" applyBorder="1" applyAlignment="1" applyProtection="1">
      <alignment horizontal="left"/>
    </xf>
    <xf numFmtId="5" fontId="14" fillId="0" borderId="12" xfId="92" applyNumberFormat="1" applyFont="1" applyFill="1" applyBorder="1" applyAlignment="1" applyProtection="1">
      <alignment horizontal="right"/>
    </xf>
    <xf numFmtId="5" fontId="14" fillId="0" borderId="0" xfId="92" applyNumberFormat="1" applyFont="1" applyFill="1" applyBorder="1" applyAlignment="1" applyProtection="1">
      <alignment horizontal="right"/>
    </xf>
    <xf numFmtId="5" fontId="14" fillId="0" borderId="0" xfId="91" applyNumberFormat="1" applyFont="1" applyBorder="1" applyAlignment="1" applyProtection="1"/>
    <xf numFmtId="5" fontId="12" fillId="0" borderId="0" xfId="92" applyNumberFormat="1" applyFont="1" applyProtection="1"/>
    <xf numFmtId="10" fontId="12" fillId="0" borderId="0" xfId="97" applyNumberFormat="1" applyFont="1" applyFill="1"/>
    <xf numFmtId="0" fontId="14" fillId="0" borderId="0" xfId="92" applyFont="1" applyFill="1" applyAlignment="1" applyProtection="1">
      <alignment horizontal="left"/>
    </xf>
    <xf numFmtId="0" fontId="14" fillId="0" borderId="0" xfId="92" applyFont="1" applyAlignment="1" applyProtection="1">
      <alignment horizontal="left"/>
    </xf>
    <xf numFmtId="168" fontId="6" fillId="0" borderId="0" xfId="55" applyNumberFormat="1" applyFont="1"/>
    <xf numFmtId="168" fontId="6" fillId="0" borderId="0" xfId="55" applyNumberFormat="1" applyFont="1" applyFill="1"/>
    <xf numFmtId="168" fontId="3" fillId="0" borderId="0" xfId="55" applyNumberFormat="1" applyFont="1"/>
    <xf numFmtId="37" fontId="15" fillId="18" borderId="0" xfId="0" applyNumberFormat="1" applyFont="1" applyFill="1" applyAlignment="1">
      <alignment horizontal="left"/>
    </xf>
    <xf numFmtId="166" fontId="15" fillId="18" borderId="0" xfId="0" applyNumberFormat="1" applyFont="1" applyFill="1" applyAlignment="1">
      <alignment horizontal="center"/>
    </xf>
    <xf numFmtId="17" fontId="15" fillId="18" borderId="0" xfId="0" applyNumberFormat="1" applyFont="1" applyFill="1" applyAlignment="1">
      <alignment horizontal="center"/>
    </xf>
    <xf numFmtId="39" fontId="15" fillId="18" borderId="0" xfId="0" applyNumberFormat="1" applyFont="1" applyFill="1" applyAlignment="1">
      <alignment horizontal="center"/>
    </xf>
    <xf numFmtId="10" fontId="15" fillId="18" borderId="0" xfId="0" applyNumberFormat="1" applyFont="1" applyFill="1" applyAlignment="1">
      <alignment horizontal="right"/>
    </xf>
    <xf numFmtId="171" fontId="15" fillId="18" borderId="0" xfId="87" applyNumberFormat="1" applyFont="1" applyFill="1" applyProtection="1"/>
    <xf numFmtId="171" fontId="15" fillId="18" borderId="0" xfId="87" applyNumberFormat="1" applyFont="1" applyFill="1" applyBorder="1" applyProtection="1"/>
    <xf numFmtId="37" fontId="15" fillId="18" borderId="0" xfId="0" applyNumberFormat="1" applyFont="1" applyFill="1"/>
    <xf numFmtId="171" fontId="41" fillId="18" borderId="0" xfId="87" applyNumberFormat="1" applyFont="1" applyFill="1" applyBorder="1" applyProtection="1"/>
    <xf numFmtId="171" fontId="41" fillId="18" borderId="0" xfId="87" applyNumberFormat="1" applyFont="1" applyFill="1" applyProtection="1"/>
    <xf numFmtId="37" fontId="37" fillId="0" borderId="0" xfId="89" applyFont="1" applyAlignment="1">
      <alignment horizontal="center"/>
    </xf>
    <xf numFmtId="171" fontId="52" fillId="0" borderId="0" xfId="87" applyNumberFormat="1" applyFont="1" applyFill="1" applyProtection="1"/>
    <xf numFmtId="166" fontId="12" fillId="18" borderId="0" xfId="92" applyNumberFormat="1" applyFont="1" applyFill="1" applyAlignment="1">
      <alignment horizontal="left"/>
    </xf>
    <xf numFmtId="15" fontId="12" fillId="18" borderId="0" xfId="92" applyNumberFormat="1" applyFont="1" applyFill="1" applyAlignment="1">
      <alignment horizontal="center"/>
    </xf>
    <xf numFmtId="15" fontId="12" fillId="18" borderId="0" xfId="92" applyNumberFormat="1" applyFont="1" applyFill="1" applyAlignment="1">
      <alignment horizontal="right"/>
    </xf>
    <xf numFmtId="5" fontId="51" fillId="18" borderId="0" xfId="92" applyNumberFormat="1" applyFont="1" applyFill="1"/>
    <xf numFmtId="177" fontId="43" fillId="0" borderId="0" xfId="87" applyNumberFormat="1" applyFont="1" applyFill="1" applyBorder="1" applyProtection="1"/>
    <xf numFmtId="164" fontId="41" fillId="0" borderId="0" xfId="91" applyNumberFormat="1" applyFont="1" applyFill="1" applyAlignment="1" applyProtection="1"/>
    <xf numFmtId="177" fontId="42" fillId="0" borderId="0" xfId="87" applyNumberFormat="1" applyFont="1" applyFill="1" applyBorder="1" applyProtection="1"/>
    <xf numFmtId="0" fontId="55" fillId="0" borderId="0" xfId="87" applyFont="1" applyBorder="1" applyAlignment="1" applyProtection="1">
      <alignment horizontal="centerContinuous" vertical="center" wrapText="1"/>
    </xf>
    <xf numFmtId="10" fontId="56" fillId="0" borderId="0" xfId="91" applyFont="1" applyAlignment="1">
      <alignment horizontal="centerContinuous"/>
    </xf>
    <xf numFmtId="10" fontId="55" fillId="0" borderId="0" xfId="91" applyFont="1" applyBorder="1" applyAlignment="1" applyProtection="1">
      <alignment horizontal="centerContinuous" vertical="center" wrapText="1"/>
    </xf>
    <xf numFmtId="181" fontId="3" fillId="0" borderId="0" xfId="91" applyNumberFormat="1" applyFont="1"/>
    <xf numFmtId="10" fontId="9" fillId="0" borderId="0" xfId="91" applyFont="1"/>
    <xf numFmtId="1" fontId="13" fillId="0" borderId="0" xfId="91" applyNumberFormat="1" applyFont="1" applyAlignment="1" applyProtection="1">
      <alignment horizontal="center"/>
    </xf>
    <xf numFmtId="37" fontId="57" fillId="0" borderId="0" xfId="88" applyFont="1" applyAlignment="1" applyProtection="1">
      <alignment horizontal="center"/>
    </xf>
    <xf numFmtId="10" fontId="9" fillId="0" borderId="0" xfId="91" applyFont="1" applyAlignment="1">
      <alignment horizontal="center"/>
    </xf>
    <xf numFmtId="10" fontId="56" fillId="0" borderId="0" xfId="91" applyFont="1" applyAlignment="1">
      <alignment horizontal="center"/>
    </xf>
    <xf numFmtId="10" fontId="56" fillId="0" borderId="0" xfId="91" applyFont="1" applyAlignment="1" applyProtection="1">
      <alignment horizontal="center"/>
    </xf>
    <xf numFmtId="10" fontId="58" fillId="0" borderId="0" xfId="91" applyFont="1" applyAlignment="1" applyProtection="1">
      <alignment horizontal="center"/>
    </xf>
    <xf numFmtId="10" fontId="9" fillId="0" borderId="0" xfId="91" applyFont="1" applyAlignment="1" applyProtection="1">
      <alignment horizontal="left"/>
    </xf>
    <xf numFmtId="10" fontId="9" fillId="0" borderId="0" xfId="91" applyFont="1" applyFill="1" applyAlignment="1" applyProtection="1"/>
    <xf numFmtId="10" fontId="9" fillId="0" borderId="0" xfId="91" applyNumberFormat="1" applyFont="1" applyAlignment="1" applyProtection="1"/>
    <xf numFmtId="5" fontId="9" fillId="0" borderId="0" xfId="91" applyNumberFormat="1" applyFont="1" applyAlignment="1" applyProtection="1"/>
    <xf numFmtId="10" fontId="59" fillId="0" borderId="0" xfId="91" applyNumberFormat="1" applyFont="1" applyFill="1" applyAlignment="1" applyProtection="1"/>
    <xf numFmtId="10" fontId="9" fillId="0" borderId="0" xfId="91" applyFont="1" applyBorder="1" applyAlignment="1" applyProtection="1"/>
    <xf numFmtId="10" fontId="56" fillId="0" borderId="0" xfId="91" applyFont="1"/>
    <xf numFmtId="5" fontId="9" fillId="0" borderId="0" xfId="91" applyNumberFormat="1" applyFont="1" applyAlignment="1"/>
    <xf numFmtId="10" fontId="9" fillId="0" borderId="0" xfId="91" applyNumberFormat="1" applyFont="1" applyAlignment="1"/>
    <xf numFmtId="10" fontId="60" fillId="0" borderId="0" xfId="91" applyFont="1" applyBorder="1"/>
    <xf numFmtId="10" fontId="3" fillId="0" borderId="0" xfId="91" applyFont="1" applyBorder="1"/>
    <xf numFmtId="37" fontId="3" fillId="0" borderId="0" xfId="91" applyNumberFormat="1" applyFont="1" applyBorder="1"/>
    <xf numFmtId="182" fontId="60" fillId="0" borderId="0" xfId="91" applyNumberFormat="1" applyFont="1" applyBorder="1"/>
    <xf numFmtId="5" fontId="9" fillId="0" borderId="0" xfId="91" applyNumberFormat="1" applyFont="1" applyFill="1" applyAlignment="1"/>
    <xf numFmtId="10" fontId="9" fillId="0" borderId="0" xfId="91" applyFont="1" applyFill="1" applyBorder="1" applyAlignment="1" applyProtection="1"/>
    <xf numFmtId="166" fontId="3" fillId="0" borderId="0" xfId="98" applyNumberFormat="1" applyFont="1"/>
    <xf numFmtId="10" fontId="56" fillId="0" borderId="0" xfId="91" applyFont="1" applyAlignment="1" applyProtection="1">
      <alignment horizontal="left"/>
    </xf>
    <xf numFmtId="5" fontId="61" fillId="0" borderId="0" xfId="91" applyNumberFormat="1" applyFont="1" applyFill="1" applyBorder="1" applyAlignment="1" applyProtection="1"/>
    <xf numFmtId="10" fontId="61" fillId="0" borderId="0" xfId="91" applyNumberFormat="1" applyFont="1" applyFill="1" applyAlignment="1" applyProtection="1"/>
    <xf numFmtId="10" fontId="9" fillId="0" borderId="0" xfId="91" applyNumberFormat="1" applyFont="1" applyFill="1" applyBorder="1" applyAlignment="1" applyProtection="1"/>
    <xf numFmtId="10" fontId="61" fillId="0" borderId="0" xfId="91" applyNumberFormat="1" applyFont="1" applyAlignment="1" applyProtection="1"/>
    <xf numFmtId="183" fontId="62" fillId="0" borderId="0" xfId="91" applyNumberFormat="1" applyFont="1" applyBorder="1" applyAlignment="1">
      <alignment horizontal="center"/>
    </xf>
    <xf numFmtId="37" fontId="9" fillId="0" borderId="0" xfId="91" applyNumberFormat="1" applyFont="1" applyBorder="1" applyAlignment="1">
      <alignment horizontal="center"/>
    </xf>
    <xf numFmtId="10" fontId="62" fillId="0" borderId="0" xfId="91" applyFont="1" applyBorder="1" applyAlignment="1" applyProtection="1"/>
    <xf numFmtId="164" fontId="9" fillId="0" borderId="0" xfId="91" applyNumberFormat="1" applyFont="1" applyBorder="1" applyAlignment="1" applyProtection="1"/>
    <xf numFmtId="10" fontId="62" fillId="0" borderId="0" xfId="91" applyNumberFormat="1" applyFont="1" applyFill="1" applyBorder="1" applyAlignment="1" applyProtection="1"/>
    <xf numFmtId="5" fontId="63" fillId="0" borderId="0" xfId="91" applyNumberFormat="1" applyFont="1" applyFill="1" applyBorder="1" applyAlignment="1" applyProtection="1"/>
    <xf numFmtId="10" fontId="63" fillId="0" borderId="0" xfId="91" applyNumberFormat="1" applyFont="1" applyFill="1" applyBorder="1" applyAlignment="1" applyProtection="1"/>
    <xf numFmtId="184" fontId="9" fillId="0" borderId="0" xfId="56" applyNumberFormat="1" applyFont="1" applyBorder="1" applyAlignment="1"/>
    <xf numFmtId="10" fontId="63" fillId="0" borderId="0" xfId="91" applyNumberFormat="1" applyFont="1" applyBorder="1" applyAlignment="1" applyProtection="1"/>
    <xf numFmtId="10" fontId="9" fillId="0" borderId="0" xfId="91" applyFont="1" applyBorder="1"/>
    <xf numFmtId="10" fontId="9" fillId="0" borderId="0" xfId="91" applyNumberFormat="1" applyFont="1" applyBorder="1" applyAlignment="1" applyProtection="1"/>
    <xf numFmtId="10" fontId="9" fillId="0" borderId="0" xfId="91" applyFont="1" applyFill="1" applyBorder="1"/>
    <xf numFmtId="10" fontId="63" fillId="0" borderId="0" xfId="91" applyFont="1" applyBorder="1" applyAlignment="1"/>
    <xf numFmtId="10" fontId="9" fillId="0" borderId="0" xfId="91" applyFont="1" applyFill="1"/>
    <xf numFmtId="10" fontId="64" fillId="0" borderId="0" xfId="91" applyFont="1" applyAlignment="1" applyProtection="1">
      <alignment horizontal="left"/>
    </xf>
    <xf numFmtId="38" fontId="9" fillId="0" borderId="0" xfId="91" applyNumberFormat="1" applyFont="1"/>
    <xf numFmtId="10" fontId="6" fillId="0" borderId="0" xfId="91" applyFont="1"/>
    <xf numFmtId="1" fontId="3" fillId="0" borderId="0" xfId="91" applyNumberFormat="1" applyFont="1" applyProtection="1"/>
    <xf numFmtId="5" fontId="9" fillId="0" borderId="0" xfId="91" applyNumberFormat="1" applyFont="1"/>
    <xf numFmtId="0" fontId="3" fillId="0" borderId="0" xfId="0" applyNumberFormat="1" applyFont="1" applyFill="1" applyAlignment="1">
      <alignment horizontal="center"/>
    </xf>
    <xf numFmtId="1" fontId="5" fillId="0" borderId="0" xfId="91" applyNumberFormat="1" applyFont="1" applyAlignment="1" applyProtection="1">
      <alignment horizontal="center"/>
    </xf>
    <xf numFmtId="0" fontId="3" fillId="0" borderId="0" xfId="0" applyNumberFormat="1" applyFont="1" applyFill="1" applyAlignment="1"/>
    <xf numFmtId="10" fontId="9" fillId="0" borderId="0" xfId="97" applyNumberFormat="1" applyFont="1" applyAlignment="1">
      <alignment horizontal="center"/>
    </xf>
    <xf numFmtId="10" fontId="9" fillId="0" borderId="0" xfId="56" applyNumberFormat="1" applyFont="1" applyAlignment="1" applyProtection="1">
      <alignment horizontal="center"/>
    </xf>
    <xf numFmtId="10" fontId="9" fillId="0" borderId="10" xfId="91" applyFont="1" applyBorder="1" applyAlignment="1">
      <alignment horizontal="center"/>
    </xf>
    <xf numFmtId="10" fontId="9" fillId="0" borderId="10" xfId="56" applyNumberFormat="1" applyFont="1" applyBorder="1" applyAlignment="1" applyProtection="1">
      <alignment horizontal="center"/>
    </xf>
    <xf numFmtId="1" fontId="5" fillId="0" borderId="10" xfId="91" applyNumberFormat="1" applyFont="1" applyBorder="1" applyAlignment="1" applyProtection="1">
      <alignment horizontal="center"/>
    </xf>
    <xf numFmtId="0" fontId="5" fillId="0" borderId="10" xfId="0" applyNumberFormat="1" applyFont="1" applyFill="1" applyBorder="1" applyAlignment="1">
      <alignment horizontal="center"/>
    </xf>
    <xf numFmtId="37" fontId="57" fillId="0" borderId="10" xfId="88" applyFont="1" applyBorder="1" applyAlignment="1" applyProtection="1">
      <alignment horizontal="center"/>
    </xf>
    <xf numFmtId="170" fontId="65" fillId="0" borderId="0" xfId="91" applyNumberFormat="1" applyFont="1" applyBorder="1" applyAlignment="1" applyProtection="1">
      <alignment horizontal="centerContinuous" vertical="center" wrapText="1"/>
    </xf>
    <xf numFmtId="37" fontId="15" fillId="0" borderId="0" xfId="89" applyFont="1" applyFill="1"/>
    <xf numFmtId="37" fontId="15" fillId="0" borderId="0" xfId="89" applyNumberFormat="1" applyFont="1" applyFill="1"/>
    <xf numFmtId="0" fontId="35" fillId="0" borderId="0" xfId="87" applyFont="1" applyBorder="1" applyAlignment="1" applyProtection="1">
      <alignment horizontal="centerContinuous" vertical="center" wrapText="1"/>
    </xf>
    <xf numFmtId="10" fontId="5" fillId="0" borderId="0" xfId="91" applyFont="1" applyAlignment="1">
      <alignment horizontal="centerContinuous"/>
    </xf>
    <xf numFmtId="10" fontId="5" fillId="0" borderId="0" xfId="91" applyFont="1" applyFill="1" applyBorder="1" applyAlignment="1" applyProtection="1">
      <alignment horizontal="center" wrapText="1"/>
    </xf>
    <xf numFmtId="10" fontId="5" fillId="0" borderId="0" xfId="91" applyFont="1" applyAlignment="1">
      <alignment horizontal="center"/>
    </xf>
    <xf numFmtId="10" fontId="5" fillId="0" borderId="0" xfId="91" applyFont="1" applyAlignment="1" applyProtection="1">
      <alignment horizontal="center"/>
    </xf>
    <xf numFmtId="10" fontId="37" fillId="0" borderId="0" xfId="91" applyFont="1" applyAlignment="1" applyProtection="1">
      <alignment horizontal="left"/>
    </xf>
    <xf numFmtId="10" fontId="37" fillId="0" borderId="0" xfId="91" applyFont="1" applyAlignment="1" applyProtection="1">
      <alignment horizontal="center"/>
    </xf>
    <xf numFmtId="10" fontId="3" fillId="0" borderId="0" xfId="91" applyFont="1" applyAlignment="1" applyProtection="1">
      <alignment horizontal="left"/>
    </xf>
    <xf numFmtId="10" fontId="3" fillId="0" borderId="0" xfId="91" applyFont="1" applyAlignment="1" applyProtection="1">
      <alignment horizontal="left" indent="2"/>
    </xf>
    <xf numFmtId="164" fontId="3" fillId="0" borderId="0" xfId="91" applyNumberFormat="1" applyFont="1" applyFill="1" applyAlignment="1" applyProtection="1"/>
    <xf numFmtId="10" fontId="3" fillId="0" borderId="0" xfId="91" applyNumberFormat="1" applyFont="1" applyFill="1" applyAlignment="1" applyProtection="1"/>
    <xf numFmtId="10" fontId="3" fillId="0" borderId="0" xfId="91" applyNumberFormat="1" applyFont="1" applyAlignment="1" applyProtection="1"/>
    <xf numFmtId="10" fontId="3" fillId="0" borderId="0" xfId="91" applyFont="1" applyAlignment="1">
      <alignment horizontal="left" indent="2"/>
    </xf>
    <xf numFmtId="164" fontId="3" fillId="0" borderId="0" xfId="91" applyNumberFormat="1" applyFont="1" applyAlignment="1" applyProtection="1"/>
    <xf numFmtId="10" fontId="3" fillId="0" borderId="10" xfId="91" applyFont="1" applyBorder="1" applyAlignment="1">
      <alignment horizontal="left" indent="2"/>
    </xf>
    <xf numFmtId="37" fontId="36" fillId="0" borderId="10" xfId="88" applyFont="1" applyBorder="1" applyAlignment="1" applyProtection="1">
      <alignment horizontal="center"/>
    </xf>
    <xf numFmtId="164" fontId="3" fillId="0" borderId="10" xfId="91" applyNumberFormat="1" applyFont="1" applyBorder="1" applyAlignment="1" applyProtection="1"/>
    <xf numFmtId="10" fontId="3" fillId="0" borderId="10" xfId="91" applyNumberFormat="1" applyFont="1" applyBorder="1" applyAlignment="1" applyProtection="1"/>
    <xf numFmtId="10" fontId="3" fillId="0" borderId="10" xfId="91" applyNumberFormat="1" applyFont="1" applyFill="1" applyBorder="1" applyAlignment="1" applyProtection="1"/>
    <xf numFmtId="10" fontId="5" fillId="0" borderId="0" xfId="91" applyFont="1" applyAlignment="1" applyProtection="1">
      <alignment horizontal="left" indent="1"/>
    </xf>
    <xf numFmtId="10" fontId="5" fillId="0" borderId="0" xfId="91" applyNumberFormat="1" applyFont="1" applyAlignment="1" applyProtection="1"/>
    <xf numFmtId="5" fontId="3" fillId="0" borderId="0" xfId="91" applyNumberFormat="1" applyFont="1" applyAlignment="1" applyProtection="1"/>
    <xf numFmtId="10" fontId="5" fillId="0" borderId="11" xfId="91" applyFont="1" applyBorder="1" applyAlignment="1" applyProtection="1">
      <alignment horizontal="left" indent="1"/>
    </xf>
    <xf numFmtId="37" fontId="36" fillId="0" borderId="11" xfId="88" applyFont="1" applyBorder="1" applyAlignment="1" applyProtection="1">
      <alignment horizontal="center"/>
    </xf>
    <xf numFmtId="164" fontId="3" fillId="0" borderId="11" xfId="91" applyNumberFormat="1" applyFont="1" applyBorder="1" applyAlignment="1" applyProtection="1"/>
    <xf numFmtId="10" fontId="3" fillId="0" borderId="11" xfId="91" applyNumberFormat="1" applyFont="1" applyBorder="1" applyAlignment="1" applyProtection="1"/>
    <xf numFmtId="10" fontId="5" fillId="0" borderId="11" xfId="91" applyNumberFormat="1" applyFont="1" applyBorder="1" applyAlignment="1" applyProtection="1"/>
    <xf numFmtId="10" fontId="5" fillId="0" borderId="0" xfId="91" applyFont="1" applyAlignment="1" applyProtection="1">
      <alignment horizontal="left"/>
    </xf>
    <xf numFmtId="164" fontId="5" fillId="0" borderId="0" xfId="91" applyNumberFormat="1" applyFont="1" applyAlignment="1" applyProtection="1"/>
    <xf numFmtId="164" fontId="37" fillId="0" borderId="0" xfId="91" applyNumberFormat="1" applyFont="1" applyAlignment="1" applyProtection="1"/>
    <xf numFmtId="10" fontId="38" fillId="0" borderId="0" xfId="91" applyNumberFormat="1" applyFont="1" applyFill="1" applyBorder="1" applyAlignment="1" applyProtection="1">
      <alignment horizontal="right"/>
    </xf>
    <xf numFmtId="10" fontId="37" fillId="0" borderId="0" xfId="91" applyNumberFormat="1" applyFont="1" applyAlignment="1" applyProtection="1"/>
    <xf numFmtId="5" fontId="39" fillId="0" borderId="0" xfId="91" applyNumberFormat="1" applyFont="1" applyBorder="1" applyAlignment="1" applyProtection="1"/>
    <xf numFmtId="164" fontId="39" fillId="0" borderId="0" xfId="91" applyNumberFormat="1" applyFont="1" applyBorder="1" applyAlignment="1" applyProtection="1">
      <alignment horizontal="right"/>
    </xf>
    <xf numFmtId="10" fontId="39" fillId="0" borderId="0" xfId="91" applyNumberFormat="1" applyFont="1" applyBorder="1" applyAlignment="1" applyProtection="1">
      <alignment horizontal="right"/>
    </xf>
    <xf numFmtId="43" fontId="3" fillId="0" borderId="0" xfId="55" applyFont="1"/>
    <xf numFmtId="43" fontId="3" fillId="0" borderId="0" xfId="91" applyNumberFormat="1" applyFont="1"/>
    <xf numFmtId="43" fontId="3" fillId="0" borderId="0" xfId="106" applyFont="1"/>
    <xf numFmtId="168" fontId="3" fillId="0" borderId="0" xfId="91" applyNumberFormat="1" applyFont="1"/>
    <xf numFmtId="5" fontId="3" fillId="0" borderId="0" xfId="107" applyNumberFormat="1" applyFont="1" applyAlignment="1">
      <alignment horizontal="right"/>
    </xf>
    <xf numFmtId="3" fontId="15" fillId="0" borderId="0" xfId="90" applyFont="1" applyFill="1" applyAlignment="1">
      <alignment horizontal="center"/>
    </xf>
    <xf numFmtId="168" fontId="15" fillId="0" borderId="0" xfId="106" applyNumberFormat="1" applyFont="1" applyFill="1" applyBorder="1" applyProtection="1"/>
    <xf numFmtId="164" fontId="43" fillId="0" borderId="0" xfId="108" applyNumberFormat="1" applyFont="1" applyFill="1" applyBorder="1" applyProtection="1"/>
    <xf numFmtId="10" fontId="54" fillId="0" borderId="0" xfId="108" applyNumberFormat="1" applyFont="1" applyFill="1"/>
    <xf numFmtId="7" fontId="43" fillId="0" borderId="0" xfId="87" applyNumberFormat="1" applyFont="1" applyFill="1" applyBorder="1" applyProtection="1"/>
    <xf numFmtId="166" fontId="54" fillId="0" borderId="0" xfId="108" applyNumberFormat="1" applyFont="1" applyFill="1" applyAlignment="1">
      <alignment horizontal="center"/>
    </xf>
    <xf numFmtId="166" fontId="15" fillId="0" borderId="0" xfId="108" applyNumberFormat="1" applyFont="1" applyFill="1"/>
    <xf numFmtId="10" fontId="15" fillId="0" borderId="0" xfId="108" applyNumberFormat="1" applyFont="1" applyFill="1"/>
    <xf numFmtId="166" fontId="47" fillId="0" borderId="0" xfId="108" applyNumberFormat="1" applyFont="1" applyFill="1" applyAlignment="1">
      <alignment horizontal="center"/>
    </xf>
    <xf numFmtId="10" fontId="47" fillId="0" borderId="0" xfId="108" applyNumberFormat="1" applyFont="1" applyFill="1" applyAlignment="1">
      <alignment horizontal="center"/>
    </xf>
    <xf numFmtId="10" fontId="42" fillId="0" borderId="0" xfId="108" applyNumberFormat="1" applyFont="1" applyFill="1" applyBorder="1" applyProtection="1"/>
    <xf numFmtId="10" fontId="1" fillId="0" borderId="0" xfId="108" applyNumberFormat="1" applyFont="1" applyFill="1" applyAlignment="1">
      <alignment horizontal="center"/>
    </xf>
    <xf numFmtId="10" fontId="1" fillId="0" borderId="10" xfId="91" applyFont="1" applyFill="1" applyBorder="1" applyAlignment="1">
      <alignment horizontal="center"/>
    </xf>
    <xf numFmtId="10" fontId="9" fillId="0" borderId="0" xfId="91" applyFont="1" applyFill="1" applyAlignment="1">
      <alignment horizontal="center"/>
    </xf>
    <xf numFmtId="10" fontId="9" fillId="0" borderId="0" xfId="97" applyNumberFormat="1" applyFont="1" applyFill="1" applyAlignment="1">
      <alignment horizontal="center"/>
    </xf>
    <xf numFmtId="10" fontId="9" fillId="0" borderId="10" xfId="91" applyFont="1" applyFill="1" applyBorder="1" applyAlignment="1" applyProtection="1">
      <alignment horizontal="center"/>
    </xf>
    <xf numFmtId="10" fontId="9" fillId="0" borderId="10" xfId="91" applyFont="1" applyFill="1" applyBorder="1" applyAlignment="1">
      <alignment horizontal="center"/>
    </xf>
    <xf numFmtId="10" fontId="58" fillId="0" borderId="0" xfId="91" applyFont="1" applyFill="1" applyAlignment="1" applyProtection="1">
      <alignment horizontal="center"/>
    </xf>
    <xf numFmtId="10" fontId="9" fillId="0" borderId="0" xfId="91" applyFont="1" applyFill="1" applyAlignment="1" applyProtection="1">
      <alignment horizontal="left"/>
    </xf>
    <xf numFmtId="170" fontId="35" fillId="0" borderId="0" xfId="91" applyNumberFormat="1" applyFont="1" applyAlignment="1" applyProtection="1">
      <alignment horizontal="center"/>
    </xf>
    <xf numFmtId="10" fontId="35" fillId="0" borderId="0" xfId="91" applyFont="1" applyAlignment="1" applyProtection="1">
      <alignment horizontal="center"/>
    </xf>
    <xf numFmtId="10" fontId="5" fillId="0" borderId="14" xfId="91" applyFont="1" applyFill="1" applyBorder="1" applyAlignment="1" applyProtection="1">
      <alignment horizontal="center" wrapText="1"/>
    </xf>
    <xf numFmtId="10" fontId="5" fillId="0" borderId="11" xfId="91" applyFont="1" applyFill="1" applyBorder="1" applyAlignment="1" applyProtection="1">
      <alignment horizontal="center" wrapText="1"/>
    </xf>
    <xf numFmtId="10" fontId="5" fillId="0" borderId="15" xfId="91" applyFont="1" applyFill="1" applyBorder="1" applyAlignment="1" applyProtection="1">
      <alignment horizontal="center" wrapText="1"/>
    </xf>
    <xf numFmtId="3" fontId="36" fillId="0" borderId="0" xfId="90" applyFont="1" applyAlignment="1">
      <alignment horizontal="left" wrapText="1"/>
    </xf>
    <xf numFmtId="37" fontId="36" fillId="0" borderId="0" xfId="89" applyNumberFormat="1" applyFont="1" applyBorder="1" applyAlignment="1" applyProtection="1">
      <alignment horizontal="center" wrapText="1"/>
    </xf>
    <xf numFmtId="37" fontId="36" fillId="0" borderId="10" xfId="89" applyNumberFormat="1" applyFont="1" applyBorder="1" applyAlignment="1" applyProtection="1">
      <alignment horizontal="center" wrapText="1"/>
    </xf>
  </cellXfs>
  <cellStyles count="10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2 2" xfId="106"/>
    <cellStyle name="Comma 3" xfId="57"/>
    <cellStyle name="Comma0" xfId="58"/>
    <cellStyle name="Currency 2" xfId="59"/>
    <cellStyle name="Currency 2 2" xfId="107"/>
    <cellStyle name="Currency 3" xfId="60"/>
    <cellStyle name="Currency0" xfId="61"/>
    <cellStyle name="Date" xfId="62"/>
    <cellStyle name="Explanatory Text" xfId="63" builtinId="53" customBuiltin="1"/>
    <cellStyle name="Explanatory Text 2" xfId="64"/>
    <cellStyle name="Good" xfId="65" builtinId="26" customBuiltin="1"/>
    <cellStyle name="Good 2" xfId="66"/>
    <cellStyle name="Heading 1" xfId="67" builtinId="16" customBuiltin="1"/>
    <cellStyle name="Heading 1 2" xfId="68"/>
    <cellStyle name="Heading 2" xfId="69" builtinId="17" customBuiltin="1"/>
    <cellStyle name="Heading 2 2" xfId="70"/>
    <cellStyle name="Heading 3" xfId="71" builtinId="18" customBuiltin="1"/>
    <cellStyle name="Heading 3 2" xfId="72"/>
    <cellStyle name="Heading 4" xfId="73" builtinId="19" customBuiltin="1"/>
    <cellStyle name="Heading 4 2" xfId="74"/>
    <cellStyle name="Input" xfId="75" builtinId="20" customBuiltin="1"/>
    <cellStyle name="Input 2" xfId="76"/>
    <cellStyle name="Linked Cell" xfId="77" builtinId="24" customBuiltin="1"/>
    <cellStyle name="Linked Cell 2" xfId="78"/>
    <cellStyle name="Lisa" xfId="79"/>
    <cellStyle name="Neutral" xfId="80" builtinId="28" customBuiltin="1"/>
    <cellStyle name="Neutral 2" xfId="81"/>
    <cellStyle name="Normal" xfId="0" builtinId="0"/>
    <cellStyle name="Normal 2" xfId="82"/>
    <cellStyle name="Normal 2 2" xfId="83"/>
    <cellStyle name="Normal 2 2 2" xfId="84"/>
    <cellStyle name="Normal 2 3" xfId="85"/>
    <cellStyle name="Normal 3" xfId="86"/>
    <cellStyle name="Normal_AMACAPST" xfId="87"/>
    <cellStyle name="Normal_COSTOF" xfId="88"/>
    <cellStyle name="Normal_COSTOFD" xfId="89"/>
    <cellStyle name="Normal_Psebonds" xfId="90"/>
    <cellStyle name="Normal_RATEOFRE" xfId="91"/>
    <cellStyle name="Normal_SCHEDULE" xfId="92"/>
    <cellStyle name="Note" xfId="93" builtinId="10" customBuiltin="1"/>
    <cellStyle name="Note 2" xfId="94"/>
    <cellStyle name="Output" xfId="95" builtinId="21" customBuiltin="1"/>
    <cellStyle name="Output 2" xfId="96"/>
    <cellStyle name="Percent" xfId="97" builtinId="5"/>
    <cellStyle name="Percent 2" xfId="98"/>
    <cellStyle name="Percent 2 2" xfId="108"/>
    <cellStyle name="Percent 3" xfId="99"/>
    <cellStyle name="Title" xfId="100" builtinId="15" customBuiltin="1"/>
    <cellStyle name="Title 2" xfId="101"/>
    <cellStyle name="Total" xfId="102" builtinId="25" customBuiltin="1"/>
    <cellStyle name="Total 2" xfId="103"/>
    <cellStyle name="Warning Text" xfId="104" builtinId="11" customBuiltin="1"/>
    <cellStyle name="Warning Text 2" xfId="105"/>
  </cellStyles>
  <dxfs count="0"/>
  <tableStyles count="0" defaultTableStyle="TableStyleMedium2" defaultPivotStyle="PivotStyleLight16"/>
  <colors>
    <mruColors>
      <color rgb="FF00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A17" sqref="A17"/>
    </sheetView>
  </sheetViews>
  <sheetFormatPr defaultColWidth="11.5" defaultRowHeight="12.75"/>
  <cols>
    <col min="1" max="1" width="5.6640625" style="1" bestFit="1" customWidth="1"/>
    <col min="2" max="2" width="55" style="1" bestFit="1" customWidth="1"/>
    <col min="3" max="3" width="14.83203125" style="1" customWidth="1"/>
    <col min="4" max="4" width="13.5" style="1" customWidth="1"/>
    <col min="5" max="5" width="13.1640625" style="1" customWidth="1"/>
    <col min="6" max="6" width="13.5" style="1" customWidth="1"/>
    <col min="7" max="7" width="11.5" style="1" customWidth="1"/>
    <col min="8" max="8" width="13.83203125" style="1" customWidth="1"/>
    <col min="9" max="9" width="11.1640625" style="1" customWidth="1"/>
    <col min="10" max="10" width="8.5" style="1" customWidth="1"/>
    <col min="11" max="11" width="9" style="1" customWidth="1"/>
    <col min="12" max="12" width="8.6640625" style="1" customWidth="1"/>
    <col min="13" max="16384" width="11.5" style="1"/>
  </cols>
  <sheetData>
    <row r="1" spans="1:12" ht="15.75">
      <c r="B1" s="195" t="s">
        <v>156</v>
      </c>
      <c r="C1" s="195"/>
      <c r="D1" s="195"/>
      <c r="E1" s="195"/>
      <c r="F1" s="195"/>
    </row>
    <row r="2" spans="1:12" ht="15.75">
      <c r="A2" s="196"/>
      <c r="B2" s="197" t="s">
        <v>166</v>
      </c>
      <c r="C2" s="2"/>
      <c r="D2" s="2"/>
      <c r="E2" s="2"/>
      <c r="F2" s="2"/>
    </row>
    <row r="3" spans="1:12" ht="15.75">
      <c r="B3" s="197" t="s">
        <v>2</v>
      </c>
      <c r="C3" s="197"/>
      <c r="D3" s="197"/>
      <c r="E3" s="197"/>
      <c r="F3" s="197"/>
    </row>
    <row r="4" spans="1:12" ht="15.75">
      <c r="B4" s="318" t="s">
        <v>120</v>
      </c>
      <c r="C4" s="318"/>
      <c r="D4" s="318"/>
      <c r="E4" s="318"/>
      <c r="F4" s="318"/>
      <c r="H4" s="37"/>
      <c r="L4" s="198"/>
    </row>
    <row r="5" spans="1:12">
      <c r="A5" s="256"/>
      <c r="B5" s="43"/>
      <c r="C5" s="45"/>
      <c r="D5" s="45"/>
      <c r="E5" s="45"/>
      <c r="F5" s="45"/>
      <c r="H5" s="37"/>
      <c r="L5" s="198"/>
    </row>
    <row r="6" spans="1:12">
      <c r="A6" s="3"/>
      <c r="C6" s="4"/>
      <c r="H6" s="37"/>
      <c r="L6" s="198"/>
    </row>
    <row r="7" spans="1:12">
      <c r="A7" s="247" t="s">
        <v>158</v>
      </c>
      <c r="B7" s="199"/>
      <c r="C7" s="199"/>
      <c r="D7" s="199"/>
      <c r="E7" s="199"/>
      <c r="F7" s="199"/>
      <c r="H7" s="37"/>
      <c r="L7" s="198"/>
    </row>
    <row r="8" spans="1:12">
      <c r="A8" s="253" t="s">
        <v>159</v>
      </c>
      <c r="B8" s="254" t="s">
        <v>157</v>
      </c>
      <c r="C8" s="255"/>
      <c r="D8" s="255"/>
      <c r="E8" s="255"/>
      <c r="F8" s="201"/>
      <c r="H8" s="37"/>
      <c r="L8" s="198"/>
    </row>
    <row r="9" spans="1:12">
      <c r="A9" s="246"/>
      <c r="B9" s="199"/>
      <c r="C9" s="199"/>
      <c r="D9" s="199"/>
      <c r="E9" s="199"/>
      <c r="F9" s="199"/>
      <c r="H9" s="37"/>
      <c r="L9" s="198"/>
    </row>
    <row r="10" spans="1:12">
      <c r="A10" s="246">
        <f t="shared" ref="A10:A16" si="0">A9+1</f>
        <v>1</v>
      </c>
      <c r="B10" s="248" t="s">
        <v>160</v>
      </c>
      <c r="C10" s="312">
        <f>'Pg 1 CofCap '!D21</f>
        <v>0.51500000000000001</v>
      </c>
      <c r="D10" s="313">
        <f>'Pg 1 CofCap '!E21</f>
        <v>5.5728155339805824E-2</v>
      </c>
      <c r="E10" s="310">
        <f>ROUND(C10*D10,4)</f>
        <v>2.87E-2</v>
      </c>
      <c r="F10" s="203"/>
      <c r="H10" s="37"/>
      <c r="L10" s="198"/>
    </row>
    <row r="11" spans="1:12">
      <c r="A11" s="246">
        <f t="shared" si="0"/>
        <v>2</v>
      </c>
      <c r="B11" s="248" t="s">
        <v>161</v>
      </c>
      <c r="C11" s="314">
        <f>'Pg 1 CofCap '!D22</f>
        <v>0.48499999999999999</v>
      </c>
      <c r="D11" s="315">
        <f>'Pg 1 CofCap '!E22</f>
        <v>9.8000000000000004E-2</v>
      </c>
      <c r="E11" s="311">
        <f t="shared" ref="E11" si="1">ROUND(C11*D11,4)</f>
        <v>4.7500000000000001E-2</v>
      </c>
      <c r="F11" s="204"/>
      <c r="H11" s="37"/>
      <c r="L11" s="198"/>
    </row>
    <row r="12" spans="1:12">
      <c r="A12" s="246">
        <f t="shared" si="0"/>
        <v>3</v>
      </c>
      <c r="B12" s="248" t="s">
        <v>162</v>
      </c>
      <c r="C12" s="316">
        <f>SUM(C10:C11)</f>
        <v>1</v>
      </c>
      <c r="D12" s="316"/>
      <c r="E12" s="316">
        <f>SUM(E10:E11)</f>
        <v>7.6200000000000004E-2</v>
      </c>
      <c r="F12" s="205"/>
      <c r="H12" s="37"/>
      <c r="L12" s="198"/>
    </row>
    <row r="13" spans="1:12">
      <c r="A13" s="246">
        <f t="shared" si="0"/>
        <v>4</v>
      </c>
      <c r="B13" s="206"/>
      <c r="C13" s="317"/>
      <c r="D13" s="317"/>
      <c r="E13" s="317"/>
      <c r="F13" s="206"/>
      <c r="H13" s="37"/>
      <c r="L13" s="198"/>
    </row>
    <row r="14" spans="1:12">
      <c r="A14" s="246">
        <f t="shared" si="0"/>
        <v>5</v>
      </c>
      <c r="B14" s="248" t="s">
        <v>164</v>
      </c>
      <c r="C14" s="250">
        <f>C10</f>
        <v>0.51500000000000001</v>
      </c>
      <c r="D14" s="249">
        <f>D10*0.79</f>
        <v>4.40252427184466E-2</v>
      </c>
      <c r="E14" s="202">
        <f>ROUND(E10*0.79,4)</f>
        <v>2.2700000000000001E-2</v>
      </c>
      <c r="F14" s="208"/>
      <c r="L14" s="37"/>
    </row>
    <row r="15" spans="1:12">
      <c r="A15" s="246">
        <f t="shared" si="0"/>
        <v>6</v>
      </c>
      <c r="B15" s="248" t="s">
        <v>161</v>
      </c>
      <c r="C15" s="252">
        <f>C11</f>
        <v>0.48499999999999999</v>
      </c>
      <c r="D15" s="252">
        <f>D11</f>
        <v>9.8000000000000004E-2</v>
      </c>
      <c r="E15" s="251">
        <f>ROUND(C15*D15,4)</f>
        <v>4.7500000000000001E-2</v>
      </c>
      <c r="F15" s="208"/>
      <c r="L15" s="37"/>
    </row>
    <row r="16" spans="1:12">
      <c r="A16" s="246">
        <f t="shared" si="0"/>
        <v>7</v>
      </c>
      <c r="B16" s="248" t="s">
        <v>163</v>
      </c>
      <c r="C16" s="205">
        <f>SUM(C14:C15)</f>
        <v>1</v>
      </c>
      <c r="D16" s="210"/>
      <c r="E16" s="205">
        <f>SUM(E14:E15)</f>
        <v>7.0199999999999999E-2</v>
      </c>
      <c r="F16" s="208"/>
      <c r="L16" s="37"/>
    </row>
    <row r="17" spans="1:12">
      <c r="A17" s="246"/>
      <c r="B17" s="212"/>
      <c r="C17" s="213"/>
      <c r="D17" s="208"/>
      <c r="E17" s="211"/>
      <c r="F17" s="214"/>
      <c r="H17" s="215"/>
      <c r="I17" s="216"/>
      <c r="J17" s="216"/>
      <c r="K17" s="216"/>
      <c r="L17" s="217"/>
    </row>
    <row r="18" spans="1:12">
      <c r="A18" s="246"/>
      <c r="B18" s="199"/>
      <c r="C18" s="213"/>
      <c r="D18" s="208"/>
      <c r="E18" s="211"/>
      <c r="F18" s="214"/>
      <c r="H18" s="218"/>
      <c r="I18" s="216"/>
      <c r="J18" s="216"/>
      <c r="K18" s="216"/>
      <c r="L18" s="217"/>
    </row>
    <row r="19" spans="1:12">
      <c r="A19" s="246"/>
      <c r="B19" s="212"/>
      <c r="C19" s="213"/>
      <c r="D19" s="208"/>
      <c r="E19" s="211"/>
      <c r="F19" s="214"/>
      <c r="H19" s="215"/>
      <c r="I19" s="216"/>
      <c r="J19" s="216"/>
      <c r="K19" s="216"/>
      <c r="L19" s="217"/>
    </row>
    <row r="20" spans="1:12">
      <c r="A20" s="200"/>
      <c r="B20" s="199"/>
      <c r="C20" s="213"/>
      <c r="D20" s="208"/>
      <c r="E20" s="211"/>
      <c r="F20" s="214"/>
      <c r="H20" s="215"/>
      <c r="I20" s="216"/>
      <c r="J20" s="216"/>
      <c r="K20" s="216"/>
      <c r="L20" s="217"/>
    </row>
    <row r="21" spans="1:12">
      <c r="A21" s="200"/>
      <c r="B21" s="212"/>
      <c r="C21" s="213"/>
      <c r="D21" s="208"/>
      <c r="E21" s="211"/>
      <c r="F21" s="214"/>
      <c r="H21" s="215"/>
      <c r="I21" s="216"/>
      <c r="J21" s="216"/>
      <c r="K21" s="216"/>
      <c r="L21" s="217"/>
    </row>
    <row r="22" spans="1:12">
      <c r="A22" s="200"/>
      <c r="B22" s="199"/>
      <c r="C22" s="213"/>
      <c r="D22" s="208"/>
      <c r="E22" s="211"/>
      <c r="F22" s="214"/>
      <c r="H22" s="215"/>
      <c r="I22" s="216"/>
      <c r="J22" s="216"/>
      <c r="K22" s="216"/>
      <c r="L22" s="217"/>
    </row>
    <row r="23" spans="1:12">
      <c r="A23" s="200"/>
      <c r="B23" s="212"/>
      <c r="C23" s="213"/>
      <c r="D23" s="208"/>
      <c r="E23" s="211"/>
      <c r="F23" s="214"/>
      <c r="H23" s="215"/>
      <c r="I23" s="216"/>
      <c r="J23" s="216"/>
      <c r="K23" s="216"/>
      <c r="L23" s="217"/>
    </row>
    <row r="24" spans="1:12">
      <c r="A24" s="200"/>
      <c r="B24" s="199"/>
      <c r="C24" s="213"/>
      <c r="D24" s="208"/>
      <c r="E24" s="211"/>
      <c r="F24" s="214"/>
      <c r="H24" s="215"/>
      <c r="I24" s="216"/>
      <c r="J24" s="216"/>
      <c r="K24" s="216"/>
      <c r="L24" s="217"/>
    </row>
    <row r="25" spans="1:12">
      <c r="A25" s="200"/>
      <c r="B25" s="212"/>
      <c r="C25" s="219"/>
      <c r="D25" s="208"/>
      <c r="E25" s="211"/>
      <c r="F25" s="214"/>
      <c r="H25"/>
      <c r="I25" s="216"/>
      <c r="J25" s="216"/>
      <c r="K25" s="216"/>
      <c r="L25" s="217"/>
    </row>
    <row r="26" spans="1:12">
      <c r="A26" s="200"/>
      <c r="B26" s="212"/>
      <c r="C26" s="219"/>
      <c r="D26" s="208"/>
      <c r="E26" s="207"/>
      <c r="F26" s="220"/>
      <c r="G26" s="221"/>
      <c r="H26"/>
      <c r="I26" s="216"/>
      <c r="J26" s="216"/>
      <c r="K26" s="216"/>
      <c r="L26" s="217"/>
    </row>
    <row r="27" spans="1:12">
      <c r="A27" s="200"/>
      <c r="B27" s="212"/>
      <c r="C27" s="219"/>
      <c r="D27" s="208"/>
      <c r="E27" s="211"/>
      <c r="F27" s="214"/>
      <c r="H27"/>
      <c r="I27" s="216"/>
      <c r="J27" s="216"/>
      <c r="K27" s="216"/>
      <c r="L27" s="217"/>
    </row>
    <row r="28" spans="1:12">
      <c r="A28" s="200"/>
      <c r="B28" s="222"/>
      <c r="C28" s="223"/>
      <c r="D28" s="224"/>
      <c r="E28" s="225"/>
      <c r="F28" s="226"/>
      <c r="H28"/>
      <c r="I28" s="227"/>
      <c r="J28" s="228"/>
      <c r="K28" s="229"/>
      <c r="L28" s="211"/>
    </row>
    <row r="29" spans="1:12">
      <c r="A29" s="200"/>
      <c r="B29" s="212"/>
      <c r="C29" s="220"/>
      <c r="D29" s="230"/>
      <c r="E29" s="231"/>
      <c r="F29" s="211"/>
      <c r="H29"/>
      <c r="I29" s="227"/>
      <c r="J29" s="228"/>
      <c r="K29" s="229"/>
      <c r="L29" s="211"/>
    </row>
    <row r="30" spans="1:12">
      <c r="A30" s="200"/>
      <c r="B30" s="222"/>
      <c r="C30" s="232"/>
      <c r="D30" s="233"/>
      <c r="E30" s="234"/>
      <c r="F30" s="235"/>
      <c r="H30"/>
      <c r="I30" s="236"/>
      <c r="J30" s="228"/>
      <c r="K30" s="211"/>
      <c r="L30" s="237"/>
    </row>
    <row r="31" spans="1:12">
      <c r="A31" s="200"/>
      <c r="B31" s="199"/>
      <c r="C31" s="238"/>
      <c r="D31" s="236"/>
      <c r="E31" s="239"/>
      <c r="F31" s="236"/>
      <c r="H31"/>
      <c r="I31" s="199"/>
      <c r="J31" s="199"/>
    </row>
    <row r="32" spans="1:12">
      <c r="A32" s="200"/>
      <c r="B32" s="199"/>
      <c r="C32" s="240"/>
      <c r="D32" s="199"/>
      <c r="E32" s="236"/>
      <c r="F32" s="199"/>
      <c r="H32"/>
    </row>
    <row r="33" spans="1:8">
      <c r="A33" s="200"/>
      <c r="B33" s="241"/>
      <c r="C33" s="240"/>
      <c r="D33" s="199"/>
      <c r="E33" s="242"/>
      <c r="F33" s="199"/>
      <c r="G33" s="243"/>
      <c r="H33"/>
    </row>
    <row r="34" spans="1:8">
      <c r="A34" s="244"/>
      <c r="B34" s="199"/>
      <c r="C34" s="199"/>
      <c r="D34" s="199"/>
      <c r="E34" s="199"/>
      <c r="F34" s="199"/>
    </row>
    <row r="35" spans="1:8">
      <c r="A35" s="244"/>
      <c r="B35" s="199"/>
      <c r="C35" s="209"/>
      <c r="D35" s="199"/>
      <c r="E35" s="199"/>
      <c r="F35" s="199"/>
    </row>
    <row r="36" spans="1:8">
      <c r="A36" s="244"/>
      <c r="B36" s="199"/>
      <c r="C36" s="209"/>
      <c r="D36" s="199"/>
      <c r="E36" s="199"/>
      <c r="F36" s="199"/>
    </row>
    <row r="37" spans="1:8">
      <c r="A37" s="244"/>
      <c r="B37" s="199"/>
      <c r="C37" s="209"/>
      <c r="D37" s="199"/>
      <c r="E37" s="199"/>
      <c r="F37" s="199"/>
    </row>
    <row r="38" spans="1:8">
      <c r="A38" s="244"/>
      <c r="B38" s="199"/>
      <c r="D38" s="199"/>
      <c r="E38" s="199"/>
      <c r="F38" s="199"/>
    </row>
    <row r="39" spans="1:8">
      <c r="A39" s="244"/>
      <c r="B39" s="199"/>
      <c r="C39" s="245"/>
      <c r="D39" s="199"/>
      <c r="E39" s="199"/>
      <c r="F39" s="199"/>
    </row>
    <row r="40" spans="1:8">
      <c r="A40" s="244"/>
      <c r="B40" s="199"/>
      <c r="C40" s="199"/>
      <c r="D40" s="199"/>
      <c r="E40" s="199"/>
      <c r="F40" s="199"/>
    </row>
    <row r="41" spans="1:8">
      <c r="A41" s="244"/>
      <c r="B41" s="199"/>
      <c r="C41" s="199"/>
      <c r="D41" s="199"/>
      <c r="E41" s="199"/>
      <c r="F41" s="199"/>
    </row>
    <row r="42" spans="1:8">
      <c r="B42" s="199"/>
      <c r="C42" s="199"/>
      <c r="D42" s="199"/>
      <c r="E42" s="199"/>
      <c r="F42" s="199"/>
    </row>
    <row r="43" spans="1:8">
      <c r="B43" s="199"/>
      <c r="C43" s="199"/>
      <c r="D43" s="199"/>
      <c r="E43" s="199"/>
      <c r="F43" s="199"/>
    </row>
    <row r="44" spans="1:8">
      <c r="E44" s="199"/>
    </row>
    <row r="46" spans="1:8">
      <c r="C46" s="5"/>
      <c r="D46" s="6"/>
    </row>
    <row r="47" spans="1:8">
      <c r="D47" s="6"/>
    </row>
    <row r="48" spans="1:8">
      <c r="C48" s="5"/>
      <c r="D48" s="6"/>
    </row>
    <row r="49" spans="3:4">
      <c r="C49" s="5"/>
      <c r="D49" s="6"/>
    </row>
    <row r="50" spans="3:4">
      <c r="C50" s="5"/>
      <c r="D50" s="6"/>
    </row>
    <row r="51" spans="3:4">
      <c r="C51" s="5"/>
      <c r="D51" s="6"/>
    </row>
    <row r="52" spans="3:4">
      <c r="D52" s="6"/>
    </row>
    <row r="53" spans="3:4">
      <c r="C53" s="5"/>
      <c r="D53" s="6"/>
    </row>
    <row r="54" spans="3:4">
      <c r="D54" s="7"/>
    </row>
  </sheetData>
  <mergeCells count="1">
    <mergeCell ref="B4:F4"/>
  </mergeCells>
  <pageMargins left="0.7" right="0.7" top="0.75" bottom="0.75" header="0.3" footer="0.3"/>
  <pageSetup orientation="portrait" r:id="rId1"/>
  <headerFooter>
    <oddFooter>&amp;CPg 1 Cost of Capital&amp;R&amp;F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5"/>
  <sheetViews>
    <sheetView zoomScale="115" zoomScaleNormal="115" workbookViewId="0">
      <selection activeCell="I21" sqref="I21"/>
    </sheetView>
  </sheetViews>
  <sheetFormatPr defaultColWidth="11.5" defaultRowHeight="12.75"/>
  <cols>
    <col min="1" max="1" width="3.6640625" style="1" customWidth="1"/>
    <col min="2" max="2" width="52.1640625" style="1" bestFit="1" customWidth="1"/>
    <col min="3" max="3" width="18.1640625" style="1" customWidth="1"/>
    <col min="4" max="4" width="13.5" style="1" customWidth="1"/>
    <col min="5" max="5" width="13.1640625" style="1" customWidth="1"/>
    <col min="6" max="6" width="13.5" style="1" customWidth="1"/>
    <col min="7" max="7" width="11.5" style="1" customWidth="1"/>
    <col min="8" max="8" width="13.6640625" style="1" customWidth="1"/>
    <col min="9" max="9" width="11.1640625" style="1" customWidth="1"/>
    <col min="10" max="256" width="11.5" style="1"/>
    <col min="257" max="257" width="3.6640625" style="1" customWidth="1"/>
    <col min="258" max="258" width="52.1640625" style="1" bestFit="1" customWidth="1"/>
    <col min="259" max="259" width="18.1640625" style="1" customWidth="1"/>
    <col min="260" max="260" width="13.5" style="1" customWidth="1"/>
    <col min="261" max="261" width="13.1640625" style="1" customWidth="1"/>
    <col min="262" max="262" width="13.5" style="1" customWidth="1"/>
    <col min="263" max="263" width="11.5" style="1" customWidth="1"/>
    <col min="264" max="264" width="13.6640625" style="1" customWidth="1"/>
    <col min="265" max="265" width="11.1640625" style="1" customWidth="1"/>
    <col min="266" max="512" width="11.5" style="1"/>
    <col min="513" max="513" width="3.6640625" style="1" customWidth="1"/>
    <col min="514" max="514" width="52.1640625" style="1" bestFit="1" customWidth="1"/>
    <col min="515" max="515" width="18.1640625" style="1" customWidth="1"/>
    <col min="516" max="516" width="13.5" style="1" customWidth="1"/>
    <col min="517" max="517" width="13.1640625" style="1" customWidth="1"/>
    <col min="518" max="518" width="13.5" style="1" customWidth="1"/>
    <col min="519" max="519" width="11.5" style="1" customWidth="1"/>
    <col min="520" max="520" width="13.6640625" style="1" customWidth="1"/>
    <col min="521" max="521" width="11.1640625" style="1" customWidth="1"/>
    <col min="522" max="768" width="11.5" style="1"/>
    <col min="769" max="769" width="3.6640625" style="1" customWidth="1"/>
    <col min="770" max="770" width="52.1640625" style="1" bestFit="1" customWidth="1"/>
    <col min="771" max="771" width="18.1640625" style="1" customWidth="1"/>
    <col min="772" max="772" width="13.5" style="1" customWidth="1"/>
    <col min="773" max="773" width="13.1640625" style="1" customWidth="1"/>
    <col min="774" max="774" width="13.5" style="1" customWidth="1"/>
    <col min="775" max="775" width="11.5" style="1" customWidth="1"/>
    <col min="776" max="776" width="13.6640625" style="1" customWidth="1"/>
    <col min="777" max="777" width="11.1640625" style="1" customWidth="1"/>
    <col min="778" max="1024" width="11.5" style="1"/>
    <col min="1025" max="1025" width="3.6640625" style="1" customWidth="1"/>
    <col min="1026" max="1026" width="52.1640625" style="1" bestFit="1" customWidth="1"/>
    <col min="1027" max="1027" width="18.1640625" style="1" customWidth="1"/>
    <col min="1028" max="1028" width="13.5" style="1" customWidth="1"/>
    <col min="1029" max="1029" width="13.1640625" style="1" customWidth="1"/>
    <col min="1030" max="1030" width="13.5" style="1" customWidth="1"/>
    <col min="1031" max="1031" width="11.5" style="1" customWidth="1"/>
    <col min="1032" max="1032" width="13.6640625" style="1" customWidth="1"/>
    <col min="1033" max="1033" width="11.1640625" style="1" customWidth="1"/>
    <col min="1034" max="1280" width="11.5" style="1"/>
    <col min="1281" max="1281" width="3.6640625" style="1" customWidth="1"/>
    <col min="1282" max="1282" width="52.1640625" style="1" bestFit="1" customWidth="1"/>
    <col min="1283" max="1283" width="18.1640625" style="1" customWidth="1"/>
    <col min="1284" max="1284" width="13.5" style="1" customWidth="1"/>
    <col min="1285" max="1285" width="13.1640625" style="1" customWidth="1"/>
    <col min="1286" max="1286" width="13.5" style="1" customWidth="1"/>
    <col min="1287" max="1287" width="11.5" style="1" customWidth="1"/>
    <col min="1288" max="1288" width="13.6640625" style="1" customWidth="1"/>
    <col min="1289" max="1289" width="11.1640625" style="1" customWidth="1"/>
    <col min="1290" max="1536" width="11.5" style="1"/>
    <col min="1537" max="1537" width="3.6640625" style="1" customWidth="1"/>
    <col min="1538" max="1538" width="52.1640625" style="1" bestFit="1" customWidth="1"/>
    <col min="1539" max="1539" width="18.1640625" style="1" customWidth="1"/>
    <col min="1540" max="1540" width="13.5" style="1" customWidth="1"/>
    <col min="1541" max="1541" width="13.1640625" style="1" customWidth="1"/>
    <col min="1542" max="1542" width="13.5" style="1" customWidth="1"/>
    <col min="1543" max="1543" width="11.5" style="1" customWidth="1"/>
    <col min="1544" max="1544" width="13.6640625" style="1" customWidth="1"/>
    <col min="1545" max="1545" width="11.1640625" style="1" customWidth="1"/>
    <col min="1546" max="1792" width="11.5" style="1"/>
    <col min="1793" max="1793" width="3.6640625" style="1" customWidth="1"/>
    <col min="1794" max="1794" width="52.1640625" style="1" bestFit="1" customWidth="1"/>
    <col min="1795" max="1795" width="18.1640625" style="1" customWidth="1"/>
    <col min="1796" max="1796" width="13.5" style="1" customWidth="1"/>
    <col min="1797" max="1797" width="13.1640625" style="1" customWidth="1"/>
    <col min="1798" max="1798" width="13.5" style="1" customWidth="1"/>
    <col min="1799" max="1799" width="11.5" style="1" customWidth="1"/>
    <col min="1800" max="1800" width="13.6640625" style="1" customWidth="1"/>
    <col min="1801" max="1801" width="11.1640625" style="1" customWidth="1"/>
    <col min="1802" max="2048" width="11.5" style="1"/>
    <col min="2049" max="2049" width="3.6640625" style="1" customWidth="1"/>
    <col min="2050" max="2050" width="52.1640625" style="1" bestFit="1" customWidth="1"/>
    <col min="2051" max="2051" width="18.1640625" style="1" customWidth="1"/>
    <col min="2052" max="2052" width="13.5" style="1" customWidth="1"/>
    <col min="2053" max="2053" width="13.1640625" style="1" customWidth="1"/>
    <col min="2054" max="2054" width="13.5" style="1" customWidth="1"/>
    <col min="2055" max="2055" width="11.5" style="1" customWidth="1"/>
    <col min="2056" max="2056" width="13.6640625" style="1" customWidth="1"/>
    <col min="2057" max="2057" width="11.1640625" style="1" customWidth="1"/>
    <col min="2058" max="2304" width="11.5" style="1"/>
    <col min="2305" max="2305" width="3.6640625" style="1" customWidth="1"/>
    <col min="2306" max="2306" width="52.1640625" style="1" bestFit="1" customWidth="1"/>
    <col min="2307" max="2307" width="18.1640625" style="1" customWidth="1"/>
    <col min="2308" max="2308" width="13.5" style="1" customWidth="1"/>
    <col min="2309" max="2309" width="13.1640625" style="1" customWidth="1"/>
    <col min="2310" max="2310" width="13.5" style="1" customWidth="1"/>
    <col min="2311" max="2311" width="11.5" style="1" customWidth="1"/>
    <col min="2312" max="2312" width="13.6640625" style="1" customWidth="1"/>
    <col min="2313" max="2313" width="11.1640625" style="1" customWidth="1"/>
    <col min="2314" max="2560" width="11.5" style="1"/>
    <col min="2561" max="2561" width="3.6640625" style="1" customWidth="1"/>
    <col min="2562" max="2562" width="52.1640625" style="1" bestFit="1" customWidth="1"/>
    <col min="2563" max="2563" width="18.1640625" style="1" customWidth="1"/>
    <col min="2564" max="2564" width="13.5" style="1" customWidth="1"/>
    <col min="2565" max="2565" width="13.1640625" style="1" customWidth="1"/>
    <col min="2566" max="2566" width="13.5" style="1" customWidth="1"/>
    <col min="2567" max="2567" width="11.5" style="1" customWidth="1"/>
    <col min="2568" max="2568" width="13.6640625" style="1" customWidth="1"/>
    <col min="2569" max="2569" width="11.1640625" style="1" customWidth="1"/>
    <col min="2570" max="2816" width="11.5" style="1"/>
    <col min="2817" max="2817" width="3.6640625" style="1" customWidth="1"/>
    <col min="2818" max="2818" width="52.1640625" style="1" bestFit="1" customWidth="1"/>
    <col min="2819" max="2819" width="18.1640625" style="1" customWidth="1"/>
    <col min="2820" max="2820" width="13.5" style="1" customWidth="1"/>
    <col min="2821" max="2821" width="13.1640625" style="1" customWidth="1"/>
    <col min="2822" max="2822" width="13.5" style="1" customWidth="1"/>
    <col min="2823" max="2823" width="11.5" style="1" customWidth="1"/>
    <col min="2824" max="2824" width="13.6640625" style="1" customWidth="1"/>
    <col min="2825" max="2825" width="11.1640625" style="1" customWidth="1"/>
    <col min="2826" max="3072" width="11.5" style="1"/>
    <col min="3073" max="3073" width="3.6640625" style="1" customWidth="1"/>
    <col min="3074" max="3074" width="52.1640625" style="1" bestFit="1" customWidth="1"/>
    <col min="3075" max="3075" width="18.1640625" style="1" customWidth="1"/>
    <col min="3076" max="3076" width="13.5" style="1" customWidth="1"/>
    <col min="3077" max="3077" width="13.1640625" style="1" customWidth="1"/>
    <col min="3078" max="3078" width="13.5" style="1" customWidth="1"/>
    <col min="3079" max="3079" width="11.5" style="1" customWidth="1"/>
    <col min="3080" max="3080" width="13.6640625" style="1" customWidth="1"/>
    <col min="3081" max="3081" width="11.1640625" style="1" customWidth="1"/>
    <col min="3082" max="3328" width="11.5" style="1"/>
    <col min="3329" max="3329" width="3.6640625" style="1" customWidth="1"/>
    <col min="3330" max="3330" width="52.1640625" style="1" bestFit="1" customWidth="1"/>
    <col min="3331" max="3331" width="18.1640625" style="1" customWidth="1"/>
    <col min="3332" max="3332" width="13.5" style="1" customWidth="1"/>
    <col min="3333" max="3333" width="13.1640625" style="1" customWidth="1"/>
    <col min="3334" max="3334" width="13.5" style="1" customWidth="1"/>
    <col min="3335" max="3335" width="11.5" style="1" customWidth="1"/>
    <col min="3336" max="3336" width="13.6640625" style="1" customWidth="1"/>
    <col min="3337" max="3337" width="11.1640625" style="1" customWidth="1"/>
    <col min="3338" max="3584" width="11.5" style="1"/>
    <col min="3585" max="3585" width="3.6640625" style="1" customWidth="1"/>
    <col min="3586" max="3586" width="52.1640625" style="1" bestFit="1" customWidth="1"/>
    <col min="3587" max="3587" width="18.1640625" style="1" customWidth="1"/>
    <col min="3588" max="3588" width="13.5" style="1" customWidth="1"/>
    <col min="3589" max="3589" width="13.1640625" style="1" customWidth="1"/>
    <col min="3590" max="3590" width="13.5" style="1" customWidth="1"/>
    <col min="3591" max="3591" width="11.5" style="1" customWidth="1"/>
    <col min="3592" max="3592" width="13.6640625" style="1" customWidth="1"/>
    <col min="3593" max="3593" width="11.1640625" style="1" customWidth="1"/>
    <col min="3594" max="3840" width="11.5" style="1"/>
    <col min="3841" max="3841" width="3.6640625" style="1" customWidth="1"/>
    <col min="3842" max="3842" width="52.1640625" style="1" bestFit="1" customWidth="1"/>
    <col min="3843" max="3843" width="18.1640625" style="1" customWidth="1"/>
    <col min="3844" max="3844" width="13.5" style="1" customWidth="1"/>
    <col min="3845" max="3845" width="13.1640625" style="1" customWidth="1"/>
    <col min="3846" max="3846" width="13.5" style="1" customWidth="1"/>
    <col min="3847" max="3847" width="11.5" style="1" customWidth="1"/>
    <col min="3848" max="3848" width="13.6640625" style="1" customWidth="1"/>
    <col min="3849" max="3849" width="11.1640625" style="1" customWidth="1"/>
    <col min="3850" max="4096" width="11.5" style="1"/>
    <col min="4097" max="4097" width="3.6640625" style="1" customWidth="1"/>
    <col min="4098" max="4098" width="52.1640625" style="1" bestFit="1" customWidth="1"/>
    <col min="4099" max="4099" width="18.1640625" style="1" customWidth="1"/>
    <col min="4100" max="4100" width="13.5" style="1" customWidth="1"/>
    <col min="4101" max="4101" width="13.1640625" style="1" customWidth="1"/>
    <col min="4102" max="4102" width="13.5" style="1" customWidth="1"/>
    <col min="4103" max="4103" width="11.5" style="1" customWidth="1"/>
    <col min="4104" max="4104" width="13.6640625" style="1" customWidth="1"/>
    <col min="4105" max="4105" width="11.1640625" style="1" customWidth="1"/>
    <col min="4106" max="4352" width="11.5" style="1"/>
    <col min="4353" max="4353" width="3.6640625" style="1" customWidth="1"/>
    <col min="4354" max="4354" width="52.1640625" style="1" bestFit="1" customWidth="1"/>
    <col min="4355" max="4355" width="18.1640625" style="1" customWidth="1"/>
    <col min="4356" max="4356" width="13.5" style="1" customWidth="1"/>
    <col min="4357" max="4357" width="13.1640625" style="1" customWidth="1"/>
    <col min="4358" max="4358" width="13.5" style="1" customWidth="1"/>
    <col min="4359" max="4359" width="11.5" style="1" customWidth="1"/>
    <col min="4360" max="4360" width="13.6640625" style="1" customWidth="1"/>
    <col min="4361" max="4361" width="11.1640625" style="1" customWidth="1"/>
    <col min="4362" max="4608" width="11.5" style="1"/>
    <col min="4609" max="4609" width="3.6640625" style="1" customWidth="1"/>
    <col min="4610" max="4610" width="52.1640625" style="1" bestFit="1" customWidth="1"/>
    <col min="4611" max="4611" width="18.1640625" style="1" customWidth="1"/>
    <col min="4612" max="4612" width="13.5" style="1" customWidth="1"/>
    <col min="4613" max="4613" width="13.1640625" style="1" customWidth="1"/>
    <col min="4614" max="4614" width="13.5" style="1" customWidth="1"/>
    <col min="4615" max="4615" width="11.5" style="1" customWidth="1"/>
    <col min="4616" max="4616" width="13.6640625" style="1" customWidth="1"/>
    <col min="4617" max="4617" width="11.1640625" style="1" customWidth="1"/>
    <col min="4618" max="4864" width="11.5" style="1"/>
    <col min="4865" max="4865" width="3.6640625" style="1" customWidth="1"/>
    <col min="4866" max="4866" width="52.1640625" style="1" bestFit="1" customWidth="1"/>
    <col min="4867" max="4867" width="18.1640625" style="1" customWidth="1"/>
    <col min="4868" max="4868" width="13.5" style="1" customWidth="1"/>
    <col min="4869" max="4869" width="13.1640625" style="1" customWidth="1"/>
    <col min="4870" max="4870" width="13.5" style="1" customWidth="1"/>
    <col min="4871" max="4871" width="11.5" style="1" customWidth="1"/>
    <col min="4872" max="4872" width="13.6640625" style="1" customWidth="1"/>
    <col min="4873" max="4873" width="11.1640625" style="1" customWidth="1"/>
    <col min="4874" max="5120" width="11.5" style="1"/>
    <col min="5121" max="5121" width="3.6640625" style="1" customWidth="1"/>
    <col min="5122" max="5122" width="52.1640625" style="1" bestFit="1" customWidth="1"/>
    <col min="5123" max="5123" width="18.1640625" style="1" customWidth="1"/>
    <col min="5124" max="5124" width="13.5" style="1" customWidth="1"/>
    <col min="5125" max="5125" width="13.1640625" style="1" customWidth="1"/>
    <col min="5126" max="5126" width="13.5" style="1" customWidth="1"/>
    <col min="5127" max="5127" width="11.5" style="1" customWidth="1"/>
    <col min="5128" max="5128" width="13.6640625" style="1" customWidth="1"/>
    <col min="5129" max="5129" width="11.1640625" style="1" customWidth="1"/>
    <col min="5130" max="5376" width="11.5" style="1"/>
    <col min="5377" max="5377" width="3.6640625" style="1" customWidth="1"/>
    <col min="5378" max="5378" width="52.1640625" style="1" bestFit="1" customWidth="1"/>
    <col min="5379" max="5379" width="18.1640625" style="1" customWidth="1"/>
    <col min="5380" max="5380" width="13.5" style="1" customWidth="1"/>
    <col min="5381" max="5381" width="13.1640625" style="1" customWidth="1"/>
    <col min="5382" max="5382" width="13.5" style="1" customWidth="1"/>
    <col min="5383" max="5383" width="11.5" style="1" customWidth="1"/>
    <col min="5384" max="5384" width="13.6640625" style="1" customWidth="1"/>
    <col min="5385" max="5385" width="11.1640625" style="1" customWidth="1"/>
    <col min="5386" max="5632" width="11.5" style="1"/>
    <col min="5633" max="5633" width="3.6640625" style="1" customWidth="1"/>
    <col min="5634" max="5634" width="52.1640625" style="1" bestFit="1" customWidth="1"/>
    <col min="5635" max="5635" width="18.1640625" style="1" customWidth="1"/>
    <col min="5636" max="5636" width="13.5" style="1" customWidth="1"/>
    <col min="5637" max="5637" width="13.1640625" style="1" customWidth="1"/>
    <col min="5638" max="5638" width="13.5" style="1" customWidth="1"/>
    <col min="5639" max="5639" width="11.5" style="1" customWidth="1"/>
    <col min="5640" max="5640" width="13.6640625" style="1" customWidth="1"/>
    <col min="5641" max="5641" width="11.1640625" style="1" customWidth="1"/>
    <col min="5642" max="5888" width="11.5" style="1"/>
    <col min="5889" max="5889" width="3.6640625" style="1" customWidth="1"/>
    <col min="5890" max="5890" width="52.1640625" style="1" bestFit="1" customWidth="1"/>
    <col min="5891" max="5891" width="18.1640625" style="1" customWidth="1"/>
    <col min="5892" max="5892" width="13.5" style="1" customWidth="1"/>
    <col min="5893" max="5893" width="13.1640625" style="1" customWidth="1"/>
    <col min="5894" max="5894" width="13.5" style="1" customWidth="1"/>
    <col min="5895" max="5895" width="11.5" style="1" customWidth="1"/>
    <col min="5896" max="5896" width="13.6640625" style="1" customWidth="1"/>
    <col min="5897" max="5897" width="11.1640625" style="1" customWidth="1"/>
    <col min="5898" max="6144" width="11.5" style="1"/>
    <col min="6145" max="6145" width="3.6640625" style="1" customWidth="1"/>
    <col min="6146" max="6146" width="52.1640625" style="1" bestFit="1" customWidth="1"/>
    <col min="6147" max="6147" width="18.1640625" style="1" customWidth="1"/>
    <col min="6148" max="6148" width="13.5" style="1" customWidth="1"/>
    <col min="6149" max="6149" width="13.1640625" style="1" customWidth="1"/>
    <col min="6150" max="6150" width="13.5" style="1" customWidth="1"/>
    <col min="6151" max="6151" width="11.5" style="1" customWidth="1"/>
    <col min="6152" max="6152" width="13.6640625" style="1" customWidth="1"/>
    <col min="6153" max="6153" width="11.1640625" style="1" customWidth="1"/>
    <col min="6154" max="6400" width="11.5" style="1"/>
    <col min="6401" max="6401" width="3.6640625" style="1" customWidth="1"/>
    <col min="6402" max="6402" width="52.1640625" style="1" bestFit="1" customWidth="1"/>
    <col min="6403" max="6403" width="18.1640625" style="1" customWidth="1"/>
    <col min="6404" max="6404" width="13.5" style="1" customWidth="1"/>
    <col min="6405" max="6405" width="13.1640625" style="1" customWidth="1"/>
    <col min="6406" max="6406" width="13.5" style="1" customWidth="1"/>
    <col min="6407" max="6407" width="11.5" style="1" customWidth="1"/>
    <col min="6408" max="6408" width="13.6640625" style="1" customWidth="1"/>
    <col min="6409" max="6409" width="11.1640625" style="1" customWidth="1"/>
    <col min="6410" max="6656" width="11.5" style="1"/>
    <col min="6657" max="6657" width="3.6640625" style="1" customWidth="1"/>
    <col min="6658" max="6658" width="52.1640625" style="1" bestFit="1" customWidth="1"/>
    <col min="6659" max="6659" width="18.1640625" style="1" customWidth="1"/>
    <col min="6660" max="6660" width="13.5" style="1" customWidth="1"/>
    <col min="6661" max="6661" width="13.1640625" style="1" customWidth="1"/>
    <col min="6662" max="6662" width="13.5" style="1" customWidth="1"/>
    <col min="6663" max="6663" width="11.5" style="1" customWidth="1"/>
    <col min="6664" max="6664" width="13.6640625" style="1" customWidth="1"/>
    <col min="6665" max="6665" width="11.1640625" style="1" customWidth="1"/>
    <col min="6666" max="6912" width="11.5" style="1"/>
    <col min="6913" max="6913" width="3.6640625" style="1" customWidth="1"/>
    <col min="6914" max="6914" width="52.1640625" style="1" bestFit="1" customWidth="1"/>
    <col min="6915" max="6915" width="18.1640625" style="1" customWidth="1"/>
    <col min="6916" max="6916" width="13.5" style="1" customWidth="1"/>
    <col min="6917" max="6917" width="13.1640625" style="1" customWidth="1"/>
    <col min="6918" max="6918" width="13.5" style="1" customWidth="1"/>
    <col min="6919" max="6919" width="11.5" style="1" customWidth="1"/>
    <col min="6920" max="6920" width="13.6640625" style="1" customWidth="1"/>
    <col min="6921" max="6921" width="11.1640625" style="1" customWidth="1"/>
    <col min="6922" max="7168" width="11.5" style="1"/>
    <col min="7169" max="7169" width="3.6640625" style="1" customWidth="1"/>
    <col min="7170" max="7170" width="52.1640625" style="1" bestFit="1" customWidth="1"/>
    <col min="7171" max="7171" width="18.1640625" style="1" customWidth="1"/>
    <col min="7172" max="7172" width="13.5" style="1" customWidth="1"/>
    <col min="7173" max="7173" width="13.1640625" style="1" customWidth="1"/>
    <col min="7174" max="7174" width="13.5" style="1" customWidth="1"/>
    <col min="7175" max="7175" width="11.5" style="1" customWidth="1"/>
    <col min="7176" max="7176" width="13.6640625" style="1" customWidth="1"/>
    <col min="7177" max="7177" width="11.1640625" style="1" customWidth="1"/>
    <col min="7178" max="7424" width="11.5" style="1"/>
    <col min="7425" max="7425" width="3.6640625" style="1" customWidth="1"/>
    <col min="7426" max="7426" width="52.1640625" style="1" bestFit="1" customWidth="1"/>
    <col min="7427" max="7427" width="18.1640625" style="1" customWidth="1"/>
    <col min="7428" max="7428" width="13.5" style="1" customWidth="1"/>
    <col min="7429" max="7429" width="13.1640625" style="1" customWidth="1"/>
    <col min="7430" max="7430" width="13.5" style="1" customWidth="1"/>
    <col min="7431" max="7431" width="11.5" style="1" customWidth="1"/>
    <col min="7432" max="7432" width="13.6640625" style="1" customWidth="1"/>
    <col min="7433" max="7433" width="11.1640625" style="1" customWidth="1"/>
    <col min="7434" max="7680" width="11.5" style="1"/>
    <col min="7681" max="7681" width="3.6640625" style="1" customWidth="1"/>
    <col min="7682" max="7682" width="52.1640625" style="1" bestFit="1" customWidth="1"/>
    <col min="7683" max="7683" width="18.1640625" style="1" customWidth="1"/>
    <col min="7684" max="7684" width="13.5" style="1" customWidth="1"/>
    <col min="7685" max="7685" width="13.1640625" style="1" customWidth="1"/>
    <col min="7686" max="7686" width="13.5" style="1" customWidth="1"/>
    <col min="7687" max="7687" width="11.5" style="1" customWidth="1"/>
    <col min="7688" max="7688" width="13.6640625" style="1" customWidth="1"/>
    <col min="7689" max="7689" width="11.1640625" style="1" customWidth="1"/>
    <col min="7690" max="7936" width="11.5" style="1"/>
    <col min="7937" max="7937" width="3.6640625" style="1" customWidth="1"/>
    <col min="7938" max="7938" width="52.1640625" style="1" bestFit="1" customWidth="1"/>
    <col min="7939" max="7939" width="18.1640625" style="1" customWidth="1"/>
    <col min="7940" max="7940" width="13.5" style="1" customWidth="1"/>
    <col min="7941" max="7941" width="13.1640625" style="1" customWidth="1"/>
    <col min="7942" max="7942" width="13.5" style="1" customWidth="1"/>
    <col min="7943" max="7943" width="11.5" style="1" customWidth="1"/>
    <col min="7944" max="7944" width="13.6640625" style="1" customWidth="1"/>
    <col min="7945" max="7945" width="11.1640625" style="1" customWidth="1"/>
    <col min="7946" max="8192" width="11.5" style="1"/>
    <col min="8193" max="8193" width="3.6640625" style="1" customWidth="1"/>
    <col min="8194" max="8194" width="52.1640625" style="1" bestFit="1" customWidth="1"/>
    <col min="8195" max="8195" width="18.1640625" style="1" customWidth="1"/>
    <col min="8196" max="8196" width="13.5" style="1" customWidth="1"/>
    <col min="8197" max="8197" width="13.1640625" style="1" customWidth="1"/>
    <col min="8198" max="8198" width="13.5" style="1" customWidth="1"/>
    <col min="8199" max="8199" width="11.5" style="1" customWidth="1"/>
    <col min="8200" max="8200" width="13.6640625" style="1" customWidth="1"/>
    <col min="8201" max="8201" width="11.1640625" style="1" customWidth="1"/>
    <col min="8202" max="8448" width="11.5" style="1"/>
    <col min="8449" max="8449" width="3.6640625" style="1" customWidth="1"/>
    <col min="8450" max="8450" width="52.1640625" style="1" bestFit="1" customWidth="1"/>
    <col min="8451" max="8451" width="18.1640625" style="1" customWidth="1"/>
    <col min="8452" max="8452" width="13.5" style="1" customWidth="1"/>
    <col min="8453" max="8453" width="13.1640625" style="1" customWidth="1"/>
    <col min="8454" max="8454" width="13.5" style="1" customWidth="1"/>
    <col min="8455" max="8455" width="11.5" style="1" customWidth="1"/>
    <col min="8456" max="8456" width="13.6640625" style="1" customWidth="1"/>
    <col min="8457" max="8457" width="11.1640625" style="1" customWidth="1"/>
    <col min="8458" max="8704" width="11.5" style="1"/>
    <col min="8705" max="8705" width="3.6640625" style="1" customWidth="1"/>
    <col min="8706" max="8706" width="52.1640625" style="1" bestFit="1" customWidth="1"/>
    <col min="8707" max="8707" width="18.1640625" style="1" customWidth="1"/>
    <col min="8708" max="8708" width="13.5" style="1" customWidth="1"/>
    <col min="8709" max="8709" width="13.1640625" style="1" customWidth="1"/>
    <col min="8710" max="8710" width="13.5" style="1" customWidth="1"/>
    <col min="8711" max="8711" width="11.5" style="1" customWidth="1"/>
    <col min="8712" max="8712" width="13.6640625" style="1" customWidth="1"/>
    <col min="8713" max="8713" width="11.1640625" style="1" customWidth="1"/>
    <col min="8714" max="8960" width="11.5" style="1"/>
    <col min="8961" max="8961" width="3.6640625" style="1" customWidth="1"/>
    <col min="8962" max="8962" width="52.1640625" style="1" bestFit="1" customWidth="1"/>
    <col min="8963" max="8963" width="18.1640625" style="1" customWidth="1"/>
    <col min="8964" max="8964" width="13.5" style="1" customWidth="1"/>
    <col min="8965" max="8965" width="13.1640625" style="1" customWidth="1"/>
    <col min="8966" max="8966" width="13.5" style="1" customWidth="1"/>
    <col min="8967" max="8967" width="11.5" style="1" customWidth="1"/>
    <col min="8968" max="8968" width="13.6640625" style="1" customWidth="1"/>
    <col min="8969" max="8969" width="11.1640625" style="1" customWidth="1"/>
    <col min="8970" max="9216" width="11.5" style="1"/>
    <col min="9217" max="9217" width="3.6640625" style="1" customWidth="1"/>
    <col min="9218" max="9218" width="52.1640625" style="1" bestFit="1" customWidth="1"/>
    <col min="9219" max="9219" width="18.1640625" style="1" customWidth="1"/>
    <col min="9220" max="9220" width="13.5" style="1" customWidth="1"/>
    <col min="9221" max="9221" width="13.1640625" style="1" customWidth="1"/>
    <col min="9222" max="9222" width="13.5" style="1" customWidth="1"/>
    <col min="9223" max="9223" width="11.5" style="1" customWidth="1"/>
    <col min="9224" max="9224" width="13.6640625" style="1" customWidth="1"/>
    <col min="9225" max="9225" width="11.1640625" style="1" customWidth="1"/>
    <col min="9226" max="9472" width="11.5" style="1"/>
    <col min="9473" max="9473" width="3.6640625" style="1" customWidth="1"/>
    <col min="9474" max="9474" width="52.1640625" style="1" bestFit="1" customWidth="1"/>
    <col min="9475" max="9475" width="18.1640625" style="1" customWidth="1"/>
    <col min="9476" max="9476" width="13.5" style="1" customWidth="1"/>
    <col min="9477" max="9477" width="13.1640625" style="1" customWidth="1"/>
    <col min="9478" max="9478" width="13.5" style="1" customWidth="1"/>
    <col min="9479" max="9479" width="11.5" style="1" customWidth="1"/>
    <col min="9480" max="9480" width="13.6640625" style="1" customWidth="1"/>
    <col min="9481" max="9481" width="11.1640625" style="1" customWidth="1"/>
    <col min="9482" max="9728" width="11.5" style="1"/>
    <col min="9729" max="9729" width="3.6640625" style="1" customWidth="1"/>
    <col min="9730" max="9730" width="52.1640625" style="1" bestFit="1" customWidth="1"/>
    <col min="9731" max="9731" width="18.1640625" style="1" customWidth="1"/>
    <col min="9732" max="9732" width="13.5" style="1" customWidth="1"/>
    <col min="9733" max="9733" width="13.1640625" style="1" customWidth="1"/>
    <col min="9734" max="9734" width="13.5" style="1" customWidth="1"/>
    <col min="9735" max="9735" width="11.5" style="1" customWidth="1"/>
    <col min="9736" max="9736" width="13.6640625" style="1" customWidth="1"/>
    <col min="9737" max="9737" width="11.1640625" style="1" customWidth="1"/>
    <col min="9738" max="9984" width="11.5" style="1"/>
    <col min="9985" max="9985" width="3.6640625" style="1" customWidth="1"/>
    <col min="9986" max="9986" width="52.1640625" style="1" bestFit="1" customWidth="1"/>
    <col min="9987" max="9987" width="18.1640625" style="1" customWidth="1"/>
    <col min="9988" max="9988" width="13.5" style="1" customWidth="1"/>
    <col min="9989" max="9989" width="13.1640625" style="1" customWidth="1"/>
    <col min="9990" max="9990" width="13.5" style="1" customWidth="1"/>
    <col min="9991" max="9991" width="11.5" style="1" customWidth="1"/>
    <col min="9992" max="9992" width="13.6640625" style="1" customWidth="1"/>
    <col min="9993" max="9993" width="11.1640625" style="1" customWidth="1"/>
    <col min="9994" max="10240" width="11.5" style="1"/>
    <col min="10241" max="10241" width="3.6640625" style="1" customWidth="1"/>
    <col min="10242" max="10242" width="52.1640625" style="1" bestFit="1" customWidth="1"/>
    <col min="10243" max="10243" width="18.1640625" style="1" customWidth="1"/>
    <col min="10244" max="10244" width="13.5" style="1" customWidth="1"/>
    <col min="10245" max="10245" width="13.1640625" style="1" customWidth="1"/>
    <col min="10246" max="10246" width="13.5" style="1" customWidth="1"/>
    <col min="10247" max="10247" width="11.5" style="1" customWidth="1"/>
    <col min="10248" max="10248" width="13.6640625" style="1" customWidth="1"/>
    <col min="10249" max="10249" width="11.1640625" style="1" customWidth="1"/>
    <col min="10250" max="10496" width="11.5" style="1"/>
    <col min="10497" max="10497" width="3.6640625" style="1" customWidth="1"/>
    <col min="10498" max="10498" width="52.1640625" style="1" bestFit="1" customWidth="1"/>
    <col min="10499" max="10499" width="18.1640625" style="1" customWidth="1"/>
    <col min="10500" max="10500" width="13.5" style="1" customWidth="1"/>
    <col min="10501" max="10501" width="13.1640625" style="1" customWidth="1"/>
    <col min="10502" max="10502" width="13.5" style="1" customWidth="1"/>
    <col min="10503" max="10503" width="11.5" style="1" customWidth="1"/>
    <col min="10504" max="10504" width="13.6640625" style="1" customWidth="1"/>
    <col min="10505" max="10505" width="11.1640625" style="1" customWidth="1"/>
    <col min="10506" max="10752" width="11.5" style="1"/>
    <col min="10753" max="10753" width="3.6640625" style="1" customWidth="1"/>
    <col min="10754" max="10754" width="52.1640625" style="1" bestFit="1" customWidth="1"/>
    <col min="10755" max="10755" width="18.1640625" style="1" customWidth="1"/>
    <col min="10756" max="10756" width="13.5" style="1" customWidth="1"/>
    <col min="10757" max="10757" width="13.1640625" style="1" customWidth="1"/>
    <col min="10758" max="10758" width="13.5" style="1" customWidth="1"/>
    <col min="10759" max="10759" width="11.5" style="1" customWidth="1"/>
    <col min="10760" max="10760" width="13.6640625" style="1" customWidth="1"/>
    <col min="10761" max="10761" width="11.1640625" style="1" customWidth="1"/>
    <col min="10762" max="11008" width="11.5" style="1"/>
    <col min="11009" max="11009" width="3.6640625" style="1" customWidth="1"/>
    <col min="11010" max="11010" width="52.1640625" style="1" bestFit="1" customWidth="1"/>
    <col min="11011" max="11011" width="18.1640625" style="1" customWidth="1"/>
    <col min="11012" max="11012" width="13.5" style="1" customWidth="1"/>
    <col min="11013" max="11013" width="13.1640625" style="1" customWidth="1"/>
    <col min="11014" max="11014" width="13.5" style="1" customWidth="1"/>
    <col min="11015" max="11015" width="11.5" style="1" customWidth="1"/>
    <col min="11016" max="11016" width="13.6640625" style="1" customWidth="1"/>
    <col min="11017" max="11017" width="11.1640625" style="1" customWidth="1"/>
    <col min="11018" max="11264" width="11.5" style="1"/>
    <col min="11265" max="11265" width="3.6640625" style="1" customWidth="1"/>
    <col min="11266" max="11266" width="52.1640625" style="1" bestFit="1" customWidth="1"/>
    <col min="11267" max="11267" width="18.1640625" style="1" customWidth="1"/>
    <col min="11268" max="11268" width="13.5" style="1" customWidth="1"/>
    <col min="11269" max="11269" width="13.1640625" style="1" customWidth="1"/>
    <col min="11270" max="11270" width="13.5" style="1" customWidth="1"/>
    <col min="11271" max="11271" width="11.5" style="1" customWidth="1"/>
    <col min="11272" max="11272" width="13.6640625" style="1" customWidth="1"/>
    <col min="11273" max="11273" width="11.1640625" style="1" customWidth="1"/>
    <col min="11274" max="11520" width="11.5" style="1"/>
    <col min="11521" max="11521" width="3.6640625" style="1" customWidth="1"/>
    <col min="11522" max="11522" width="52.1640625" style="1" bestFit="1" customWidth="1"/>
    <col min="11523" max="11523" width="18.1640625" style="1" customWidth="1"/>
    <col min="11524" max="11524" width="13.5" style="1" customWidth="1"/>
    <col min="11525" max="11525" width="13.1640625" style="1" customWidth="1"/>
    <col min="11526" max="11526" width="13.5" style="1" customWidth="1"/>
    <col min="11527" max="11527" width="11.5" style="1" customWidth="1"/>
    <col min="11528" max="11528" width="13.6640625" style="1" customWidth="1"/>
    <col min="11529" max="11529" width="11.1640625" style="1" customWidth="1"/>
    <col min="11530" max="11776" width="11.5" style="1"/>
    <col min="11777" max="11777" width="3.6640625" style="1" customWidth="1"/>
    <col min="11778" max="11778" width="52.1640625" style="1" bestFit="1" customWidth="1"/>
    <col min="11779" max="11779" width="18.1640625" style="1" customWidth="1"/>
    <col min="11780" max="11780" width="13.5" style="1" customWidth="1"/>
    <col min="11781" max="11781" width="13.1640625" style="1" customWidth="1"/>
    <col min="11782" max="11782" width="13.5" style="1" customWidth="1"/>
    <col min="11783" max="11783" width="11.5" style="1" customWidth="1"/>
    <col min="11784" max="11784" width="13.6640625" style="1" customWidth="1"/>
    <col min="11785" max="11785" width="11.1640625" style="1" customWidth="1"/>
    <col min="11786" max="12032" width="11.5" style="1"/>
    <col min="12033" max="12033" width="3.6640625" style="1" customWidth="1"/>
    <col min="12034" max="12034" width="52.1640625" style="1" bestFit="1" customWidth="1"/>
    <col min="12035" max="12035" width="18.1640625" style="1" customWidth="1"/>
    <col min="12036" max="12036" width="13.5" style="1" customWidth="1"/>
    <col min="12037" max="12037" width="13.1640625" style="1" customWidth="1"/>
    <col min="12038" max="12038" width="13.5" style="1" customWidth="1"/>
    <col min="12039" max="12039" width="11.5" style="1" customWidth="1"/>
    <col min="12040" max="12040" width="13.6640625" style="1" customWidth="1"/>
    <col min="12041" max="12041" width="11.1640625" style="1" customWidth="1"/>
    <col min="12042" max="12288" width="11.5" style="1"/>
    <col min="12289" max="12289" width="3.6640625" style="1" customWidth="1"/>
    <col min="12290" max="12290" width="52.1640625" style="1" bestFit="1" customWidth="1"/>
    <col min="12291" max="12291" width="18.1640625" style="1" customWidth="1"/>
    <col min="12292" max="12292" width="13.5" style="1" customWidth="1"/>
    <col min="12293" max="12293" width="13.1640625" style="1" customWidth="1"/>
    <col min="12294" max="12294" width="13.5" style="1" customWidth="1"/>
    <col min="12295" max="12295" width="11.5" style="1" customWidth="1"/>
    <col min="12296" max="12296" width="13.6640625" style="1" customWidth="1"/>
    <col min="12297" max="12297" width="11.1640625" style="1" customWidth="1"/>
    <col min="12298" max="12544" width="11.5" style="1"/>
    <col min="12545" max="12545" width="3.6640625" style="1" customWidth="1"/>
    <col min="12546" max="12546" width="52.1640625" style="1" bestFit="1" customWidth="1"/>
    <col min="12547" max="12547" width="18.1640625" style="1" customWidth="1"/>
    <col min="12548" max="12548" width="13.5" style="1" customWidth="1"/>
    <col min="12549" max="12549" width="13.1640625" style="1" customWidth="1"/>
    <col min="12550" max="12550" width="13.5" style="1" customWidth="1"/>
    <col min="12551" max="12551" width="11.5" style="1" customWidth="1"/>
    <col min="12552" max="12552" width="13.6640625" style="1" customWidth="1"/>
    <col min="12553" max="12553" width="11.1640625" style="1" customWidth="1"/>
    <col min="12554" max="12800" width="11.5" style="1"/>
    <col min="12801" max="12801" width="3.6640625" style="1" customWidth="1"/>
    <col min="12802" max="12802" width="52.1640625" style="1" bestFit="1" customWidth="1"/>
    <col min="12803" max="12803" width="18.1640625" style="1" customWidth="1"/>
    <col min="12804" max="12804" width="13.5" style="1" customWidth="1"/>
    <col min="12805" max="12805" width="13.1640625" style="1" customWidth="1"/>
    <col min="12806" max="12806" width="13.5" style="1" customWidth="1"/>
    <col min="12807" max="12807" width="11.5" style="1" customWidth="1"/>
    <col min="12808" max="12808" width="13.6640625" style="1" customWidth="1"/>
    <col min="12809" max="12809" width="11.1640625" style="1" customWidth="1"/>
    <col min="12810" max="13056" width="11.5" style="1"/>
    <col min="13057" max="13057" width="3.6640625" style="1" customWidth="1"/>
    <col min="13058" max="13058" width="52.1640625" style="1" bestFit="1" customWidth="1"/>
    <col min="13059" max="13059" width="18.1640625" style="1" customWidth="1"/>
    <col min="13060" max="13060" width="13.5" style="1" customWidth="1"/>
    <col min="13061" max="13061" width="13.1640625" style="1" customWidth="1"/>
    <col min="13062" max="13062" width="13.5" style="1" customWidth="1"/>
    <col min="13063" max="13063" width="11.5" style="1" customWidth="1"/>
    <col min="13064" max="13064" width="13.6640625" style="1" customWidth="1"/>
    <col min="13065" max="13065" width="11.1640625" style="1" customWidth="1"/>
    <col min="13066" max="13312" width="11.5" style="1"/>
    <col min="13313" max="13313" width="3.6640625" style="1" customWidth="1"/>
    <col min="13314" max="13314" width="52.1640625" style="1" bestFit="1" customWidth="1"/>
    <col min="13315" max="13315" width="18.1640625" style="1" customWidth="1"/>
    <col min="13316" max="13316" width="13.5" style="1" customWidth="1"/>
    <col min="13317" max="13317" width="13.1640625" style="1" customWidth="1"/>
    <col min="13318" max="13318" width="13.5" style="1" customWidth="1"/>
    <col min="13319" max="13319" width="11.5" style="1" customWidth="1"/>
    <col min="13320" max="13320" width="13.6640625" style="1" customWidth="1"/>
    <col min="13321" max="13321" width="11.1640625" style="1" customWidth="1"/>
    <col min="13322" max="13568" width="11.5" style="1"/>
    <col min="13569" max="13569" width="3.6640625" style="1" customWidth="1"/>
    <col min="13570" max="13570" width="52.1640625" style="1" bestFit="1" customWidth="1"/>
    <col min="13571" max="13571" width="18.1640625" style="1" customWidth="1"/>
    <col min="13572" max="13572" width="13.5" style="1" customWidth="1"/>
    <col min="13573" max="13573" width="13.1640625" style="1" customWidth="1"/>
    <col min="13574" max="13574" width="13.5" style="1" customWidth="1"/>
    <col min="13575" max="13575" width="11.5" style="1" customWidth="1"/>
    <col min="13576" max="13576" width="13.6640625" style="1" customWidth="1"/>
    <col min="13577" max="13577" width="11.1640625" style="1" customWidth="1"/>
    <col min="13578" max="13824" width="11.5" style="1"/>
    <col min="13825" max="13825" width="3.6640625" style="1" customWidth="1"/>
    <col min="13826" max="13826" width="52.1640625" style="1" bestFit="1" customWidth="1"/>
    <col min="13827" max="13827" width="18.1640625" style="1" customWidth="1"/>
    <col min="13828" max="13828" width="13.5" style="1" customWidth="1"/>
    <col min="13829" max="13829" width="13.1640625" style="1" customWidth="1"/>
    <col min="13830" max="13830" width="13.5" style="1" customWidth="1"/>
    <col min="13831" max="13831" width="11.5" style="1" customWidth="1"/>
    <col min="13832" max="13832" width="13.6640625" style="1" customWidth="1"/>
    <col min="13833" max="13833" width="11.1640625" style="1" customWidth="1"/>
    <col min="13834" max="14080" width="11.5" style="1"/>
    <col min="14081" max="14081" width="3.6640625" style="1" customWidth="1"/>
    <col min="14082" max="14082" width="52.1640625" style="1" bestFit="1" customWidth="1"/>
    <col min="14083" max="14083" width="18.1640625" style="1" customWidth="1"/>
    <col min="14084" max="14084" width="13.5" style="1" customWidth="1"/>
    <col min="14085" max="14085" width="13.1640625" style="1" customWidth="1"/>
    <col min="14086" max="14086" width="13.5" style="1" customWidth="1"/>
    <col min="14087" max="14087" width="11.5" style="1" customWidth="1"/>
    <col min="14088" max="14088" width="13.6640625" style="1" customWidth="1"/>
    <col min="14089" max="14089" width="11.1640625" style="1" customWidth="1"/>
    <col min="14090" max="14336" width="11.5" style="1"/>
    <col min="14337" max="14337" width="3.6640625" style="1" customWidth="1"/>
    <col min="14338" max="14338" width="52.1640625" style="1" bestFit="1" customWidth="1"/>
    <col min="14339" max="14339" width="18.1640625" style="1" customWidth="1"/>
    <col min="14340" max="14340" width="13.5" style="1" customWidth="1"/>
    <col min="14341" max="14341" width="13.1640625" style="1" customWidth="1"/>
    <col min="14342" max="14342" width="13.5" style="1" customWidth="1"/>
    <col min="14343" max="14343" width="11.5" style="1" customWidth="1"/>
    <col min="14344" max="14344" width="13.6640625" style="1" customWidth="1"/>
    <col min="14345" max="14345" width="11.1640625" style="1" customWidth="1"/>
    <col min="14346" max="14592" width="11.5" style="1"/>
    <col min="14593" max="14593" width="3.6640625" style="1" customWidth="1"/>
    <col min="14594" max="14594" width="52.1640625" style="1" bestFit="1" customWidth="1"/>
    <col min="14595" max="14595" width="18.1640625" style="1" customWidth="1"/>
    <col min="14596" max="14596" width="13.5" style="1" customWidth="1"/>
    <col min="14597" max="14597" width="13.1640625" style="1" customWidth="1"/>
    <col min="14598" max="14598" width="13.5" style="1" customWidth="1"/>
    <col min="14599" max="14599" width="11.5" style="1" customWidth="1"/>
    <col min="14600" max="14600" width="13.6640625" style="1" customWidth="1"/>
    <col min="14601" max="14601" width="11.1640625" style="1" customWidth="1"/>
    <col min="14602" max="14848" width="11.5" style="1"/>
    <col min="14849" max="14849" width="3.6640625" style="1" customWidth="1"/>
    <col min="14850" max="14850" width="52.1640625" style="1" bestFit="1" customWidth="1"/>
    <col min="14851" max="14851" width="18.1640625" style="1" customWidth="1"/>
    <col min="14852" max="14852" width="13.5" style="1" customWidth="1"/>
    <col min="14853" max="14853" width="13.1640625" style="1" customWidth="1"/>
    <col min="14854" max="14854" width="13.5" style="1" customWidth="1"/>
    <col min="14855" max="14855" width="11.5" style="1" customWidth="1"/>
    <col min="14856" max="14856" width="13.6640625" style="1" customWidth="1"/>
    <col min="14857" max="14857" width="11.1640625" style="1" customWidth="1"/>
    <col min="14858" max="15104" width="11.5" style="1"/>
    <col min="15105" max="15105" width="3.6640625" style="1" customWidth="1"/>
    <col min="15106" max="15106" width="52.1640625" style="1" bestFit="1" customWidth="1"/>
    <col min="15107" max="15107" width="18.1640625" style="1" customWidth="1"/>
    <col min="15108" max="15108" width="13.5" style="1" customWidth="1"/>
    <col min="15109" max="15109" width="13.1640625" style="1" customWidth="1"/>
    <col min="15110" max="15110" width="13.5" style="1" customWidth="1"/>
    <col min="15111" max="15111" width="11.5" style="1" customWidth="1"/>
    <col min="15112" max="15112" width="13.6640625" style="1" customWidth="1"/>
    <col min="15113" max="15113" width="11.1640625" style="1" customWidth="1"/>
    <col min="15114" max="15360" width="11.5" style="1"/>
    <col min="15361" max="15361" width="3.6640625" style="1" customWidth="1"/>
    <col min="15362" max="15362" width="52.1640625" style="1" bestFit="1" customWidth="1"/>
    <col min="15363" max="15363" width="18.1640625" style="1" customWidth="1"/>
    <col min="15364" max="15364" width="13.5" style="1" customWidth="1"/>
    <col min="15365" max="15365" width="13.1640625" style="1" customWidth="1"/>
    <col min="15366" max="15366" width="13.5" style="1" customWidth="1"/>
    <col min="15367" max="15367" width="11.5" style="1" customWidth="1"/>
    <col min="15368" max="15368" width="13.6640625" style="1" customWidth="1"/>
    <col min="15369" max="15369" width="11.1640625" style="1" customWidth="1"/>
    <col min="15370" max="15616" width="11.5" style="1"/>
    <col min="15617" max="15617" width="3.6640625" style="1" customWidth="1"/>
    <col min="15618" max="15618" width="52.1640625" style="1" bestFit="1" customWidth="1"/>
    <col min="15619" max="15619" width="18.1640625" style="1" customWidth="1"/>
    <col min="15620" max="15620" width="13.5" style="1" customWidth="1"/>
    <col min="15621" max="15621" width="13.1640625" style="1" customWidth="1"/>
    <col min="15622" max="15622" width="13.5" style="1" customWidth="1"/>
    <col min="15623" max="15623" width="11.5" style="1" customWidth="1"/>
    <col min="15624" max="15624" width="13.6640625" style="1" customWidth="1"/>
    <col min="15625" max="15625" width="11.1640625" style="1" customWidth="1"/>
    <col min="15626" max="15872" width="11.5" style="1"/>
    <col min="15873" max="15873" width="3.6640625" style="1" customWidth="1"/>
    <col min="15874" max="15874" width="52.1640625" style="1" bestFit="1" customWidth="1"/>
    <col min="15875" max="15875" width="18.1640625" style="1" customWidth="1"/>
    <col min="15876" max="15876" width="13.5" style="1" customWidth="1"/>
    <col min="15877" max="15877" width="13.1640625" style="1" customWidth="1"/>
    <col min="15878" max="15878" width="13.5" style="1" customWidth="1"/>
    <col min="15879" max="15879" width="11.5" style="1" customWidth="1"/>
    <col min="15880" max="15880" width="13.6640625" style="1" customWidth="1"/>
    <col min="15881" max="15881" width="11.1640625" style="1" customWidth="1"/>
    <col min="15882" max="16128" width="11.5" style="1"/>
    <col min="16129" max="16129" width="3.6640625" style="1" customWidth="1"/>
    <col min="16130" max="16130" width="52.1640625" style="1" bestFit="1" customWidth="1"/>
    <col min="16131" max="16131" width="18.1640625" style="1" customWidth="1"/>
    <col min="16132" max="16132" width="13.5" style="1" customWidth="1"/>
    <col min="16133" max="16133" width="13.1640625" style="1" customWidth="1"/>
    <col min="16134" max="16134" width="13.5" style="1" customWidth="1"/>
    <col min="16135" max="16135" width="11.5" style="1" customWidth="1"/>
    <col min="16136" max="16136" width="13.6640625" style="1" customWidth="1"/>
    <col min="16137" max="16137" width="11.1640625" style="1" customWidth="1"/>
    <col min="16138" max="16384" width="11.5" style="1"/>
  </cols>
  <sheetData>
    <row r="1" spans="1:8" ht="15.75">
      <c r="B1" s="259" t="s">
        <v>136</v>
      </c>
      <c r="C1" s="259"/>
      <c r="D1" s="259"/>
      <c r="E1" s="259"/>
      <c r="F1" s="259"/>
    </row>
    <row r="2" spans="1:8">
      <c r="A2" s="260"/>
      <c r="B2" s="2"/>
      <c r="C2" s="2"/>
      <c r="D2" s="2"/>
      <c r="E2" s="2"/>
      <c r="F2" s="2"/>
    </row>
    <row r="3" spans="1:8" ht="15.75">
      <c r="B3" s="319" t="s">
        <v>2</v>
      </c>
      <c r="C3" s="319"/>
      <c r="D3" s="319"/>
      <c r="E3" s="319"/>
      <c r="F3" s="319"/>
    </row>
    <row r="4" spans="1:8" ht="15.6" customHeight="1">
      <c r="B4" s="318" t="s">
        <v>120</v>
      </c>
      <c r="C4" s="318"/>
      <c r="D4" s="318"/>
      <c r="E4" s="318"/>
      <c r="F4" s="318"/>
      <c r="H4" s="37"/>
    </row>
    <row r="5" spans="1:8">
      <c r="A5" s="45" t="s">
        <v>143</v>
      </c>
      <c r="B5" s="43"/>
      <c r="C5" s="45"/>
      <c r="D5" s="45"/>
      <c r="E5" s="45"/>
      <c r="F5" s="45"/>
      <c r="H5" s="37"/>
    </row>
    <row r="6" spans="1:8">
      <c r="A6" s="3"/>
      <c r="C6" s="4"/>
      <c r="H6" s="37"/>
    </row>
    <row r="7" spans="1:8">
      <c r="A7" s="3"/>
      <c r="H7" s="37"/>
    </row>
    <row r="8" spans="1:8">
      <c r="A8" s="46">
        <v>1</v>
      </c>
      <c r="B8" s="47" t="s">
        <v>1</v>
      </c>
      <c r="C8" s="47" t="s">
        <v>16</v>
      </c>
      <c r="D8" s="47" t="s">
        <v>26</v>
      </c>
      <c r="E8" s="47" t="s">
        <v>28</v>
      </c>
      <c r="F8" s="47" t="s">
        <v>29</v>
      </c>
      <c r="H8" s="37"/>
    </row>
    <row r="9" spans="1:8">
      <c r="A9" s="46">
        <f t="shared" ref="A9:A23" si="0">A8+1</f>
        <v>2</v>
      </c>
      <c r="B9" s="320" t="s">
        <v>121</v>
      </c>
      <c r="C9" s="321"/>
      <c r="D9" s="321"/>
      <c r="E9" s="321"/>
      <c r="F9" s="322"/>
      <c r="H9" s="37"/>
    </row>
    <row r="10" spans="1:8">
      <c r="A10" s="46">
        <f t="shared" si="0"/>
        <v>3</v>
      </c>
      <c r="B10" s="261"/>
      <c r="C10" s="261"/>
      <c r="D10" s="261"/>
      <c r="E10" s="261"/>
      <c r="F10" s="261"/>
      <c r="H10" s="37"/>
    </row>
    <row r="11" spans="1:8">
      <c r="A11" s="46">
        <f t="shared" si="0"/>
        <v>4</v>
      </c>
      <c r="B11" s="47"/>
      <c r="C11" s="47"/>
      <c r="D11" s="262"/>
      <c r="E11" s="263" t="s">
        <v>6</v>
      </c>
      <c r="F11" s="263" t="s">
        <v>3</v>
      </c>
      <c r="H11" s="37"/>
    </row>
    <row r="12" spans="1:8">
      <c r="A12" s="46">
        <f t="shared" si="0"/>
        <v>5</v>
      </c>
      <c r="B12" s="264" t="s">
        <v>4</v>
      </c>
      <c r="C12" s="265"/>
      <c r="D12" s="265" t="s">
        <v>5</v>
      </c>
      <c r="E12" s="265" t="s">
        <v>113</v>
      </c>
      <c r="F12" s="265" t="s">
        <v>7</v>
      </c>
      <c r="H12" s="37"/>
    </row>
    <row r="13" spans="1:8">
      <c r="A13" s="46">
        <f t="shared" si="0"/>
        <v>6</v>
      </c>
      <c r="B13" s="266"/>
      <c r="C13" s="47"/>
      <c r="D13" s="47"/>
      <c r="E13" s="47"/>
      <c r="F13" s="47"/>
      <c r="H13" s="37"/>
    </row>
    <row r="14" spans="1:8">
      <c r="A14" s="46">
        <f t="shared" si="0"/>
        <v>7</v>
      </c>
      <c r="B14" s="267" t="s">
        <v>132</v>
      </c>
      <c r="C14" s="47"/>
      <c r="D14" s="268">
        <v>2.3199999999999998E-2</v>
      </c>
      <c r="E14" s="269">
        <f>'Pg 2 Cost of Total Debt'!G36</f>
        <v>4.1799999999999997E-2</v>
      </c>
      <c r="F14" s="270">
        <f>ROUND(D14*E14,4)</f>
        <v>1E-3</v>
      </c>
      <c r="H14" s="37"/>
    </row>
    <row r="15" spans="1:8">
      <c r="A15" s="46">
        <f t="shared" si="0"/>
        <v>8</v>
      </c>
      <c r="B15" s="271" t="s">
        <v>27</v>
      </c>
      <c r="C15" s="47"/>
      <c r="D15" s="272"/>
      <c r="E15" s="270"/>
      <c r="F15" s="269">
        <f>'Pg 3 STD Int &amp; Fees-Details'!P47</f>
        <v>2.0000000000000001E-4</v>
      </c>
      <c r="H15" s="37"/>
    </row>
    <row r="16" spans="1:8">
      <c r="A16" s="46">
        <f t="shared" si="0"/>
        <v>9</v>
      </c>
      <c r="B16" s="273" t="s">
        <v>108</v>
      </c>
      <c r="C16" s="274"/>
      <c r="D16" s="275"/>
      <c r="E16" s="276"/>
      <c r="F16" s="277">
        <f>'Pg 3 STD Int &amp; Fees-Details'!P59</f>
        <v>1E-4</v>
      </c>
      <c r="H16" s="37"/>
    </row>
    <row r="17" spans="1:8">
      <c r="A17" s="46">
        <f t="shared" si="0"/>
        <v>10</v>
      </c>
      <c r="B17" s="278" t="s">
        <v>131</v>
      </c>
      <c r="C17" s="47"/>
      <c r="D17" s="272"/>
      <c r="E17" s="270"/>
      <c r="F17" s="279">
        <f>SUM(F14:F16)</f>
        <v>1.3000000000000002E-3</v>
      </c>
      <c r="H17" s="37"/>
    </row>
    <row r="18" spans="1:8">
      <c r="A18" s="46">
        <f t="shared" si="0"/>
        <v>11</v>
      </c>
      <c r="B18" s="267" t="s">
        <v>133</v>
      </c>
      <c r="C18" s="280"/>
      <c r="D18" s="272">
        <f>D23-D22-D14</f>
        <v>0.49180000000000001</v>
      </c>
      <c r="E18" s="269">
        <f>'Pg 2 Cost of Total Debt'!G34</f>
        <v>5.5099857793091497E-2</v>
      </c>
      <c r="F18" s="269">
        <f>ROUND(D18*E18,4)</f>
        <v>2.7099999999999999E-2</v>
      </c>
      <c r="H18" s="37"/>
    </row>
    <row r="19" spans="1:8">
      <c r="A19" s="46">
        <f t="shared" si="0"/>
        <v>12</v>
      </c>
      <c r="B19" s="273" t="s">
        <v>109</v>
      </c>
      <c r="C19" s="274"/>
      <c r="D19" s="275"/>
      <c r="E19" s="276"/>
      <c r="F19" s="277">
        <f>'Pg 5 Reacquired Debt'!K33</f>
        <v>2.9999999999999997E-4</v>
      </c>
      <c r="H19" s="37"/>
    </row>
    <row r="20" spans="1:8">
      <c r="A20" s="46">
        <f t="shared" si="0"/>
        <v>13</v>
      </c>
      <c r="B20" s="281" t="s">
        <v>134</v>
      </c>
      <c r="C20" s="282"/>
      <c r="D20" s="283"/>
      <c r="E20" s="284"/>
      <c r="F20" s="285">
        <f>F18+F19</f>
        <v>2.7400000000000001E-2</v>
      </c>
      <c r="H20" s="37"/>
    </row>
    <row r="21" spans="1:8">
      <c r="A21" s="46">
        <f t="shared" si="0"/>
        <v>14</v>
      </c>
      <c r="B21" s="286" t="s">
        <v>110</v>
      </c>
      <c r="C21" s="47"/>
      <c r="D21" s="287">
        <f>D14+D18</f>
        <v>0.51500000000000001</v>
      </c>
      <c r="E21" s="279">
        <f>F21/D21</f>
        <v>5.5728155339805824E-2</v>
      </c>
      <c r="F21" s="279">
        <f>F17+F20</f>
        <v>2.87E-2</v>
      </c>
      <c r="H21" s="37"/>
    </row>
    <row r="22" spans="1:8">
      <c r="A22" s="46">
        <f t="shared" si="0"/>
        <v>15</v>
      </c>
      <c r="B22" s="286" t="s">
        <v>111</v>
      </c>
      <c r="C22" s="47"/>
      <c r="D22" s="288">
        <v>0.48499999999999999</v>
      </c>
      <c r="E22" s="289">
        <v>9.8000000000000004E-2</v>
      </c>
      <c r="F22" s="290">
        <f>ROUND(D22*E22,4)</f>
        <v>4.7500000000000001E-2</v>
      </c>
      <c r="H22" s="37"/>
    </row>
    <row r="23" spans="1:8">
      <c r="A23" s="46">
        <f t="shared" si="0"/>
        <v>16</v>
      </c>
      <c r="B23" s="286" t="s">
        <v>112</v>
      </c>
      <c r="C23" s="291"/>
      <c r="D23" s="292">
        <v>1</v>
      </c>
      <c r="E23" s="270"/>
      <c r="F23" s="293">
        <f>F21+F22</f>
        <v>7.6200000000000004E-2</v>
      </c>
      <c r="H23" s="37"/>
    </row>
    <row r="24" spans="1:8">
      <c r="A24" s="46">
        <f t="shared" ref="A24:A25" si="1">A23+1</f>
        <v>17</v>
      </c>
      <c r="H24" s="37"/>
    </row>
    <row r="25" spans="1:8">
      <c r="A25" s="46">
        <f t="shared" si="1"/>
        <v>18</v>
      </c>
      <c r="B25" s="52" t="s">
        <v>165</v>
      </c>
      <c r="H25" s="37"/>
    </row>
    <row r="26" spans="1:8">
      <c r="A26" s="46"/>
      <c r="H26" s="37"/>
    </row>
    <row r="27" spans="1:8">
      <c r="A27" s="46"/>
      <c r="G27" s="48"/>
    </row>
    <row r="28" spans="1:8">
      <c r="A28" s="46"/>
      <c r="G28" s="48"/>
    </row>
    <row r="29" spans="1:8">
      <c r="A29" s="46"/>
      <c r="G29" s="48"/>
    </row>
    <row r="30" spans="1:8">
      <c r="A30" s="46"/>
      <c r="G30" s="48"/>
    </row>
    <row r="31" spans="1:8">
      <c r="A31" s="46"/>
      <c r="G31" s="48"/>
      <c r="H31" s="44"/>
    </row>
    <row r="32" spans="1:8">
      <c r="A32" s="46"/>
      <c r="G32" s="48"/>
    </row>
    <row r="33" spans="1:10">
      <c r="A33" s="46"/>
      <c r="G33" s="48"/>
    </row>
    <row r="34" spans="1:10">
      <c r="A34" s="46"/>
      <c r="G34" s="48"/>
    </row>
    <row r="35" spans="1:10">
      <c r="A35" s="46"/>
      <c r="G35" s="48"/>
      <c r="H35" s="44"/>
    </row>
    <row r="36" spans="1:10">
      <c r="A36" s="46"/>
      <c r="G36" s="48"/>
      <c r="H36" s="294"/>
      <c r="I36" s="294"/>
      <c r="J36" s="295"/>
    </row>
    <row r="37" spans="1:10">
      <c r="A37" s="46"/>
      <c r="G37" s="48"/>
    </row>
    <row r="38" spans="1:10">
      <c r="A38" s="46"/>
      <c r="G38" s="48"/>
      <c r="H38" s="44"/>
      <c r="I38" s="296"/>
    </row>
    <row r="39" spans="1:10">
      <c r="A39" s="46"/>
      <c r="G39" s="48"/>
      <c r="H39" s="44"/>
      <c r="I39" s="296"/>
    </row>
    <row r="40" spans="1:10">
      <c r="A40" s="46"/>
      <c r="G40" s="48"/>
      <c r="H40" s="297"/>
    </row>
    <row r="41" spans="1:10">
      <c r="A41" s="46"/>
      <c r="C41" s="50"/>
      <c r="D41" s="51"/>
      <c r="E41" s="49"/>
      <c r="F41" s="51"/>
      <c r="G41" s="48"/>
    </row>
    <row r="42" spans="1:10">
      <c r="A42" s="46"/>
      <c r="C42" s="298"/>
      <c r="E42" s="53"/>
      <c r="F42" s="53"/>
    </row>
    <row r="43" spans="1:10">
      <c r="D43" s="6"/>
    </row>
    <row r="44" spans="1:10">
      <c r="C44" s="5"/>
      <c r="D44" s="6"/>
    </row>
    <row r="45" spans="1:10">
      <c r="D45" s="7"/>
    </row>
  </sheetData>
  <mergeCells count="3">
    <mergeCell ref="B3:F3"/>
    <mergeCell ref="B4:F4"/>
    <mergeCell ref="B9:F9"/>
  </mergeCells>
  <printOptions horizontalCentered="1"/>
  <pageMargins left="0.6" right="0.75" top="0.75" bottom="0.62" header="0.5" footer="0.28000000000000003"/>
  <pageSetup scale="91" orientation="landscape" r:id="rId1"/>
  <headerFooter alignWithMargins="0">
    <oddFooter>&amp;C&amp;A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1"/>
  <sheetViews>
    <sheetView zoomScale="110" zoomScaleNormal="110" zoomScaleSheetLayoutView="100" workbookViewId="0">
      <selection activeCell="H71" sqref="H71"/>
    </sheetView>
  </sheetViews>
  <sheetFormatPr defaultColWidth="8.6640625" defaultRowHeight="12.75"/>
  <cols>
    <col min="1" max="1" width="5.6640625" style="10" bestFit="1" customWidth="1"/>
    <col min="2" max="2" width="11.1640625" style="8" customWidth="1"/>
    <col min="3" max="6" width="10.5" style="8" customWidth="1"/>
    <col min="7" max="7" width="10.5" style="11" customWidth="1"/>
    <col min="8" max="8" width="17.5" style="8" customWidth="1"/>
    <col min="9" max="9" width="14.6640625" style="8" customWidth="1"/>
    <col min="10" max="10" width="11.1640625" style="8" customWidth="1"/>
    <col min="11" max="12" width="6" style="8" customWidth="1"/>
    <col min="13" max="256" width="8.6640625" style="8"/>
    <col min="257" max="257" width="5.6640625" style="8" bestFit="1" customWidth="1"/>
    <col min="258" max="258" width="11.1640625" style="8" customWidth="1"/>
    <col min="259" max="263" width="10.5" style="8" customWidth="1"/>
    <col min="264" max="264" width="17.5" style="8" customWidth="1"/>
    <col min="265" max="265" width="14.6640625" style="8" customWidth="1"/>
    <col min="266" max="266" width="11.1640625" style="8" customWidth="1"/>
    <col min="267" max="268" width="6" style="8" customWidth="1"/>
    <col min="269" max="512" width="8.6640625" style="8"/>
    <col min="513" max="513" width="5.6640625" style="8" bestFit="1" customWidth="1"/>
    <col min="514" max="514" width="11.1640625" style="8" customWidth="1"/>
    <col min="515" max="519" width="10.5" style="8" customWidth="1"/>
    <col min="520" max="520" width="17.5" style="8" customWidth="1"/>
    <col min="521" max="521" width="14.6640625" style="8" customWidth="1"/>
    <col min="522" max="522" width="11.1640625" style="8" customWidth="1"/>
    <col min="523" max="524" width="6" style="8" customWidth="1"/>
    <col min="525" max="768" width="8.6640625" style="8"/>
    <col min="769" max="769" width="5.6640625" style="8" bestFit="1" customWidth="1"/>
    <col min="770" max="770" width="11.1640625" style="8" customWidth="1"/>
    <col min="771" max="775" width="10.5" style="8" customWidth="1"/>
    <col min="776" max="776" width="17.5" style="8" customWidth="1"/>
    <col min="777" max="777" width="14.6640625" style="8" customWidth="1"/>
    <col min="778" max="778" width="11.1640625" style="8" customWidth="1"/>
    <col min="779" max="780" width="6" style="8" customWidth="1"/>
    <col min="781" max="1024" width="8.6640625" style="8"/>
    <col min="1025" max="1025" width="5.6640625" style="8" bestFit="1" customWidth="1"/>
    <col min="1026" max="1026" width="11.1640625" style="8" customWidth="1"/>
    <col min="1027" max="1031" width="10.5" style="8" customWidth="1"/>
    <col min="1032" max="1032" width="17.5" style="8" customWidth="1"/>
    <col min="1033" max="1033" width="14.6640625" style="8" customWidth="1"/>
    <col min="1034" max="1034" width="11.1640625" style="8" customWidth="1"/>
    <col min="1035" max="1036" width="6" style="8" customWidth="1"/>
    <col min="1037" max="1280" width="8.6640625" style="8"/>
    <col min="1281" max="1281" width="5.6640625" style="8" bestFit="1" customWidth="1"/>
    <col min="1282" max="1282" width="11.1640625" style="8" customWidth="1"/>
    <col min="1283" max="1287" width="10.5" style="8" customWidth="1"/>
    <col min="1288" max="1288" width="17.5" style="8" customWidth="1"/>
    <col min="1289" max="1289" width="14.6640625" style="8" customWidth="1"/>
    <col min="1290" max="1290" width="11.1640625" style="8" customWidth="1"/>
    <col min="1291" max="1292" width="6" style="8" customWidth="1"/>
    <col min="1293" max="1536" width="8.6640625" style="8"/>
    <col min="1537" max="1537" width="5.6640625" style="8" bestFit="1" customWidth="1"/>
    <col min="1538" max="1538" width="11.1640625" style="8" customWidth="1"/>
    <col min="1539" max="1543" width="10.5" style="8" customWidth="1"/>
    <col min="1544" max="1544" width="17.5" style="8" customWidth="1"/>
    <col min="1545" max="1545" width="14.6640625" style="8" customWidth="1"/>
    <col min="1546" max="1546" width="11.1640625" style="8" customWidth="1"/>
    <col min="1547" max="1548" width="6" style="8" customWidth="1"/>
    <col min="1549" max="1792" width="8.6640625" style="8"/>
    <col min="1793" max="1793" width="5.6640625" style="8" bestFit="1" customWidth="1"/>
    <col min="1794" max="1794" width="11.1640625" style="8" customWidth="1"/>
    <col min="1795" max="1799" width="10.5" style="8" customWidth="1"/>
    <col min="1800" max="1800" width="17.5" style="8" customWidth="1"/>
    <col min="1801" max="1801" width="14.6640625" style="8" customWidth="1"/>
    <col min="1802" max="1802" width="11.1640625" style="8" customWidth="1"/>
    <col min="1803" max="1804" width="6" style="8" customWidth="1"/>
    <col min="1805" max="2048" width="8.6640625" style="8"/>
    <col min="2049" max="2049" width="5.6640625" style="8" bestFit="1" customWidth="1"/>
    <col min="2050" max="2050" width="11.1640625" style="8" customWidth="1"/>
    <col min="2051" max="2055" width="10.5" style="8" customWidth="1"/>
    <col min="2056" max="2056" width="17.5" style="8" customWidth="1"/>
    <col min="2057" max="2057" width="14.6640625" style="8" customWidth="1"/>
    <col min="2058" max="2058" width="11.1640625" style="8" customWidth="1"/>
    <col min="2059" max="2060" width="6" style="8" customWidth="1"/>
    <col min="2061" max="2304" width="8.6640625" style="8"/>
    <col min="2305" max="2305" width="5.6640625" style="8" bestFit="1" customWidth="1"/>
    <col min="2306" max="2306" width="11.1640625" style="8" customWidth="1"/>
    <col min="2307" max="2311" width="10.5" style="8" customWidth="1"/>
    <col min="2312" max="2312" width="17.5" style="8" customWidth="1"/>
    <col min="2313" max="2313" width="14.6640625" style="8" customWidth="1"/>
    <col min="2314" max="2314" width="11.1640625" style="8" customWidth="1"/>
    <col min="2315" max="2316" width="6" style="8" customWidth="1"/>
    <col min="2317" max="2560" width="8.6640625" style="8"/>
    <col min="2561" max="2561" width="5.6640625" style="8" bestFit="1" customWidth="1"/>
    <col min="2562" max="2562" width="11.1640625" style="8" customWidth="1"/>
    <col min="2563" max="2567" width="10.5" style="8" customWidth="1"/>
    <col min="2568" max="2568" width="17.5" style="8" customWidth="1"/>
    <col min="2569" max="2569" width="14.6640625" style="8" customWidth="1"/>
    <col min="2570" max="2570" width="11.1640625" style="8" customWidth="1"/>
    <col min="2571" max="2572" width="6" style="8" customWidth="1"/>
    <col min="2573" max="2816" width="8.6640625" style="8"/>
    <col min="2817" max="2817" width="5.6640625" style="8" bestFit="1" customWidth="1"/>
    <col min="2818" max="2818" width="11.1640625" style="8" customWidth="1"/>
    <col min="2819" max="2823" width="10.5" style="8" customWidth="1"/>
    <col min="2824" max="2824" width="17.5" style="8" customWidth="1"/>
    <col min="2825" max="2825" width="14.6640625" style="8" customWidth="1"/>
    <col min="2826" max="2826" width="11.1640625" style="8" customWidth="1"/>
    <col min="2827" max="2828" width="6" style="8" customWidth="1"/>
    <col min="2829" max="3072" width="8.6640625" style="8"/>
    <col min="3073" max="3073" width="5.6640625" style="8" bestFit="1" customWidth="1"/>
    <col min="3074" max="3074" width="11.1640625" style="8" customWidth="1"/>
    <col min="3075" max="3079" width="10.5" style="8" customWidth="1"/>
    <col min="3080" max="3080" width="17.5" style="8" customWidth="1"/>
    <col min="3081" max="3081" width="14.6640625" style="8" customWidth="1"/>
    <col min="3082" max="3082" width="11.1640625" style="8" customWidth="1"/>
    <col min="3083" max="3084" width="6" style="8" customWidth="1"/>
    <col min="3085" max="3328" width="8.6640625" style="8"/>
    <col min="3329" max="3329" width="5.6640625" style="8" bestFit="1" customWidth="1"/>
    <col min="3330" max="3330" width="11.1640625" style="8" customWidth="1"/>
    <col min="3331" max="3335" width="10.5" style="8" customWidth="1"/>
    <col min="3336" max="3336" width="17.5" style="8" customWidth="1"/>
    <col min="3337" max="3337" width="14.6640625" style="8" customWidth="1"/>
    <col min="3338" max="3338" width="11.1640625" style="8" customWidth="1"/>
    <col min="3339" max="3340" width="6" style="8" customWidth="1"/>
    <col min="3341" max="3584" width="8.6640625" style="8"/>
    <col min="3585" max="3585" width="5.6640625" style="8" bestFit="1" customWidth="1"/>
    <col min="3586" max="3586" width="11.1640625" style="8" customWidth="1"/>
    <col min="3587" max="3591" width="10.5" style="8" customWidth="1"/>
    <col min="3592" max="3592" width="17.5" style="8" customWidth="1"/>
    <col min="3593" max="3593" width="14.6640625" style="8" customWidth="1"/>
    <col min="3594" max="3594" width="11.1640625" style="8" customWidth="1"/>
    <col min="3595" max="3596" width="6" style="8" customWidth="1"/>
    <col min="3597" max="3840" width="8.6640625" style="8"/>
    <col min="3841" max="3841" width="5.6640625" style="8" bestFit="1" customWidth="1"/>
    <col min="3842" max="3842" width="11.1640625" style="8" customWidth="1"/>
    <col min="3843" max="3847" width="10.5" style="8" customWidth="1"/>
    <col min="3848" max="3848" width="17.5" style="8" customWidth="1"/>
    <col min="3849" max="3849" width="14.6640625" style="8" customWidth="1"/>
    <col min="3850" max="3850" width="11.1640625" style="8" customWidth="1"/>
    <col min="3851" max="3852" width="6" style="8" customWidth="1"/>
    <col min="3853" max="4096" width="8.6640625" style="8"/>
    <col min="4097" max="4097" width="5.6640625" style="8" bestFit="1" customWidth="1"/>
    <col min="4098" max="4098" width="11.1640625" style="8" customWidth="1"/>
    <col min="4099" max="4103" width="10.5" style="8" customWidth="1"/>
    <col min="4104" max="4104" width="17.5" style="8" customWidth="1"/>
    <col min="4105" max="4105" width="14.6640625" style="8" customWidth="1"/>
    <col min="4106" max="4106" width="11.1640625" style="8" customWidth="1"/>
    <col min="4107" max="4108" width="6" style="8" customWidth="1"/>
    <col min="4109" max="4352" width="8.6640625" style="8"/>
    <col min="4353" max="4353" width="5.6640625" style="8" bestFit="1" customWidth="1"/>
    <col min="4354" max="4354" width="11.1640625" style="8" customWidth="1"/>
    <col min="4355" max="4359" width="10.5" style="8" customWidth="1"/>
    <col min="4360" max="4360" width="17.5" style="8" customWidth="1"/>
    <col min="4361" max="4361" width="14.6640625" style="8" customWidth="1"/>
    <col min="4362" max="4362" width="11.1640625" style="8" customWidth="1"/>
    <col min="4363" max="4364" width="6" style="8" customWidth="1"/>
    <col min="4365" max="4608" width="8.6640625" style="8"/>
    <col min="4609" max="4609" width="5.6640625" style="8" bestFit="1" customWidth="1"/>
    <col min="4610" max="4610" width="11.1640625" style="8" customWidth="1"/>
    <col min="4611" max="4615" width="10.5" style="8" customWidth="1"/>
    <col min="4616" max="4616" width="17.5" style="8" customWidth="1"/>
    <col min="4617" max="4617" width="14.6640625" style="8" customWidth="1"/>
    <col min="4618" max="4618" width="11.1640625" style="8" customWidth="1"/>
    <col min="4619" max="4620" width="6" style="8" customWidth="1"/>
    <col min="4621" max="4864" width="8.6640625" style="8"/>
    <col min="4865" max="4865" width="5.6640625" style="8" bestFit="1" customWidth="1"/>
    <col min="4866" max="4866" width="11.1640625" style="8" customWidth="1"/>
    <col min="4867" max="4871" width="10.5" style="8" customWidth="1"/>
    <col min="4872" max="4872" width="17.5" style="8" customWidth="1"/>
    <col min="4873" max="4873" width="14.6640625" style="8" customWidth="1"/>
    <col min="4874" max="4874" width="11.1640625" style="8" customWidth="1"/>
    <col min="4875" max="4876" width="6" style="8" customWidth="1"/>
    <col min="4877" max="5120" width="8.6640625" style="8"/>
    <col min="5121" max="5121" width="5.6640625" style="8" bestFit="1" customWidth="1"/>
    <col min="5122" max="5122" width="11.1640625" style="8" customWidth="1"/>
    <col min="5123" max="5127" width="10.5" style="8" customWidth="1"/>
    <col min="5128" max="5128" width="17.5" style="8" customWidth="1"/>
    <col min="5129" max="5129" width="14.6640625" style="8" customWidth="1"/>
    <col min="5130" max="5130" width="11.1640625" style="8" customWidth="1"/>
    <col min="5131" max="5132" width="6" style="8" customWidth="1"/>
    <col min="5133" max="5376" width="8.6640625" style="8"/>
    <col min="5377" max="5377" width="5.6640625" style="8" bestFit="1" customWidth="1"/>
    <col min="5378" max="5378" width="11.1640625" style="8" customWidth="1"/>
    <col min="5379" max="5383" width="10.5" style="8" customWidth="1"/>
    <col min="5384" max="5384" width="17.5" style="8" customWidth="1"/>
    <col min="5385" max="5385" width="14.6640625" style="8" customWidth="1"/>
    <col min="5386" max="5386" width="11.1640625" style="8" customWidth="1"/>
    <col min="5387" max="5388" width="6" style="8" customWidth="1"/>
    <col min="5389" max="5632" width="8.6640625" style="8"/>
    <col min="5633" max="5633" width="5.6640625" style="8" bestFit="1" customWidth="1"/>
    <col min="5634" max="5634" width="11.1640625" style="8" customWidth="1"/>
    <col min="5635" max="5639" width="10.5" style="8" customWidth="1"/>
    <col min="5640" max="5640" width="17.5" style="8" customWidth="1"/>
    <col min="5641" max="5641" width="14.6640625" style="8" customWidth="1"/>
    <col min="5642" max="5642" width="11.1640625" style="8" customWidth="1"/>
    <col min="5643" max="5644" width="6" style="8" customWidth="1"/>
    <col min="5645" max="5888" width="8.6640625" style="8"/>
    <col min="5889" max="5889" width="5.6640625" style="8" bestFit="1" customWidth="1"/>
    <col min="5890" max="5890" width="11.1640625" style="8" customWidth="1"/>
    <col min="5891" max="5895" width="10.5" style="8" customWidth="1"/>
    <col min="5896" max="5896" width="17.5" style="8" customWidth="1"/>
    <col min="5897" max="5897" width="14.6640625" style="8" customWidth="1"/>
    <col min="5898" max="5898" width="11.1640625" style="8" customWidth="1"/>
    <col min="5899" max="5900" width="6" style="8" customWidth="1"/>
    <col min="5901" max="6144" width="8.6640625" style="8"/>
    <col min="6145" max="6145" width="5.6640625" style="8" bestFit="1" customWidth="1"/>
    <col min="6146" max="6146" width="11.1640625" style="8" customWidth="1"/>
    <col min="6147" max="6151" width="10.5" style="8" customWidth="1"/>
    <col min="6152" max="6152" width="17.5" style="8" customWidth="1"/>
    <col min="6153" max="6153" width="14.6640625" style="8" customWidth="1"/>
    <col min="6154" max="6154" width="11.1640625" style="8" customWidth="1"/>
    <col min="6155" max="6156" width="6" style="8" customWidth="1"/>
    <col min="6157" max="6400" width="8.6640625" style="8"/>
    <col min="6401" max="6401" width="5.6640625" style="8" bestFit="1" customWidth="1"/>
    <col min="6402" max="6402" width="11.1640625" style="8" customWidth="1"/>
    <col min="6403" max="6407" width="10.5" style="8" customWidth="1"/>
    <col min="6408" max="6408" width="17.5" style="8" customWidth="1"/>
    <col min="6409" max="6409" width="14.6640625" style="8" customWidth="1"/>
    <col min="6410" max="6410" width="11.1640625" style="8" customWidth="1"/>
    <col min="6411" max="6412" width="6" style="8" customWidth="1"/>
    <col min="6413" max="6656" width="8.6640625" style="8"/>
    <col min="6657" max="6657" width="5.6640625" style="8" bestFit="1" customWidth="1"/>
    <col min="6658" max="6658" width="11.1640625" style="8" customWidth="1"/>
    <col min="6659" max="6663" width="10.5" style="8" customWidth="1"/>
    <col min="6664" max="6664" width="17.5" style="8" customWidth="1"/>
    <col min="6665" max="6665" width="14.6640625" style="8" customWidth="1"/>
    <col min="6666" max="6666" width="11.1640625" style="8" customWidth="1"/>
    <col min="6667" max="6668" width="6" style="8" customWidth="1"/>
    <col min="6669" max="6912" width="8.6640625" style="8"/>
    <col min="6913" max="6913" width="5.6640625" style="8" bestFit="1" customWidth="1"/>
    <col min="6914" max="6914" width="11.1640625" style="8" customWidth="1"/>
    <col min="6915" max="6919" width="10.5" style="8" customWidth="1"/>
    <col min="6920" max="6920" width="17.5" style="8" customWidth="1"/>
    <col min="6921" max="6921" width="14.6640625" style="8" customWidth="1"/>
    <col min="6922" max="6922" width="11.1640625" style="8" customWidth="1"/>
    <col min="6923" max="6924" width="6" style="8" customWidth="1"/>
    <col min="6925" max="7168" width="8.6640625" style="8"/>
    <col min="7169" max="7169" width="5.6640625" style="8" bestFit="1" customWidth="1"/>
    <col min="7170" max="7170" width="11.1640625" style="8" customWidth="1"/>
    <col min="7171" max="7175" width="10.5" style="8" customWidth="1"/>
    <col min="7176" max="7176" width="17.5" style="8" customWidth="1"/>
    <col min="7177" max="7177" width="14.6640625" style="8" customWidth="1"/>
    <col min="7178" max="7178" width="11.1640625" style="8" customWidth="1"/>
    <col min="7179" max="7180" width="6" style="8" customWidth="1"/>
    <col min="7181" max="7424" width="8.6640625" style="8"/>
    <col min="7425" max="7425" width="5.6640625" style="8" bestFit="1" customWidth="1"/>
    <col min="7426" max="7426" width="11.1640625" style="8" customWidth="1"/>
    <col min="7427" max="7431" width="10.5" style="8" customWidth="1"/>
    <col min="7432" max="7432" width="17.5" style="8" customWidth="1"/>
    <col min="7433" max="7433" width="14.6640625" style="8" customWidth="1"/>
    <col min="7434" max="7434" width="11.1640625" style="8" customWidth="1"/>
    <col min="7435" max="7436" width="6" style="8" customWidth="1"/>
    <col min="7437" max="7680" width="8.6640625" style="8"/>
    <col min="7681" max="7681" width="5.6640625" style="8" bestFit="1" customWidth="1"/>
    <col min="7682" max="7682" width="11.1640625" style="8" customWidth="1"/>
    <col min="7683" max="7687" width="10.5" style="8" customWidth="1"/>
    <col min="7688" max="7688" width="17.5" style="8" customWidth="1"/>
    <col min="7689" max="7689" width="14.6640625" style="8" customWidth="1"/>
    <col min="7690" max="7690" width="11.1640625" style="8" customWidth="1"/>
    <col min="7691" max="7692" width="6" style="8" customWidth="1"/>
    <col min="7693" max="7936" width="8.6640625" style="8"/>
    <col min="7937" max="7937" width="5.6640625" style="8" bestFit="1" customWidth="1"/>
    <col min="7938" max="7938" width="11.1640625" style="8" customWidth="1"/>
    <col min="7939" max="7943" width="10.5" style="8" customWidth="1"/>
    <col min="7944" max="7944" width="17.5" style="8" customWidth="1"/>
    <col min="7945" max="7945" width="14.6640625" style="8" customWidth="1"/>
    <col min="7946" max="7946" width="11.1640625" style="8" customWidth="1"/>
    <col min="7947" max="7948" width="6" style="8" customWidth="1"/>
    <col min="7949" max="8192" width="8.6640625" style="8"/>
    <col min="8193" max="8193" width="5.6640625" style="8" bestFit="1" customWidth="1"/>
    <col min="8194" max="8194" width="11.1640625" style="8" customWidth="1"/>
    <col min="8195" max="8199" width="10.5" style="8" customWidth="1"/>
    <col min="8200" max="8200" width="17.5" style="8" customWidth="1"/>
    <col min="8201" max="8201" width="14.6640625" style="8" customWidth="1"/>
    <col min="8202" max="8202" width="11.1640625" style="8" customWidth="1"/>
    <col min="8203" max="8204" width="6" style="8" customWidth="1"/>
    <col min="8205" max="8448" width="8.6640625" style="8"/>
    <col min="8449" max="8449" width="5.6640625" style="8" bestFit="1" customWidth="1"/>
    <col min="8450" max="8450" width="11.1640625" style="8" customWidth="1"/>
    <col min="8451" max="8455" width="10.5" style="8" customWidth="1"/>
    <col min="8456" max="8456" width="17.5" style="8" customWidth="1"/>
    <col min="8457" max="8457" width="14.6640625" style="8" customWidth="1"/>
    <col min="8458" max="8458" width="11.1640625" style="8" customWidth="1"/>
    <col min="8459" max="8460" width="6" style="8" customWidth="1"/>
    <col min="8461" max="8704" width="8.6640625" style="8"/>
    <col min="8705" max="8705" width="5.6640625" style="8" bestFit="1" customWidth="1"/>
    <col min="8706" max="8706" width="11.1640625" style="8" customWidth="1"/>
    <col min="8707" max="8711" width="10.5" style="8" customWidth="1"/>
    <col min="8712" max="8712" width="17.5" style="8" customWidth="1"/>
    <col min="8713" max="8713" width="14.6640625" style="8" customWidth="1"/>
    <col min="8714" max="8714" width="11.1640625" style="8" customWidth="1"/>
    <col min="8715" max="8716" width="6" style="8" customWidth="1"/>
    <col min="8717" max="8960" width="8.6640625" style="8"/>
    <col min="8961" max="8961" width="5.6640625" style="8" bestFit="1" customWidth="1"/>
    <col min="8962" max="8962" width="11.1640625" style="8" customWidth="1"/>
    <col min="8963" max="8967" width="10.5" style="8" customWidth="1"/>
    <col min="8968" max="8968" width="17.5" style="8" customWidth="1"/>
    <col min="8969" max="8969" width="14.6640625" style="8" customWidth="1"/>
    <col min="8970" max="8970" width="11.1640625" style="8" customWidth="1"/>
    <col min="8971" max="8972" width="6" style="8" customWidth="1"/>
    <col min="8973" max="9216" width="8.6640625" style="8"/>
    <col min="9217" max="9217" width="5.6640625" style="8" bestFit="1" customWidth="1"/>
    <col min="9218" max="9218" width="11.1640625" style="8" customWidth="1"/>
    <col min="9219" max="9223" width="10.5" style="8" customWidth="1"/>
    <col min="9224" max="9224" width="17.5" style="8" customWidth="1"/>
    <col min="9225" max="9225" width="14.6640625" style="8" customWidth="1"/>
    <col min="9226" max="9226" width="11.1640625" style="8" customWidth="1"/>
    <col min="9227" max="9228" width="6" style="8" customWidth="1"/>
    <col min="9229" max="9472" width="8.6640625" style="8"/>
    <col min="9473" max="9473" width="5.6640625" style="8" bestFit="1" customWidth="1"/>
    <col min="9474" max="9474" width="11.1640625" style="8" customWidth="1"/>
    <col min="9475" max="9479" width="10.5" style="8" customWidth="1"/>
    <col min="9480" max="9480" width="17.5" style="8" customWidth="1"/>
    <col min="9481" max="9481" width="14.6640625" style="8" customWidth="1"/>
    <col min="9482" max="9482" width="11.1640625" style="8" customWidth="1"/>
    <col min="9483" max="9484" width="6" style="8" customWidth="1"/>
    <col min="9485" max="9728" width="8.6640625" style="8"/>
    <col min="9729" max="9729" width="5.6640625" style="8" bestFit="1" customWidth="1"/>
    <col min="9730" max="9730" width="11.1640625" style="8" customWidth="1"/>
    <col min="9731" max="9735" width="10.5" style="8" customWidth="1"/>
    <col min="9736" max="9736" width="17.5" style="8" customWidth="1"/>
    <col min="9737" max="9737" width="14.6640625" style="8" customWidth="1"/>
    <col min="9738" max="9738" width="11.1640625" style="8" customWidth="1"/>
    <col min="9739" max="9740" width="6" style="8" customWidth="1"/>
    <col min="9741" max="9984" width="8.6640625" style="8"/>
    <col min="9985" max="9985" width="5.6640625" style="8" bestFit="1" customWidth="1"/>
    <col min="9986" max="9986" width="11.1640625" style="8" customWidth="1"/>
    <col min="9987" max="9991" width="10.5" style="8" customWidth="1"/>
    <col min="9992" max="9992" width="17.5" style="8" customWidth="1"/>
    <col min="9993" max="9993" width="14.6640625" style="8" customWidth="1"/>
    <col min="9994" max="9994" width="11.1640625" style="8" customWidth="1"/>
    <col min="9995" max="9996" width="6" style="8" customWidth="1"/>
    <col min="9997" max="10240" width="8.6640625" style="8"/>
    <col min="10241" max="10241" width="5.6640625" style="8" bestFit="1" customWidth="1"/>
    <col min="10242" max="10242" width="11.1640625" style="8" customWidth="1"/>
    <col min="10243" max="10247" width="10.5" style="8" customWidth="1"/>
    <col min="10248" max="10248" width="17.5" style="8" customWidth="1"/>
    <col min="10249" max="10249" width="14.6640625" style="8" customWidth="1"/>
    <col min="10250" max="10250" width="11.1640625" style="8" customWidth="1"/>
    <col min="10251" max="10252" width="6" style="8" customWidth="1"/>
    <col min="10253" max="10496" width="8.6640625" style="8"/>
    <col min="10497" max="10497" width="5.6640625" style="8" bestFit="1" customWidth="1"/>
    <col min="10498" max="10498" width="11.1640625" style="8" customWidth="1"/>
    <col min="10499" max="10503" width="10.5" style="8" customWidth="1"/>
    <col min="10504" max="10504" width="17.5" style="8" customWidth="1"/>
    <col min="10505" max="10505" width="14.6640625" style="8" customWidth="1"/>
    <col min="10506" max="10506" width="11.1640625" style="8" customWidth="1"/>
    <col min="10507" max="10508" width="6" style="8" customWidth="1"/>
    <col min="10509" max="10752" width="8.6640625" style="8"/>
    <col min="10753" max="10753" width="5.6640625" style="8" bestFit="1" customWidth="1"/>
    <col min="10754" max="10754" width="11.1640625" style="8" customWidth="1"/>
    <col min="10755" max="10759" width="10.5" style="8" customWidth="1"/>
    <col min="10760" max="10760" width="17.5" style="8" customWidth="1"/>
    <col min="10761" max="10761" width="14.6640625" style="8" customWidth="1"/>
    <col min="10762" max="10762" width="11.1640625" style="8" customWidth="1"/>
    <col min="10763" max="10764" width="6" style="8" customWidth="1"/>
    <col min="10765" max="11008" width="8.6640625" style="8"/>
    <col min="11009" max="11009" width="5.6640625" style="8" bestFit="1" customWidth="1"/>
    <col min="11010" max="11010" width="11.1640625" style="8" customWidth="1"/>
    <col min="11011" max="11015" width="10.5" style="8" customWidth="1"/>
    <col min="11016" max="11016" width="17.5" style="8" customWidth="1"/>
    <col min="11017" max="11017" width="14.6640625" style="8" customWidth="1"/>
    <col min="11018" max="11018" width="11.1640625" style="8" customWidth="1"/>
    <col min="11019" max="11020" width="6" style="8" customWidth="1"/>
    <col min="11021" max="11264" width="8.6640625" style="8"/>
    <col min="11265" max="11265" width="5.6640625" style="8" bestFit="1" customWidth="1"/>
    <col min="11266" max="11266" width="11.1640625" style="8" customWidth="1"/>
    <col min="11267" max="11271" width="10.5" style="8" customWidth="1"/>
    <col min="11272" max="11272" width="17.5" style="8" customWidth="1"/>
    <col min="11273" max="11273" width="14.6640625" style="8" customWidth="1"/>
    <col min="11274" max="11274" width="11.1640625" style="8" customWidth="1"/>
    <col min="11275" max="11276" width="6" style="8" customWidth="1"/>
    <col min="11277" max="11520" width="8.6640625" style="8"/>
    <col min="11521" max="11521" width="5.6640625" style="8" bestFit="1" customWidth="1"/>
    <col min="11522" max="11522" width="11.1640625" style="8" customWidth="1"/>
    <col min="11523" max="11527" width="10.5" style="8" customWidth="1"/>
    <col min="11528" max="11528" width="17.5" style="8" customWidth="1"/>
    <col min="11529" max="11529" width="14.6640625" style="8" customWidth="1"/>
    <col min="11530" max="11530" width="11.1640625" style="8" customWidth="1"/>
    <col min="11531" max="11532" width="6" style="8" customWidth="1"/>
    <col min="11533" max="11776" width="8.6640625" style="8"/>
    <col min="11777" max="11777" width="5.6640625" style="8" bestFit="1" customWidth="1"/>
    <col min="11778" max="11778" width="11.1640625" style="8" customWidth="1"/>
    <col min="11779" max="11783" width="10.5" style="8" customWidth="1"/>
    <col min="11784" max="11784" width="17.5" style="8" customWidth="1"/>
    <col min="11785" max="11785" width="14.6640625" style="8" customWidth="1"/>
    <col min="11786" max="11786" width="11.1640625" style="8" customWidth="1"/>
    <col min="11787" max="11788" width="6" style="8" customWidth="1"/>
    <col min="11789" max="12032" width="8.6640625" style="8"/>
    <col min="12033" max="12033" width="5.6640625" style="8" bestFit="1" customWidth="1"/>
    <col min="12034" max="12034" width="11.1640625" style="8" customWidth="1"/>
    <col min="12035" max="12039" width="10.5" style="8" customWidth="1"/>
    <col min="12040" max="12040" width="17.5" style="8" customWidth="1"/>
    <col min="12041" max="12041" width="14.6640625" style="8" customWidth="1"/>
    <col min="12042" max="12042" width="11.1640625" style="8" customWidth="1"/>
    <col min="12043" max="12044" width="6" style="8" customWidth="1"/>
    <col min="12045" max="12288" width="8.6640625" style="8"/>
    <col min="12289" max="12289" width="5.6640625" style="8" bestFit="1" customWidth="1"/>
    <col min="12290" max="12290" width="11.1640625" style="8" customWidth="1"/>
    <col min="12291" max="12295" width="10.5" style="8" customWidth="1"/>
    <col min="12296" max="12296" width="17.5" style="8" customWidth="1"/>
    <col min="12297" max="12297" width="14.6640625" style="8" customWidth="1"/>
    <col min="12298" max="12298" width="11.1640625" style="8" customWidth="1"/>
    <col min="12299" max="12300" width="6" style="8" customWidth="1"/>
    <col min="12301" max="12544" width="8.6640625" style="8"/>
    <col min="12545" max="12545" width="5.6640625" style="8" bestFit="1" customWidth="1"/>
    <col min="12546" max="12546" width="11.1640625" style="8" customWidth="1"/>
    <col min="12547" max="12551" width="10.5" style="8" customWidth="1"/>
    <col min="12552" max="12552" width="17.5" style="8" customWidth="1"/>
    <col min="12553" max="12553" width="14.6640625" style="8" customWidth="1"/>
    <col min="12554" max="12554" width="11.1640625" style="8" customWidth="1"/>
    <col min="12555" max="12556" width="6" style="8" customWidth="1"/>
    <col min="12557" max="12800" width="8.6640625" style="8"/>
    <col min="12801" max="12801" width="5.6640625" style="8" bestFit="1" customWidth="1"/>
    <col min="12802" max="12802" width="11.1640625" style="8" customWidth="1"/>
    <col min="12803" max="12807" width="10.5" style="8" customWidth="1"/>
    <col min="12808" max="12808" width="17.5" style="8" customWidth="1"/>
    <col min="12809" max="12809" width="14.6640625" style="8" customWidth="1"/>
    <col min="12810" max="12810" width="11.1640625" style="8" customWidth="1"/>
    <col min="12811" max="12812" width="6" style="8" customWidth="1"/>
    <col min="12813" max="13056" width="8.6640625" style="8"/>
    <col min="13057" max="13057" width="5.6640625" style="8" bestFit="1" customWidth="1"/>
    <col min="13058" max="13058" width="11.1640625" style="8" customWidth="1"/>
    <col min="13059" max="13063" width="10.5" style="8" customWidth="1"/>
    <col min="13064" max="13064" width="17.5" style="8" customWidth="1"/>
    <col min="13065" max="13065" width="14.6640625" style="8" customWidth="1"/>
    <col min="13066" max="13066" width="11.1640625" style="8" customWidth="1"/>
    <col min="13067" max="13068" width="6" style="8" customWidth="1"/>
    <col min="13069" max="13312" width="8.6640625" style="8"/>
    <col min="13313" max="13313" width="5.6640625" style="8" bestFit="1" customWidth="1"/>
    <col min="13314" max="13314" width="11.1640625" style="8" customWidth="1"/>
    <col min="13315" max="13319" width="10.5" style="8" customWidth="1"/>
    <col min="13320" max="13320" width="17.5" style="8" customWidth="1"/>
    <col min="13321" max="13321" width="14.6640625" style="8" customWidth="1"/>
    <col min="13322" max="13322" width="11.1640625" style="8" customWidth="1"/>
    <col min="13323" max="13324" width="6" style="8" customWidth="1"/>
    <col min="13325" max="13568" width="8.6640625" style="8"/>
    <col min="13569" max="13569" width="5.6640625" style="8" bestFit="1" customWidth="1"/>
    <col min="13570" max="13570" width="11.1640625" style="8" customWidth="1"/>
    <col min="13571" max="13575" width="10.5" style="8" customWidth="1"/>
    <col min="13576" max="13576" width="17.5" style="8" customWidth="1"/>
    <col min="13577" max="13577" width="14.6640625" style="8" customWidth="1"/>
    <col min="13578" max="13578" width="11.1640625" style="8" customWidth="1"/>
    <col min="13579" max="13580" width="6" style="8" customWidth="1"/>
    <col min="13581" max="13824" width="8.6640625" style="8"/>
    <col min="13825" max="13825" width="5.6640625" style="8" bestFit="1" customWidth="1"/>
    <col min="13826" max="13826" width="11.1640625" style="8" customWidth="1"/>
    <col min="13827" max="13831" width="10.5" style="8" customWidth="1"/>
    <col min="13832" max="13832" width="17.5" style="8" customWidth="1"/>
    <col min="13833" max="13833" width="14.6640625" style="8" customWidth="1"/>
    <col min="13834" max="13834" width="11.1640625" style="8" customWidth="1"/>
    <col min="13835" max="13836" width="6" style="8" customWidth="1"/>
    <col min="13837" max="14080" width="8.6640625" style="8"/>
    <col min="14081" max="14081" width="5.6640625" style="8" bestFit="1" customWidth="1"/>
    <col min="14082" max="14082" width="11.1640625" style="8" customWidth="1"/>
    <col min="14083" max="14087" width="10.5" style="8" customWidth="1"/>
    <col min="14088" max="14088" width="17.5" style="8" customWidth="1"/>
    <col min="14089" max="14089" width="14.6640625" style="8" customWidth="1"/>
    <col min="14090" max="14090" width="11.1640625" style="8" customWidth="1"/>
    <col min="14091" max="14092" width="6" style="8" customWidth="1"/>
    <col min="14093" max="14336" width="8.6640625" style="8"/>
    <col min="14337" max="14337" width="5.6640625" style="8" bestFit="1" customWidth="1"/>
    <col min="14338" max="14338" width="11.1640625" style="8" customWidth="1"/>
    <col min="14339" max="14343" width="10.5" style="8" customWidth="1"/>
    <col min="14344" max="14344" width="17.5" style="8" customWidth="1"/>
    <col min="14345" max="14345" width="14.6640625" style="8" customWidth="1"/>
    <col min="14346" max="14346" width="11.1640625" style="8" customWidth="1"/>
    <col min="14347" max="14348" width="6" style="8" customWidth="1"/>
    <col min="14349" max="14592" width="8.6640625" style="8"/>
    <col min="14593" max="14593" width="5.6640625" style="8" bestFit="1" customWidth="1"/>
    <col min="14594" max="14594" width="11.1640625" style="8" customWidth="1"/>
    <col min="14595" max="14599" width="10.5" style="8" customWidth="1"/>
    <col min="14600" max="14600" width="17.5" style="8" customWidth="1"/>
    <col min="14601" max="14601" width="14.6640625" style="8" customWidth="1"/>
    <col min="14602" max="14602" width="11.1640625" style="8" customWidth="1"/>
    <col min="14603" max="14604" width="6" style="8" customWidth="1"/>
    <col min="14605" max="14848" width="8.6640625" style="8"/>
    <col min="14849" max="14849" width="5.6640625" style="8" bestFit="1" customWidth="1"/>
    <col min="14850" max="14850" width="11.1640625" style="8" customWidth="1"/>
    <col min="14851" max="14855" width="10.5" style="8" customWidth="1"/>
    <col min="14856" max="14856" width="17.5" style="8" customWidth="1"/>
    <col min="14857" max="14857" width="14.6640625" style="8" customWidth="1"/>
    <col min="14858" max="14858" width="11.1640625" style="8" customWidth="1"/>
    <col min="14859" max="14860" width="6" style="8" customWidth="1"/>
    <col min="14861" max="15104" width="8.6640625" style="8"/>
    <col min="15105" max="15105" width="5.6640625" style="8" bestFit="1" customWidth="1"/>
    <col min="15106" max="15106" width="11.1640625" style="8" customWidth="1"/>
    <col min="15107" max="15111" width="10.5" style="8" customWidth="1"/>
    <col min="15112" max="15112" width="17.5" style="8" customWidth="1"/>
    <col min="15113" max="15113" width="14.6640625" style="8" customWidth="1"/>
    <col min="15114" max="15114" width="11.1640625" style="8" customWidth="1"/>
    <col min="15115" max="15116" width="6" style="8" customWidth="1"/>
    <col min="15117" max="15360" width="8.6640625" style="8"/>
    <col min="15361" max="15361" width="5.6640625" style="8" bestFit="1" customWidth="1"/>
    <col min="15362" max="15362" width="11.1640625" style="8" customWidth="1"/>
    <col min="15363" max="15367" width="10.5" style="8" customWidth="1"/>
    <col min="15368" max="15368" width="17.5" style="8" customWidth="1"/>
    <col min="15369" max="15369" width="14.6640625" style="8" customWidth="1"/>
    <col min="15370" max="15370" width="11.1640625" style="8" customWidth="1"/>
    <col min="15371" max="15372" width="6" style="8" customWidth="1"/>
    <col min="15373" max="15616" width="8.6640625" style="8"/>
    <col min="15617" max="15617" width="5.6640625" style="8" bestFit="1" customWidth="1"/>
    <col min="15618" max="15618" width="11.1640625" style="8" customWidth="1"/>
    <col min="15619" max="15623" width="10.5" style="8" customWidth="1"/>
    <col min="15624" max="15624" width="17.5" style="8" customWidth="1"/>
    <col min="15625" max="15625" width="14.6640625" style="8" customWidth="1"/>
    <col min="15626" max="15626" width="11.1640625" style="8" customWidth="1"/>
    <col min="15627" max="15628" width="6" style="8" customWidth="1"/>
    <col min="15629" max="15872" width="8.6640625" style="8"/>
    <col min="15873" max="15873" width="5.6640625" style="8" bestFit="1" customWidth="1"/>
    <col min="15874" max="15874" width="11.1640625" style="8" customWidth="1"/>
    <col min="15875" max="15879" width="10.5" style="8" customWidth="1"/>
    <col min="15880" max="15880" width="17.5" style="8" customWidth="1"/>
    <col min="15881" max="15881" width="14.6640625" style="8" customWidth="1"/>
    <col min="15882" max="15882" width="11.1640625" style="8" customWidth="1"/>
    <col min="15883" max="15884" width="6" style="8" customWidth="1"/>
    <col min="15885" max="16128" width="8.6640625" style="8"/>
    <col min="16129" max="16129" width="5.6640625" style="8" bestFit="1" customWidth="1"/>
    <col min="16130" max="16130" width="11.1640625" style="8" customWidth="1"/>
    <col min="16131" max="16135" width="10.5" style="8" customWidth="1"/>
    <col min="16136" max="16136" width="17.5" style="8" customWidth="1"/>
    <col min="16137" max="16137" width="14.6640625" style="8" customWidth="1"/>
    <col min="16138" max="16138" width="11.1640625" style="8" customWidth="1"/>
    <col min="16139" max="16140" width="6" style="8" customWidth="1"/>
    <col min="16141" max="16384" width="8.6640625" style="8"/>
  </cols>
  <sheetData>
    <row r="1" spans="1:11">
      <c r="A1" s="54"/>
      <c r="B1" s="55" t="s">
        <v>75</v>
      </c>
      <c r="C1" s="56"/>
      <c r="D1" s="56"/>
      <c r="E1" s="56"/>
      <c r="F1" s="56"/>
      <c r="G1" s="55"/>
      <c r="H1" s="56"/>
      <c r="I1" s="56"/>
      <c r="J1" s="55"/>
    </row>
    <row r="2" spans="1:11" s="30" customFormat="1">
      <c r="A2" s="57"/>
      <c r="B2" s="55" t="s">
        <v>126</v>
      </c>
      <c r="C2" s="56"/>
      <c r="D2" s="56"/>
      <c r="E2" s="56"/>
      <c r="F2" s="56"/>
      <c r="G2" s="55"/>
      <c r="H2" s="56"/>
      <c r="I2" s="56"/>
      <c r="J2" s="55"/>
    </row>
    <row r="3" spans="1:11" s="30" customFormat="1">
      <c r="A3" s="58"/>
      <c r="B3" s="55" t="s">
        <v>144</v>
      </c>
      <c r="C3" s="56"/>
      <c r="D3" s="56"/>
      <c r="E3" s="56"/>
      <c r="F3" s="56"/>
      <c r="G3" s="55"/>
      <c r="H3" s="56"/>
      <c r="I3" s="56"/>
      <c r="J3" s="55"/>
    </row>
    <row r="4" spans="1:11" ht="11.1" customHeight="1">
      <c r="A4" s="8"/>
      <c r="G4" s="8"/>
    </row>
    <row r="5" spans="1:11" ht="11.1" customHeight="1">
      <c r="A5" s="59">
        <v>1</v>
      </c>
      <c r="B5" s="60" t="s">
        <v>1</v>
      </c>
      <c r="C5" s="60" t="s">
        <v>16</v>
      </c>
      <c r="D5" s="60" t="s">
        <v>26</v>
      </c>
      <c r="E5" s="60" t="s">
        <v>28</v>
      </c>
      <c r="F5" s="60" t="s">
        <v>29</v>
      </c>
      <c r="G5" s="60" t="s">
        <v>30</v>
      </c>
      <c r="H5" s="60" t="s">
        <v>31</v>
      </c>
      <c r="I5" s="60" t="s">
        <v>32</v>
      </c>
    </row>
    <row r="6" spans="1:11" ht="11.1" customHeight="1">
      <c r="A6" s="59">
        <f>A5+1</f>
        <v>2</v>
      </c>
      <c r="B6" s="60"/>
      <c r="C6" s="60"/>
      <c r="D6" s="60"/>
      <c r="E6" s="60"/>
      <c r="F6" s="324" t="s">
        <v>118</v>
      </c>
      <c r="G6" s="61"/>
      <c r="H6" s="61"/>
      <c r="I6" s="324" t="s">
        <v>130</v>
      </c>
    </row>
    <row r="7" spans="1:11" ht="11.1" customHeight="1">
      <c r="A7" s="59">
        <f t="shared" ref="A7:A25" si="0">A6+1</f>
        <v>3</v>
      </c>
      <c r="B7" s="60"/>
      <c r="C7" s="60"/>
      <c r="D7" s="60"/>
      <c r="E7" s="60"/>
      <c r="F7" s="324"/>
      <c r="G7" s="61"/>
      <c r="H7" s="61"/>
      <c r="I7" s="324"/>
    </row>
    <row r="8" spans="1:11" ht="11.1" customHeight="1">
      <c r="A8" s="59">
        <f t="shared" si="0"/>
        <v>4</v>
      </c>
      <c r="B8" s="60"/>
      <c r="C8" s="62" t="s">
        <v>19</v>
      </c>
      <c r="D8" s="62" t="s">
        <v>8</v>
      </c>
      <c r="E8" s="63" t="s">
        <v>46</v>
      </c>
      <c r="F8" s="324"/>
      <c r="G8" s="324" t="s">
        <v>42</v>
      </c>
      <c r="H8" s="324" t="s">
        <v>125</v>
      </c>
      <c r="I8" s="324"/>
      <c r="J8" s="186"/>
    </row>
    <row r="9" spans="1:11" ht="10.15" customHeight="1">
      <c r="A9" s="59">
        <f t="shared" si="0"/>
        <v>5</v>
      </c>
      <c r="B9" s="64" t="s">
        <v>117</v>
      </c>
      <c r="C9" s="65" t="s">
        <v>10</v>
      </c>
      <c r="D9" s="64" t="s">
        <v>47</v>
      </c>
      <c r="E9" s="64" t="s">
        <v>47</v>
      </c>
      <c r="F9" s="325"/>
      <c r="G9" s="325"/>
      <c r="H9" s="325" t="s">
        <v>41</v>
      </c>
      <c r="I9" s="325"/>
    </row>
    <row r="10" spans="1:11" s="12" customFormat="1">
      <c r="A10" s="59">
        <f t="shared" si="0"/>
        <v>6</v>
      </c>
      <c r="B10" s="176" t="s">
        <v>11</v>
      </c>
      <c r="C10" s="177">
        <v>6.7400000000000002E-2</v>
      </c>
      <c r="D10" s="178">
        <v>35961</v>
      </c>
      <c r="E10" s="178">
        <v>43266</v>
      </c>
      <c r="F10" s="179">
        <v>98.98509159000001</v>
      </c>
      <c r="G10" s="180">
        <f t="shared" ref="G10:G26" si="1">ROUND(YIELD(D10,E10,C10,F10,100,2,2),4)</f>
        <v>6.83E-2</v>
      </c>
      <c r="H10" s="181"/>
      <c r="I10" s="181"/>
      <c r="J10" s="187" t="s">
        <v>146</v>
      </c>
      <c r="K10" s="173"/>
    </row>
    <row r="11" spans="1:11" s="13" customFormat="1">
      <c r="A11" s="59">
        <f t="shared" si="0"/>
        <v>7</v>
      </c>
      <c r="B11" s="66" t="s">
        <v>13</v>
      </c>
      <c r="C11" s="67">
        <v>7.1499999999999994E-2</v>
      </c>
      <c r="D11" s="68">
        <v>35053</v>
      </c>
      <c r="E11" s="68">
        <v>46010</v>
      </c>
      <c r="F11" s="69">
        <v>99.211911999999998</v>
      </c>
      <c r="G11" s="70">
        <f t="shared" si="1"/>
        <v>7.2099999999999997E-2</v>
      </c>
      <c r="H11" s="71">
        <f t="shared" ref="H11:H26" si="2">I11*G11</f>
        <v>1081500</v>
      </c>
      <c r="I11" s="71">
        <v>15000000</v>
      </c>
      <c r="J11" s="71"/>
      <c r="K11" s="174"/>
    </row>
    <row r="12" spans="1:11" s="13" customFormat="1">
      <c r="A12" s="59">
        <f t="shared" si="0"/>
        <v>8</v>
      </c>
      <c r="B12" s="66" t="s">
        <v>13</v>
      </c>
      <c r="C12" s="67">
        <v>7.1999999999999995E-2</v>
      </c>
      <c r="D12" s="68">
        <v>35054</v>
      </c>
      <c r="E12" s="68">
        <v>46013</v>
      </c>
      <c r="F12" s="69">
        <v>99.211600000000004</v>
      </c>
      <c r="G12" s="70">
        <f t="shared" si="1"/>
        <v>7.2599999999999998E-2</v>
      </c>
      <c r="H12" s="71">
        <f t="shared" si="2"/>
        <v>145200</v>
      </c>
      <c r="I12" s="71">
        <v>2000000</v>
      </c>
      <c r="J12" s="71"/>
      <c r="K12" s="174"/>
    </row>
    <row r="13" spans="1:11" s="13" customFormat="1">
      <c r="A13" s="59">
        <f t="shared" si="0"/>
        <v>9</v>
      </c>
      <c r="B13" s="66" t="s">
        <v>11</v>
      </c>
      <c r="C13" s="67">
        <v>7.0199999999999999E-2</v>
      </c>
      <c r="D13" s="68">
        <v>35786</v>
      </c>
      <c r="E13" s="68">
        <v>46722</v>
      </c>
      <c r="F13" s="69">
        <v>98.985735776666658</v>
      </c>
      <c r="G13" s="70">
        <f t="shared" si="1"/>
        <v>7.0999999999999994E-2</v>
      </c>
      <c r="H13" s="71">
        <f t="shared" si="2"/>
        <v>21299999.999999996</v>
      </c>
      <c r="I13" s="71">
        <v>300000000</v>
      </c>
      <c r="J13" s="71"/>
      <c r="K13" s="174"/>
    </row>
    <row r="14" spans="1:11">
      <c r="A14" s="59">
        <f t="shared" si="0"/>
        <v>10</v>
      </c>
      <c r="B14" s="66" t="s">
        <v>12</v>
      </c>
      <c r="C14" s="67">
        <v>7.0000000000000007E-2</v>
      </c>
      <c r="D14" s="68">
        <v>36228</v>
      </c>
      <c r="E14" s="68">
        <v>47186</v>
      </c>
      <c r="F14" s="69">
        <v>99.042870549999989</v>
      </c>
      <c r="G14" s="70">
        <f t="shared" si="1"/>
        <v>7.0800000000000002E-2</v>
      </c>
      <c r="H14" s="71">
        <f t="shared" si="2"/>
        <v>7080000</v>
      </c>
      <c r="I14" s="71">
        <v>100000000</v>
      </c>
      <c r="J14" s="71"/>
      <c r="K14" s="175"/>
    </row>
    <row r="15" spans="1:11">
      <c r="A15" s="59">
        <f t="shared" si="0"/>
        <v>11</v>
      </c>
      <c r="B15" s="72" t="s">
        <v>14</v>
      </c>
      <c r="C15" s="67">
        <v>3.9E-2</v>
      </c>
      <c r="D15" s="73">
        <v>41417</v>
      </c>
      <c r="E15" s="73">
        <v>47908</v>
      </c>
      <c r="F15" s="69">
        <v>98.939099999999996</v>
      </c>
      <c r="G15" s="70">
        <f t="shared" si="1"/>
        <v>3.9800000000000002E-2</v>
      </c>
      <c r="H15" s="71">
        <f t="shared" si="2"/>
        <v>5510708</v>
      </c>
      <c r="I15" s="71">
        <v>138460000</v>
      </c>
      <c r="J15" s="71"/>
      <c r="K15" s="175"/>
    </row>
    <row r="16" spans="1:11">
      <c r="A16" s="59">
        <f t="shared" si="0"/>
        <v>12</v>
      </c>
      <c r="B16" s="72" t="s">
        <v>14</v>
      </c>
      <c r="C16" s="67">
        <v>0.04</v>
      </c>
      <c r="D16" s="73">
        <v>41417</v>
      </c>
      <c r="E16" s="73">
        <v>47908</v>
      </c>
      <c r="F16" s="69">
        <v>98.939099999999996</v>
      </c>
      <c r="G16" s="70">
        <f t="shared" si="1"/>
        <v>4.0800000000000003E-2</v>
      </c>
      <c r="H16" s="71">
        <f t="shared" si="2"/>
        <v>954720.00000000012</v>
      </c>
      <c r="I16" s="71">
        <v>23400000</v>
      </c>
      <c r="J16" s="71"/>
      <c r="K16" s="175"/>
    </row>
    <row r="17" spans="1:11">
      <c r="A17" s="59">
        <f t="shared" si="0"/>
        <v>13</v>
      </c>
      <c r="B17" s="66" t="s">
        <v>43</v>
      </c>
      <c r="C17" s="67">
        <v>5.4829999999999997E-2</v>
      </c>
      <c r="D17" s="68">
        <v>38499</v>
      </c>
      <c r="E17" s="68">
        <v>49461</v>
      </c>
      <c r="F17" s="69">
        <v>84.886606835999999</v>
      </c>
      <c r="G17" s="70">
        <f t="shared" si="1"/>
        <v>6.6500000000000004E-2</v>
      </c>
      <c r="H17" s="74">
        <f t="shared" si="2"/>
        <v>16625000</v>
      </c>
      <c r="I17" s="71">
        <v>250000000</v>
      </c>
      <c r="J17" s="71"/>
      <c r="K17" s="175"/>
    </row>
    <row r="18" spans="1:11">
      <c r="A18" s="59">
        <f t="shared" si="0"/>
        <v>14</v>
      </c>
      <c r="B18" s="66" t="s">
        <v>43</v>
      </c>
      <c r="C18" s="67">
        <v>6.7239999999999994E-2</v>
      </c>
      <c r="D18" s="68">
        <v>38898</v>
      </c>
      <c r="E18" s="68">
        <v>49841</v>
      </c>
      <c r="F18" s="69">
        <v>107.515271756</v>
      </c>
      <c r="G18" s="70">
        <f t="shared" si="1"/>
        <v>6.1699999999999998E-2</v>
      </c>
      <c r="H18" s="74">
        <f t="shared" si="2"/>
        <v>15425000</v>
      </c>
      <c r="I18" s="71">
        <v>250000000</v>
      </c>
      <c r="J18" s="71"/>
      <c r="K18" s="175"/>
    </row>
    <row r="19" spans="1:11">
      <c r="A19" s="59">
        <f t="shared" si="0"/>
        <v>15</v>
      </c>
      <c r="B19" s="66" t="s">
        <v>43</v>
      </c>
      <c r="C19" s="67">
        <v>6.2740000000000004E-2</v>
      </c>
      <c r="D19" s="68">
        <v>38978</v>
      </c>
      <c r="E19" s="68">
        <v>50114</v>
      </c>
      <c r="F19" s="69">
        <v>98.812700000000007</v>
      </c>
      <c r="G19" s="70">
        <f t="shared" si="1"/>
        <v>6.3600000000000004E-2</v>
      </c>
      <c r="H19" s="74">
        <f t="shared" si="2"/>
        <v>19080000</v>
      </c>
      <c r="I19" s="71">
        <v>300000000</v>
      </c>
      <c r="J19" s="71"/>
      <c r="K19" s="175"/>
    </row>
    <row r="20" spans="1:11">
      <c r="A20" s="59">
        <f t="shared" si="0"/>
        <v>16</v>
      </c>
      <c r="B20" s="66" t="s">
        <v>43</v>
      </c>
      <c r="C20" s="67">
        <v>5.7570000000000003E-2</v>
      </c>
      <c r="D20" s="68">
        <v>40067</v>
      </c>
      <c r="E20" s="68">
        <v>51058</v>
      </c>
      <c r="F20" s="69">
        <v>98.983599999999996</v>
      </c>
      <c r="G20" s="70">
        <f t="shared" si="1"/>
        <v>5.8299999999999998E-2</v>
      </c>
      <c r="H20" s="74">
        <f t="shared" si="2"/>
        <v>20405000</v>
      </c>
      <c r="I20" s="71">
        <v>350000000</v>
      </c>
      <c r="J20" s="71"/>
      <c r="K20" s="175"/>
    </row>
    <row r="21" spans="1:11">
      <c r="A21" s="59">
        <f t="shared" si="0"/>
        <v>17</v>
      </c>
      <c r="B21" s="66" t="s">
        <v>43</v>
      </c>
      <c r="C21" s="67">
        <v>5.7950000000000002E-2</v>
      </c>
      <c r="D21" s="68">
        <v>40245</v>
      </c>
      <c r="E21" s="68">
        <v>51210</v>
      </c>
      <c r="F21" s="69">
        <v>98.958799999999997</v>
      </c>
      <c r="G21" s="70">
        <f t="shared" si="1"/>
        <v>5.8700000000000002E-2</v>
      </c>
      <c r="H21" s="74">
        <f t="shared" si="2"/>
        <v>19077500</v>
      </c>
      <c r="I21" s="71">
        <v>325000000</v>
      </c>
      <c r="J21" s="71"/>
      <c r="K21" s="175"/>
    </row>
    <row r="22" spans="1:11">
      <c r="A22" s="59">
        <f t="shared" si="0"/>
        <v>18</v>
      </c>
      <c r="B22" s="66" t="s">
        <v>43</v>
      </c>
      <c r="C22" s="67">
        <v>5.7639999999999997E-2</v>
      </c>
      <c r="D22" s="68">
        <v>40358</v>
      </c>
      <c r="E22" s="68">
        <v>51332</v>
      </c>
      <c r="F22" s="69">
        <v>98.965199999999996</v>
      </c>
      <c r="G22" s="70">
        <f t="shared" si="1"/>
        <v>5.8400000000000001E-2</v>
      </c>
      <c r="H22" s="74">
        <f t="shared" si="2"/>
        <v>14600000</v>
      </c>
      <c r="I22" s="71">
        <v>250000000</v>
      </c>
      <c r="J22" s="71"/>
      <c r="K22" s="175"/>
    </row>
    <row r="23" spans="1:11">
      <c r="A23" s="59">
        <f t="shared" si="0"/>
        <v>19</v>
      </c>
      <c r="B23" s="66" t="s">
        <v>43</v>
      </c>
      <c r="C23" s="67">
        <v>5.638E-2</v>
      </c>
      <c r="D23" s="68">
        <v>40627</v>
      </c>
      <c r="E23" s="68">
        <v>51606</v>
      </c>
      <c r="F23" s="69">
        <v>98.971000000000004</v>
      </c>
      <c r="G23" s="70">
        <f t="shared" si="1"/>
        <v>5.7099999999999998E-2</v>
      </c>
      <c r="H23" s="74">
        <f t="shared" si="2"/>
        <v>17130000</v>
      </c>
      <c r="I23" s="71">
        <v>300000000</v>
      </c>
      <c r="J23" s="71"/>
      <c r="K23" s="175"/>
    </row>
    <row r="24" spans="1:11">
      <c r="A24" s="59">
        <f t="shared" si="0"/>
        <v>20</v>
      </c>
      <c r="B24" s="66" t="s">
        <v>43</v>
      </c>
      <c r="C24" s="67">
        <v>4.4339999999999997E-2</v>
      </c>
      <c r="D24" s="68">
        <v>40863</v>
      </c>
      <c r="E24" s="68">
        <v>51820</v>
      </c>
      <c r="F24" s="69">
        <v>98.962999999999994</v>
      </c>
      <c r="G24" s="70">
        <f t="shared" si="1"/>
        <v>4.4999999999999998E-2</v>
      </c>
      <c r="H24" s="74">
        <f t="shared" si="2"/>
        <v>11250000</v>
      </c>
      <c r="I24" s="71">
        <v>250000000</v>
      </c>
      <c r="J24" s="71"/>
      <c r="K24" s="175"/>
    </row>
    <row r="25" spans="1:11">
      <c r="A25" s="59">
        <f t="shared" si="0"/>
        <v>21</v>
      </c>
      <c r="B25" s="66" t="s">
        <v>43</v>
      </c>
      <c r="C25" s="67">
        <v>4.7E-2</v>
      </c>
      <c r="D25" s="68">
        <v>40869</v>
      </c>
      <c r="E25" s="68">
        <v>55472</v>
      </c>
      <c r="F25" s="69">
        <v>98.863900000000001</v>
      </c>
      <c r="G25" s="70">
        <f t="shared" si="1"/>
        <v>4.7600000000000003E-2</v>
      </c>
      <c r="H25" s="74">
        <f t="shared" si="2"/>
        <v>2142000</v>
      </c>
      <c r="I25" s="71">
        <v>45000000</v>
      </c>
      <c r="J25" s="71"/>
      <c r="K25" s="175"/>
    </row>
    <row r="26" spans="1:11">
      <c r="A26" s="59">
        <f>A25+1</f>
        <v>22</v>
      </c>
      <c r="B26" s="66" t="s">
        <v>43</v>
      </c>
      <c r="C26" s="67">
        <v>4.2999999999999997E-2</v>
      </c>
      <c r="D26" s="68">
        <v>42150</v>
      </c>
      <c r="E26" s="68">
        <v>53102</v>
      </c>
      <c r="F26" s="69">
        <v>98.483341649411756</v>
      </c>
      <c r="G26" s="70">
        <f t="shared" si="1"/>
        <v>4.3900000000000002E-2</v>
      </c>
      <c r="H26" s="74">
        <f t="shared" si="2"/>
        <v>18657500</v>
      </c>
      <c r="I26" s="71">
        <v>425000000</v>
      </c>
      <c r="J26" s="71"/>
      <c r="K26" s="175"/>
    </row>
    <row r="27" spans="1:11">
      <c r="A27" s="59">
        <f>A26+1</f>
        <v>23</v>
      </c>
      <c r="B27" s="176" t="s">
        <v>43</v>
      </c>
      <c r="C27" s="177">
        <v>4.2229999999999997E-2</v>
      </c>
      <c r="D27" s="178">
        <v>43265</v>
      </c>
      <c r="E27" s="178">
        <v>54224</v>
      </c>
      <c r="F27" s="179">
        <v>98.886799999999994</v>
      </c>
      <c r="G27" s="180">
        <f>ROUND(YIELD(D27,E27,C27,F27,100,2,2),4)</f>
        <v>4.2900000000000001E-2</v>
      </c>
      <c r="H27" s="182">
        <f>I27*G27</f>
        <v>25740000</v>
      </c>
      <c r="I27" s="181">
        <v>600000000</v>
      </c>
      <c r="J27" s="187" t="s">
        <v>148</v>
      </c>
      <c r="K27" s="175"/>
    </row>
    <row r="28" spans="1:11">
      <c r="A28" s="59">
        <f>A27+1</f>
        <v>24</v>
      </c>
      <c r="B28" s="75" t="s">
        <v>127</v>
      </c>
      <c r="C28" s="71"/>
      <c r="D28" s="76"/>
      <c r="E28" s="68"/>
      <c r="F28" s="68"/>
      <c r="G28" s="77"/>
      <c r="H28" s="78">
        <f>SUM(H11:H27)</f>
        <v>216204128</v>
      </c>
      <c r="I28" s="78">
        <f>SUM(I11:I27)</f>
        <v>3923860000</v>
      </c>
      <c r="K28" s="175"/>
    </row>
    <row r="29" spans="1:11">
      <c r="A29" s="59">
        <f t="shared" ref="A29:A46" si="3">A28+1</f>
        <v>25</v>
      </c>
      <c r="B29" s="79"/>
      <c r="C29" s="71"/>
      <c r="D29" s="76"/>
      <c r="E29" s="68"/>
      <c r="F29" s="68"/>
      <c r="G29" s="77"/>
      <c r="H29" s="80"/>
      <c r="I29" s="74"/>
      <c r="J29" s="71"/>
    </row>
    <row r="30" spans="1:11">
      <c r="A30" s="59">
        <f t="shared" si="3"/>
        <v>26</v>
      </c>
      <c r="B30" s="79"/>
      <c r="C30" s="71"/>
      <c r="D30" s="76"/>
      <c r="E30" s="68"/>
      <c r="F30" s="68"/>
      <c r="G30" s="77"/>
      <c r="H30" s="80"/>
      <c r="I30" s="74"/>
      <c r="J30" s="71"/>
    </row>
    <row r="31" spans="1:11">
      <c r="A31" s="59">
        <f t="shared" si="3"/>
        <v>27</v>
      </c>
      <c r="B31" s="183" t="s">
        <v>137</v>
      </c>
      <c r="C31" s="177">
        <v>6.9739999999999996E-2</v>
      </c>
      <c r="D31" s="178">
        <v>39237</v>
      </c>
      <c r="E31" s="178">
        <v>61149</v>
      </c>
      <c r="F31" s="179">
        <v>98.226200000000006</v>
      </c>
      <c r="G31" s="180"/>
      <c r="H31" s="184">
        <v>0</v>
      </c>
      <c r="I31" s="185"/>
      <c r="J31" s="187" t="s">
        <v>145</v>
      </c>
    </row>
    <row r="32" spans="1:11">
      <c r="A32" s="59">
        <f t="shared" si="3"/>
        <v>28</v>
      </c>
      <c r="B32" s="75" t="s">
        <v>128</v>
      </c>
      <c r="C32" s="71"/>
      <c r="D32" s="76"/>
      <c r="E32" s="68"/>
      <c r="F32" s="69"/>
      <c r="G32" s="80"/>
      <c r="H32" s="78">
        <v>0</v>
      </c>
      <c r="I32" s="81">
        <f>I31</f>
        <v>0</v>
      </c>
      <c r="J32" s="44"/>
    </row>
    <row r="33" spans="1:39">
      <c r="A33" s="59">
        <f t="shared" si="3"/>
        <v>29</v>
      </c>
      <c r="B33" s="79"/>
      <c r="C33" s="71"/>
      <c r="D33" s="76"/>
      <c r="E33" s="68"/>
      <c r="F33" s="69"/>
      <c r="G33" s="80"/>
      <c r="H33" s="74"/>
      <c r="I33" s="71"/>
    </row>
    <row r="34" spans="1:39" ht="13.5" thickBot="1">
      <c r="A34" s="59">
        <f t="shared" si="3"/>
        <v>30</v>
      </c>
      <c r="B34" s="82" t="s">
        <v>129</v>
      </c>
      <c r="C34" s="83"/>
      <c r="D34" s="76"/>
      <c r="E34" s="68"/>
      <c r="F34" s="78"/>
      <c r="G34" s="84">
        <f>H34/I34</f>
        <v>5.5099857793091497E-2</v>
      </c>
      <c r="H34" s="85">
        <f>H28+H32</f>
        <v>216204128</v>
      </c>
      <c r="I34" s="86">
        <f>I28+I32</f>
        <v>3923860000</v>
      </c>
    </row>
    <row r="35" spans="1:39" ht="13.5" thickTop="1">
      <c r="A35" s="59">
        <f t="shared" si="3"/>
        <v>31</v>
      </c>
      <c r="B35" s="83"/>
      <c r="C35" s="83"/>
      <c r="D35" s="76"/>
      <c r="E35" s="68"/>
      <c r="F35" s="78"/>
      <c r="G35" s="87"/>
      <c r="H35" s="87"/>
      <c r="I35" s="78"/>
    </row>
    <row r="36" spans="1:39">
      <c r="A36" s="59">
        <f t="shared" si="3"/>
        <v>32</v>
      </c>
      <c r="B36" s="88" t="s">
        <v>114</v>
      </c>
      <c r="C36" s="88"/>
      <c r="D36" s="76"/>
      <c r="E36" s="68"/>
      <c r="F36" s="78"/>
      <c r="G36" s="89">
        <f>IFERROR(ROUND(H36/I36,4),0)</f>
        <v>4.1799999999999997E-2</v>
      </c>
      <c r="H36" s="74">
        <f>'Pg 3 STD Int &amp; Fees-Details'!P28</f>
        <v>7744719.8073424995</v>
      </c>
      <c r="I36" s="192">
        <f>'Pg 3 STD Int &amp; Fees-Details'!P7*1000</f>
        <v>185102790</v>
      </c>
    </row>
    <row r="37" spans="1:39" ht="13.5" thickBot="1">
      <c r="A37" s="59">
        <f t="shared" si="3"/>
        <v>33</v>
      </c>
      <c r="B37" s="90" t="s">
        <v>115</v>
      </c>
      <c r="C37" s="90"/>
      <c r="D37" s="76"/>
      <c r="E37" s="68"/>
      <c r="F37" s="63" t="s">
        <v>119</v>
      </c>
      <c r="G37" s="91">
        <f>ROUND(H37/I37,4)</f>
        <v>5.45E-2</v>
      </c>
      <c r="H37" s="85">
        <f>H34+H36</f>
        <v>223948847.8073425</v>
      </c>
      <c r="I37" s="86">
        <f>I34+I36</f>
        <v>4108962790</v>
      </c>
    </row>
    <row r="38" spans="1:39" ht="13.5" thickTop="1">
      <c r="A38" s="59">
        <f t="shared" si="3"/>
        <v>34</v>
      </c>
      <c r="B38" s="90"/>
      <c r="C38" s="90"/>
      <c r="D38" s="76"/>
      <c r="E38" s="68"/>
      <c r="F38" s="68"/>
      <c r="G38" s="78"/>
      <c r="H38" s="92"/>
      <c r="I38" s="93"/>
      <c r="J38" s="94"/>
    </row>
    <row r="39" spans="1:39">
      <c r="A39" s="59">
        <f t="shared" si="3"/>
        <v>35</v>
      </c>
      <c r="B39" s="90" t="s">
        <v>123</v>
      </c>
      <c r="C39" s="90"/>
      <c r="D39" s="76"/>
      <c r="E39" s="68"/>
      <c r="F39" s="68"/>
      <c r="H39" s="95">
        <f>I34</f>
        <v>3923860000</v>
      </c>
      <c r="I39" s="93"/>
      <c r="J39" s="94"/>
    </row>
    <row r="40" spans="1:39">
      <c r="A40" s="59">
        <f t="shared" si="3"/>
        <v>36</v>
      </c>
      <c r="B40" s="90" t="s">
        <v>122</v>
      </c>
      <c r="C40" s="90"/>
      <c r="D40" s="76"/>
      <c r="E40" s="68"/>
      <c r="F40" s="68"/>
      <c r="H40" s="193">
        <f>'Pg 1 CofCap '!D18</f>
        <v>0.49180000000000001</v>
      </c>
      <c r="I40" s="93"/>
      <c r="J40" s="94"/>
    </row>
    <row r="41" spans="1:39">
      <c r="A41" s="59">
        <f t="shared" si="3"/>
        <v>37</v>
      </c>
      <c r="B41" s="90" t="s">
        <v>124</v>
      </c>
      <c r="C41" s="90"/>
      <c r="D41" s="76"/>
      <c r="E41" s="68"/>
      <c r="F41" s="68"/>
      <c r="H41" s="194">
        <f>H39/H40</f>
        <v>7978568523.7901583</v>
      </c>
      <c r="I41" s="93"/>
      <c r="J41" s="94"/>
    </row>
    <row r="42" spans="1:39">
      <c r="A42" s="59">
        <f t="shared" si="3"/>
        <v>38</v>
      </c>
      <c r="B42" s="90"/>
      <c r="C42" s="90"/>
      <c r="D42" s="76"/>
      <c r="E42" s="68"/>
      <c r="F42" s="68"/>
      <c r="G42" s="78"/>
      <c r="H42" s="92"/>
      <c r="I42" s="93"/>
      <c r="J42" s="94"/>
    </row>
    <row r="43" spans="1:39">
      <c r="A43" s="59">
        <f t="shared" si="3"/>
        <v>39</v>
      </c>
      <c r="B43" s="96" t="s">
        <v>138</v>
      </c>
      <c r="C43" s="97"/>
      <c r="D43" s="98"/>
      <c r="E43" s="98"/>
      <c r="F43" s="98"/>
      <c r="G43" s="98"/>
      <c r="H43" s="98"/>
      <c r="I43" s="98"/>
    </row>
    <row r="44" spans="1:39">
      <c r="A44" s="59">
        <f t="shared" si="3"/>
        <v>40</v>
      </c>
      <c r="B44" s="96" t="s">
        <v>139</v>
      </c>
      <c r="C44" s="97"/>
      <c r="D44" s="98"/>
      <c r="E44" s="98"/>
      <c r="F44" s="98"/>
      <c r="G44" s="98"/>
      <c r="H44" s="99"/>
      <c r="I44" s="98"/>
    </row>
    <row r="45" spans="1:39">
      <c r="A45" s="59">
        <f t="shared" si="3"/>
        <v>41</v>
      </c>
      <c r="B45" s="323" t="s">
        <v>149</v>
      </c>
      <c r="C45" s="323"/>
      <c r="D45" s="323"/>
      <c r="E45" s="323"/>
      <c r="F45" s="323"/>
      <c r="G45" s="323"/>
      <c r="H45" s="323"/>
      <c r="I45" s="323"/>
    </row>
    <row r="46" spans="1:39" ht="23.65" customHeight="1">
      <c r="A46" s="59">
        <f t="shared" si="3"/>
        <v>42</v>
      </c>
      <c r="B46" s="323" t="s">
        <v>140</v>
      </c>
      <c r="C46" s="323"/>
      <c r="D46" s="323"/>
      <c r="E46" s="323"/>
      <c r="F46" s="323"/>
      <c r="G46" s="323"/>
      <c r="H46" s="323"/>
      <c r="I46" s="323"/>
    </row>
    <row r="47" spans="1:39">
      <c r="A47" s="299"/>
      <c r="B47" s="257"/>
      <c r="C47" s="257"/>
      <c r="D47" s="257"/>
      <c r="E47" s="257"/>
      <c r="F47" s="258"/>
      <c r="G47" s="39"/>
      <c r="H47" s="257"/>
      <c r="I47" s="258"/>
      <c r="J47" s="71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</row>
    <row r="48" spans="1:39">
      <c r="A48" s="18"/>
      <c r="B48" s="40"/>
      <c r="C48" s="40"/>
      <c r="D48" s="40"/>
      <c r="E48" s="40"/>
      <c r="F48" s="40"/>
      <c r="G48" s="39"/>
      <c r="H48" s="40"/>
      <c r="I48" s="98"/>
      <c r="J48" s="79"/>
    </row>
    <row r="49" spans="1:10">
      <c r="A49" s="18"/>
      <c r="B49" s="40"/>
      <c r="C49" s="40"/>
      <c r="D49" s="40"/>
      <c r="E49" s="40"/>
      <c r="F49" s="40"/>
      <c r="G49" s="38"/>
      <c r="H49" s="40"/>
      <c r="I49" s="33"/>
      <c r="J49" s="81"/>
    </row>
    <row r="50" spans="1:10">
      <c r="A50" s="18"/>
      <c r="B50" s="13"/>
      <c r="C50" s="13"/>
      <c r="D50" s="13"/>
      <c r="E50" s="13"/>
      <c r="F50" s="13"/>
      <c r="G50" s="39"/>
      <c r="H50" s="13"/>
      <c r="I50" s="13"/>
      <c r="J50" s="18" t="str">
        <f>IF(J49&lt;&gt;0,"ERROR","")</f>
        <v/>
      </c>
    </row>
    <row r="51" spans="1:10">
      <c r="A51" s="18"/>
      <c r="B51" s="13"/>
      <c r="C51" s="13"/>
      <c r="D51" s="13"/>
      <c r="E51" s="13"/>
      <c r="F51" s="13"/>
      <c r="G51" s="19"/>
      <c r="H51" s="13"/>
      <c r="I51" s="80"/>
    </row>
    <row r="52" spans="1:10">
      <c r="A52" s="20"/>
      <c r="B52" s="21"/>
      <c r="C52" s="21"/>
      <c r="D52" s="22"/>
      <c r="E52" s="23"/>
      <c r="F52" s="23"/>
      <c r="G52" s="100"/>
      <c r="H52" s="25"/>
      <c r="I52" s="80"/>
    </row>
    <row r="53" spans="1:10">
      <c r="A53" s="20"/>
      <c r="B53" s="21"/>
      <c r="C53" s="21"/>
      <c r="D53" s="22"/>
      <c r="E53" s="23"/>
      <c r="F53" s="23"/>
      <c r="G53" s="24"/>
      <c r="H53" s="25"/>
      <c r="I53" s="26"/>
    </row>
    <row r="54" spans="1:10">
      <c r="A54" s="20"/>
      <c r="B54" s="21"/>
      <c r="C54" s="21"/>
      <c r="D54" s="22"/>
      <c r="E54" s="23"/>
      <c r="F54" s="23"/>
      <c r="G54" s="24"/>
      <c r="H54" s="25"/>
      <c r="I54" s="26"/>
    </row>
    <row r="55" spans="1:10" hidden="1">
      <c r="A55" s="27"/>
      <c r="B55" s="13"/>
      <c r="C55" s="13"/>
      <c r="D55" s="13"/>
      <c r="E55" s="13"/>
      <c r="F55" s="13"/>
      <c r="G55" s="19"/>
      <c r="H55" s="13"/>
      <c r="I55" s="28"/>
    </row>
    <row r="56" spans="1:10" hidden="1">
      <c r="A56" s="27"/>
      <c r="B56" s="13"/>
      <c r="C56" s="13"/>
      <c r="D56" s="13"/>
      <c r="E56" s="13"/>
      <c r="F56" s="13"/>
      <c r="G56" s="19"/>
      <c r="H56" s="13"/>
      <c r="I56" s="29"/>
    </row>
    <row r="57" spans="1:10" hidden="1">
      <c r="A57" s="27"/>
      <c r="B57" s="13"/>
      <c r="C57" s="13"/>
      <c r="D57" s="13"/>
      <c r="E57" s="13"/>
      <c r="F57" s="13"/>
      <c r="G57" s="19"/>
      <c r="H57" s="13"/>
      <c r="I57" s="13"/>
    </row>
    <row r="58" spans="1:10">
      <c r="A58" s="20"/>
      <c r="B58" s="21"/>
      <c r="C58" s="21"/>
      <c r="D58" s="22"/>
      <c r="E58" s="23"/>
      <c r="F58" s="23"/>
      <c r="G58" s="24"/>
      <c r="H58" s="25"/>
      <c r="I58" s="26"/>
    </row>
    <row r="59" spans="1:10">
      <c r="A59" s="20"/>
      <c r="B59" s="21"/>
      <c r="C59" s="21"/>
      <c r="D59" s="22"/>
      <c r="E59" s="23"/>
      <c r="F59" s="23"/>
      <c r="G59" s="24"/>
      <c r="H59" s="25"/>
      <c r="I59" s="26"/>
    </row>
    <row r="60" spans="1:10">
      <c r="A60" s="27"/>
      <c r="B60" s="13"/>
      <c r="C60" s="13"/>
      <c r="D60" s="13"/>
      <c r="E60" s="13"/>
      <c r="F60" s="13"/>
      <c r="G60" s="19"/>
      <c r="H60" s="13"/>
      <c r="I60" s="13"/>
    </row>
    <row r="61" spans="1:10">
      <c r="A61" s="27"/>
      <c r="B61" s="13"/>
      <c r="C61" s="13"/>
      <c r="D61" s="13"/>
      <c r="E61" s="13"/>
      <c r="F61" s="13"/>
      <c r="G61" s="19"/>
      <c r="H61" s="13"/>
      <c r="I61" s="13"/>
    </row>
    <row r="62" spans="1:10">
      <c r="A62" s="27"/>
      <c r="B62" s="13"/>
      <c r="C62" s="13"/>
      <c r="D62" s="13"/>
      <c r="E62" s="13"/>
      <c r="F62" s="13"/>
      <c r="G62" s="19"/>
      <c r="H62" s="13"/>
      <c r="I62" s="13"/>
    </row>
    <row r="63" spans="1:10">
      <c r="A63" s="27"/>
      <c r="B63" s="13"/>
      <c r="C63" s="13"/>
      <c r="D63" s="13"/>
      <c r="E63" s="13"/>
      <c r="F63" s="13"/>
      <c r="G63" s="19"/>
      <c r="H63" s="13"/>
      <c r="I63" s="13"/>
    </row>
    <row r="64" spans="1:10">
      <c r="A64" s="27"/>
      <c r="B64" s="13"/>
      <c r="C64" s="13"/>
      <c r="D64" s="13"/>
      <c r="E64" s="13"/>
      <c r="F64" s="13"/>
      <c r="G64" s="19"/>
      <c r="H64" s="13"/>
      <c r="I64" s="13"/>
    </row>
    <row r="65" spans="1:9">
      <c r="A65" s="27"/>
      <c r="B65" s="13"/>
      <c r="C65" s="13"/>
      <c r="D65" s="13"/>
      <c r="E65" s="13"/>
      <c r="F65" s="13"/>
      <c r="G65" s="19"/>
      <c r="H65" s="13"/>
      <c r="I65" s="13"/>
    </row>
    <row r="66" spans="1:9">
      <c r="A66" s="27"/>
      <c r="B66" s="13"/>
      <c r="C66" s="13"/>
      <c r="D66" s="13"/>
      <c r="E66" s="13"/>
      <c r="F66" s="13"/>
      <c r="G66" s="19"/>
      <c r="H66" s="13"/>
      <c r="I66" s="13"/>
    </row>
    <row r="67" spans="1:9">
      <c r="A67" s="27"/>
      <c r="B67" s="13"/>
      <c r="C67" s="13"/>
      <c r="D67" s="13"/>
      <c r="E67" s="13"/>
      <c r="F67" s="13"/>
      <c r="G67" s="19"/>
      <c r="H67" s="13"/>
      <c r="I67" s="13"/>
    </row>
    <row r="68" spans="1:9">
      <c r="A68" s="27"/>
      <c r="B68" s="13"/>
      <c r="C68" s="13"/>
      <c r="D68" s="13"/>
      <c r="E68" s="13"/>
      <c r="F68" s="13"/>
      <c r="G68" s="19"/>
      <c r="H68" s="13"/>
      <c r="I68" s="13"/>
    </row>
    <row r="69" spans="1:9">
      <c r="A69" s="18"/>
      <c r="B69" s="13"/>
      <c r="C69" s="13"/>
      <c r="D69" s="21"/>
      <c r="E69" s="13"/>
      <c r="F69" s="13"/>
      <c r="G69" s="19"/>
      <c r="H69" s="13"/>
      <c r="I69" s="13"/>
    </row>
    <row r="70" spans="1:9">
      <c r="D70" s="9"/>
      <c r="F70" s="15"/>
    </row>
    <row r="71" spans="1:9">
      <c r="D71" s="14"/>
    </row>
  </sheetData>
  <mergeCells count="6">
    <mergeCell ref="B46:I46"/>
    <mergeCell ref="F6:F9"/>
    <mergeCell ref="I6:I9"/>
    <mergeCell ref="G8:G9"/>
    <mergeCell ref="H8:H9"/>
    <mergeCell ref="B45:I45"/>
  </mergeCells>
  <printOptions horizontalCentered="1"/>
  <pageMargins left="0.2" right="0.2" top="0.41" bottom="0.35" header="0.17" footer="0.17"/>
  <pageSetup scale="89" orientation="landscape" r:id="rId1"/>
  <headerFooter alignWithMargins="0">
    <oddFooter>&amp;RExhibit No. ___(BJL-4)
Page 2 of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2"/>
  <sheetViews>
    <sheetView zoomScaleNormal="100" zoomScaleSheetLayoutView="100" workbookViewId="0">
      <pane ySplit="6" topLeftCell="A7" activePane="bottomLeft" state="frozen"/>
      <selection activeCell="I39" sqref="I39"/>
      <selection pane="bottomLeft" activeCell="H46" sqref="H46"/>
    </sheetView>
  </sheetViews>
  <sheetFormatPr defaultColWidth="10.5" defaultRowHeight="12"/>
  <cols>
    <col min="1" max="1" width="3.5" style="102" customWidth="1"/>
    <col min="2" max="2" width="32.33203125" style="102" customWidth="1"/>
    <col min="3" max="3" width="12.6640625" style="102" bestFit="1" customWidth="1"/>
    <col min="4" max="15" width="13.6640625" style="102" customWidth="1"/>
    <col min="16" max="16" width="14.33203125" style="102" customWidth="1"/>
    <col min="17" max="17" width="2" style="102" customWidth="1"/>
    <col min="18" max="18" width="8" style="102" bestFit="1" customWidth="1"/>
    <col min="19" max="256" width="10.5" style="102"/>
    <col min="257" max="257" width="3.5" style="102" customWidth="1"/>
    <col min="258" max="258" width="32.33203125" style="102" customWidth="1"/>
    <col min="259" max="259" width="12.6640625" style="102" bestFit="1" customWidth="1"/>
    <col min="260" max="271" width="13.6640625" style="102" customWidth="1"/>
    <col min="272" max="272" width="14.33203125" style="102" customWidth="1"/>
    <col min="273" max="273" width="2" style="102" customWidth="1"/>
    <col min="274" max="274" width="8" style="102" bestFit="1" customWidth="1"/>
    <col min="275" max="512" width="10.5" style="102"/>
    <col min="513" max="513" width="3.5" style="102" customWidth="1"/>
    <col min="514" max="514" width="32.33203125" style="102" customWidth="1"/>
    <col min="515" max="515" width="12.6640625" style="102" bestFit="1" customWidth="1"/>
    <col min="516" max="527" width="13.6640625" style="102" customWidth="1"/>
    <col min="528" max="528" width="14.33203125" style="102" customWidth="1"/>
    <col min="529" max="529" width="2" style="102" customWidth="1"/>
    <col min="530" max="530" width="8" style="102" bestFit="1" customWidth="1"/>
    <col min="531" max="768" width="10.5" style="102"/>
    <col min="769" max="769" width="3.5" style="102" customWidth="1"/>
    <col min="770" max="770" width="32.33203125" style="102" customWidth="1"/>
    <col min="771" max="771" width="12.6640625" style="102" bestFit="1" customWidth="1"/>
    <col min="772" max="783" width="13.6640625" style="102" customWidth="1"/>
    <col min="784" max="784" width="14.33203125" style="102" customWidth="1"/>
    <col min="785" max="785" width="2" style="102" customWidth="1"/>
    <col min="786" max="786" width="8" style="102" bestFit="1" customWidth="1"/>
    <col min="787" max="1024" width="10.5" style="102"/>
    <col min="1025" max="1025" width="3.5" style="102" customWidth="1"/>
    <col min="1026" max="1026" width="32.33203125" style="102" customWidth="1"/>
    <col min="1027" max="1027" width="12.6640625" style="102" bestFit="1" customWidth="1"/>
    <col min="1028" max="1039" width="13.6640625" style="102" customWidth="1"/>
    <col min="1040" max="1040" width="14.33203125" style="102" customWidth="1"/>
    <col min="1041" max="1041" width="2" style="102" customWidth="1"/>
    <col min="1042" max="1042" width="8" style="102" bestFit="1" customWidth="1"/>
    <col min="1043" max="1280" width="10.5" style="102"/>
    <col min="1281" max="1281" width="3.5" style="102" customWidth="1"/>
    <col min="1282" max="1282" width="32.33203125" style="102" customWidth="1"/>
    <col min="1283" max="1283" width="12.6640625" style="102" bestFit="1" customWidth="1"/>
    <col min="1284" max="1295" width="13.6640625" style="102" customWidth="1"/>
    <col min="1296" max="1296" width="14.33203125" style="102" customWidth="1"/>
    <col min="1297" max="1297" width="2" style="102" customWidth="1"/>
    <col min="1298" max="1298" width="8" style="102" bestFit="1" customWidth="1"/>
    <col min="1299" max="1536" width="10.5" style="102"/>
    <col min="1537" max="1537" width="3.5" style="102" customWidth="1"/>
    <col min="1538" max="1538" width="32.33203125" style="102" customWidth="1"/>
    <col min="1539" max="1539" width="12.6640625" style="102" bestFit="1" customWidth="1"/>
    <col min="1540" max="1551" width="13.6640625" style="102" customWidth="1"/>
    <col min="1552" max="1552" width="14.33203125" style="102" customWidth="1"/>
    <col min="1553" max="1553" width="2" style="102" customWidth="1"/>
    <col min="1554" max="1554" width="8" style="102" bestFit="1" customWidth="1"/>
    <col min="1555" max="1792" width="10.5" style="102"/>
    <col min="1793" max="1793" width="3.5" style="102" customWidth="1"/>
    <col min="1794" max="1794" width="32.33203125" style="102" customWidth="1"/>
    <col min="1795" max="1795" width="12.6640625" style="102" bestFit="1" customWidth="1"/>
    <col min="1796" max="1807" width="13.6640625" style="102" customWidth="1"/>
    <col min="1808" max="1808" width="14.33203125" style="102" customWidth="1"/>
    <col min="1809" max="1809" width="2" style="102" customWidth="1"/>
    <col min="1810" max="1810" width="8" style="102" bestFit="1" customWidth="1"/>
    <col min="1811" max="2048" width="10.5" style="102"/>
    <col min="2049" max="2049" width="3.5" style="102" customWidth="1"/>
    <col min="2050" max="2050" width="32.33203125" style="102" customWidth="1"/>
    <col min="2051" max="2051" width="12.6640625" style="102" bestFit="1" customWidth="1"/>
    <col min="2052" max="2063" width="13.6640625" style="102" customWidth="1"/>
    <col min="2064" max="2064" width="14.33203125" style="102" customWidth="1"/>
    <col min="2065" max="2065" width="2" style="102" customWidth="1"/>
    <col min="2066" max="2066" width="8" style="102" bestFit="1" customWidth="1"/>
    <col min="2067" max="2304" width="10.5" style="102"/>
    <col min="2305" max="2305" width="3.5" style="102" customWidth="1"/>
    <col min="2306" max="2306" width="32.33203125" style="102" customWidth="1"/>
    <col min="2307" max="2307" width="12.6640625" style="102" bestFit="1" customWidth="1"/>
    <col min="2308" max="2319" width="13.6640625" style="102" customWidth="1"/>
    <col min="2320" max="2320" width="14.33203125" style="102" customWidth="1"/>
    <col min="2321" max="2321" width="2" style="102" customWidth="1"/>
    <col min="2322" max="2322" width="8" style="102" bestFit="1" customWidth="1"/>
    <col min="2323" max="2560" width="10.5" style="102"/>
    <col min="2561" max="2561" width="3.5" style="102" customWidth="1"/>
    <col min="2562" max="2562" width="32.33203125" style="102" customWidth="1"/>
    <col min="2563" max="2563" width="12.6640625" style="102" bestFit="1" customWidth="1"/>
    <col min="2564" max="2575" width="13.6640625" style="102" customWidth="1"/>
    <col min="2576" max="2576" width="14.33203125" style="102" customWidth="1"/>
    <col min="2577" max="2577" width="2" style="102" customWidth="1"/>
    <col min="2578" max="2578" width="8" style="102" bestFit="1" customWidth="1"/>
    <col min="2579" max="2816" width="10.5" style="102"/>
    <col min="2817" max="2817" width="3.5" style="102" customWidth="1"/>
    <col min="2818" max="2818" width="32.33203125" style="102" customWidth="1"/>
    <col min="2819" max="2819" width="12.6640625" style="102" bestFit="1" customWidth="1"/>
    <col min="2820" max="2831" width="13.6640625" style="102" customWidth="1"/>
    <col min="2832" max="2832" width="14.33203125" style="102" customWidth="1"/>
    <col min="2833" max="2833" width="2" style="102" customWidth="1"/>
    <col min="2834" max="2834" width="8" style="102" bestFit="1" customWidth="1"/>
    <col min="2835" max="3072" width="10.5" style="102"/>
    <col min="3073" max="3073" width="3.5" style="102" customWidth="1"/>
    <col min="3074" max="3074" width="32.33203125" style="102" customWidth="1"/>
    <col min="3075" max="3075" width="12.6640625" style="102" bestFit="1" customWidth="1"/>
    <col min="3076" max="3087" width="13.6640625" style="102" customWidth="1"/>
    <col min="3088" max="3088" width="14.33203125" style="102" customWidth="1"/>
    <col min="3089" max="3089" width="2" style="102" customWidth="1"/>
    <col min="3090" max="3090" width="8" style="102" bestFit="1" customWidth="1"/>
    <col min="3091" max="3328" width="10.5" style="102"/>
    <col min="3329" max="3329" width="3.5" style="102" customWidth="1"/>
    <col min="3330" max="3330" width="32.33203125" style="102" customWidth="1"/>
    <col min="3331" max="3331" width="12.6640625" style="102" bestFit="1" customWidth="1"/>
    <col min="3332" max="3343" width="13.6640625" style="102" customWidth="1"/>
    <col min="3344" max="3344" width="14.33203125" style="102" customWidth="1"/>
    <col min="3345" max="3345" width="2" style="102" customWidth="1"/>
    <col min="3346" max="3346" width="8" style="102" bestFit="1" customWidth="1"/>
    <col min="3347" max="3584" width="10.5" style="102"/>
    <col min="3585" max="3585" width="3.5" style="102" customWidth="1"/>
    <col min="3586" max="3586" width="32.33203125" style="102" customWidth="1"/>
    <col min="3587" max="3587" width="12.6640625" style="102" bestFit="1" customWidth="1"/>
    <col min="3588" max="3599" width="13.6640625" style="102" customWidth="1"/>
    <col min="3600" max="3600" width="14.33203125" style="102" customWidth="1"/>
    <col min="3601" max="3601" width="2" style="102" customWidth="1"/>
    <col min="3602" max="3602" width="8" style="102" bestFit="1" customWidth="1"/>
    <col min="3603" max="3840" width="10.5" style="102"/>
    <col min="3841" max="3841" width="3.5" style="102" customWidth="1"/>
    <col min="3842" max="3842" width="32.33203125" style="102" customWidth="1"/>
    <col min="3843" max="3843" width="12.6640625" style="102" bestFit="1" customWidth="1"/>
    <col min="3844" max="3855" width="13.6640625" style="102" customWidth="1"/>
    <col min="3856" max="3856" width="14.33203125" style="102" customWidth="1"/>
    <col min="3857" max="3857" width="2" style="102" customWidth="1"/>
    <col min="3858" max="3858" width="8" style="102" bestFit="1" customWidth="1"/>
    <col min="3859" max="4096" width="10.5" style="102"/>
    <col min="4097" max="4097" width="3.5" style="102" customWidth="1"/>
    <col min="4098" max="4098" width="32.33203125" style="102" customWidth="1"/>
    <col min="4099" max="4099" width="12.6640625" style="102" bestFit="1" customWidth="1"/>
    <col min="4100" max="4111" width="13.6640625" style="102" customWidth="1"/>
    <col min="4112" max="4112" width="14.33203125" style="102" customWidth="1"/>
    <col min="4113" max="4113" width="2" style="102" customWidth="1"/>
    <col min="4114" max="4114" width="8" style="102" bestFit="1" customWidth="1"/>
    <col min="4115" max="4352" width="10.5" style="102"/>
    <col min="4353" max="4353" width="3.5" style="102" customWidth="1"/>
    <col min="4354" max="4354" width="32.33203125" style="102" customWidth="1"/>
    <col min="4355" max="4355" width="12.6640625" style="102" bestFit="1" customWidth="1"/>
    <col min="4356" max="4367" width="13.6640625" style="102" customWidth="1"/>
    <col min="4368" max="4368" width="14.33203125" style="102" customWidth="1"/>
    <col min="4369" max="4369" width="2" style="102" customWidth="1"/>
    <col min="4370" max="4370" width="8" style="102" bestFit="1" customWidth="1"/>
    <col min="4371" max="4608" width="10.5" style="102"/>
    <col min="4609" max="4609" width="3.5" style="102" customWidth="1"/>
    <col min="4610" max="4610" width="32.33203125" style="102" customWidth="1"/>
    <col min="4611" max="4611" width="12.6640625" style="102" bestFit="1" customWidth="1"/>
    <col min="4612" max="4623" width="13.6640625" style="102" customWidth="1"/>
    <col min="4624" max="4624" width="14.33203125" style="102" customWidth="1"/>
    <col min="4625" max="4625" width="2" style="102" customWidth="1"/>
    <col min="4626" max="4626" width="8" style="102" bestFit="1" customWidth="1"/>
    <col min="4627" max="4864" width="10.5" style="102"/>
    <col min="4865" max="4865" width="3.5" style="102" customWidth="1"/>
    <col min="4866" max="4866" width="32.33203125" style="102" customWidth="1"/>
    <col min="4867" max="4867" width="12.6640625" style="102" bestFit="1" customWidth="1"/>
    <col min="4868" max="4879" width="13.6640625" style="102" customWidth="1"/>
    <col min="4880" max="4880" width="14.33203125" style="102" customWidth="1"/>
    <col min="4881" max="4881" width="2" style="102" customWidth="1"/>
    <col min="4882" max="4882" width="8" style="102" bestFit="1" customWidth="1"/>
    <col min="4883" max="5120" width="10.5" style="102"/>
    <col min="5121" max="5121" width="3.5" style="102" customWidth="1"/>
    <col min="5122" max="5122" width="32.33203125" style="102" customWidth="1"/>
    <col min="5123" max="5123" width="12.6640625" style="102" bestFit="1" customWidth="1"/>
    <col min="5124" max="5135" width="13.6640625" style="102" customWidth="1"/>
    <col min="5136" max="5136" width="14.33203125" style="102" customWidth="1"/>
    <col min="5137" max="5137" width="2" style="102" customWidth="1"/>
    <col min="5138" max="5138" width="8" style="102" bestFit="1" customWidth="1"/>
    <col min="5139" max="5376" width="10.5" style="102"/>
    <col min="5377" max="5377" width="3.5" style="102" customWidth="1"/>
    <col min="5378" max="5378" width="32.33203125" style="102" customWidth="1"/>
    <col min="5379" max="5379" width="12.6640625" style="102" bestFit="1" customWidth="1"/>
    <col min="5380" max="5391" width="13.6640625" style="102" customWidth="1"/>
    <col min="5392" max="5392" width="14.33203125" style="102" customWidth="1"/>
    <col min="5393" max="5393" width="2" style="102" customWidth="1"/>
    <col min="5394" max="5394" width="8" style="102" bestFit="1" customWidth="1"/>
    <col min="5395" max="5632" width="10.5" style="102"/>
    <col min="5633" max="5633" width="3.5" style="102" customWidth="1"/>
    <col min="5634" max="5634" width="32.33203125" style="102" customWidth="1"/>
    <col min="5635" max="5635" width="12.6640625" style="102" bestFit="1" customWidth="1"/>
    <col min="5636" max="5647" width="13.6640625" style="102" customWidth="1"/>
    <col min="5648" max="5648" width="14.33203125" style="102" customWidth="1"/>
    <col min="5649" max="5649" width="2" style="102" customWidth="1"/>
    <col min="5650" max="5650" width="8" style="102" bestFit="1" customWidth="1"/>
    <col min="5651" max="5888" width="10.5" style="102"/>
    <col min="5889" max="5889" width="3.5" style="102" customWidth="1"/>
    <col min="5890" max="5890" width="32.33203125" style="102" customWidth="1"/>
    <col min="5891" max="5891" width="12.6640625" style="102" bestFit="1" customWidth="1"/>
    <col min="5892" max="5903" width="13.6640625" style="102" customWidth="1"/>
    <col min="5904" max="5904" width="14.33203125" style="102" customWidth="1"/>
    <col min="5905" max="5905" width="2" style="102" customWidth="1"/>
    <col min="5906" max="5906" width="8" style="102" bestFit="1" customWidth="1"/>
    <col min="5907" max="6144" width="10.5" style="102"/>
    <col min="6145" max="6145" width="3.5" style="102" customWidth="1"/>
    <col min="6146" max="6146" width="32.33203125" style="102" customWidth="1"/>
    <col min="6147" max="6147" width="12.6640625" style="102" bestFit="1" customWidth="1"/>
    <col min="6148" max="6159" width="13.6640625" style="102" customWidth="1"/>
    <col min="6160" max="6160" width="14.33203125" style="102" customWidth="1"/>
    <col min="6161" max="6161" width="2" style="102" customWidth="1"/>
    <col min="6162" max="6162" width="8" style="102" bestFit="1" customWidth="1"/>
    <col min="6163" max="6400" width="10.5" style="102"/>
    <col min="6401" max="6401" width="3.5" style="102" customWidth="1"/>
    <col min="6402" max="6402" width="32.33203125" style="102" customWidth="1"/>
    <col min="6403" max="6403" width="12.6640625" style="102" bestFit="1" customWidth="1"/>
    <col min="6404" max="6415" width="13.6640625" style="102" customWidth="1"/>
    <col min="6416" max="6416" width="14.33203125" style="102" customWidth="1"/>
    <col min="6417" max="6417" width="2" style="102" customWidth="1"/>
    <col min="6418" max="6418" width="8" style="102" bestFit="1" customWidth="1"/>
    <col min="6419" max="6656" width="10.5" style="102"/>
    <col min="6657" max="6657" width="3.5" style="102" customWidth="1"/>
    <col min="6658" max="6658" width="32.33203125" style="102" customWidth="1"/>
    <col min="6659" max="6659" width="12.6640625" style="102" bestFit="1" customWidth="1"/>
    <col min="6660" max="6671" width="13.6640625" style="102" customWidth="1"/>
    <col min="6672" max="6672" width="14.33203125" style="102" customWidth="1"/>
    <col min="6673" max="6673" width="2" style="102" customWidth="1"/>
    <col min="6674" max="6674" width="8" style="102" bestFit="1" customWidth="1"/>
    <col min="6675" max="6912" width="10.5" style="102"/>
    <col min="6913" max="6913" width="3.5" style="102" customWidth="1"/>
    <col min="6914" max="6914" width="32.33203125" style="102" customWidth="1"/>
    <col min="6915" max="6915" width="12.6640625" style="102" bestFit="1" customWidth="1"/>
    <col min="6916" max="6927" width="13.6640625" style="102" customWidth="1"/>
    <col min="6928" max="6928" width="14.33203125" style="102" customWidth="1"/>
    <col min="6929" max="6929" width="2" style="102" customWidth="1"/>
    <col min="6930" max="6930" width="8" style="102" bestFit="1" customWidth="1"/>
    <col min="6931" max="7168" width="10.5" style="102"/>
    <col min="7169" max="7169" width="3.5" style="102" customWidth="1"/>
    <col min="7170" max="7170" width="32.33203125" style="102" customWidth="1"/>
    <col min="7171" max="7171" width="12.6640625" style="102" bestFit="1" customWidth="1"/>
    <col min="7172" max="7183" width="13.6640625" style="102" customWidth="1"/>
    <col min="7184" max="7184" width="14.33203125" style="102" customWidth="1"/>
    <col min="7185" max="7185" width="2" style="102" customWidth="1"/>
    <col min="7186" max="7186" width="8" style="102" bestFit="1" customWidth="1"/>
    <col min="7187" max="7424" width="10.5" style="102"/>
    <col min="7425" max="7425" width="3.5" style="102" customWidth="1"/>
    <col min="7426" max="7426" width="32.33203125" style="102" customWidth="1"/>
    <col min="7427" max="7427" width="12.6640625" style="102" bestFit="1" customWidth="1"/>
    <col min="7428" max="7439" width="13.6640625" style="102" customWidth="1"/>
    <col min="7440" max="7440" width="14.33203125" style="102" customWidth="1"/>
    <col min="7441" max="7441" width="2" style="102" customWidth="1"/>
    <col min="7442" max="7442" width="8" style="102" bestFit="1" customWidth="1"/>
    <col min="7443" max="7680" width="10.5" style="102"/>
    <col min="7681" max="7681" width="3.5" style="102" customWidth="1"/>
    <col min="7682" max="7682" width="32.33203125" style="102" customWidth="1"/>
    <col min="7683" max="7683" width="12.6640625" style="102" bestFit="1" customWidth="1"/>
    <col min="7684" max="7695" width="13.6640625" style="102" customWidth="1"/>
    <col min="7696" max="7696" width="14.33203125" style="102" customWidth="1"/>
    <col min="7697" max="7697" width="2" style="102" customWidth="1"/>
    <col min="7698" max="7698" width="8" style="102" bestFit="1" customWidth="1"/>
    <col min="7699" max="7936" width="10.5" style="102"/>
    <col min="7937" max="7937" width="3.5" style="102" customWidth="1"/>
    <col min="7938" max="7938" width="32.33203125" style="102" customWidth="1"/>
    <col min="7939" max="7939" width="12.6640625" style="102" bestFit="1" customWidth="1"/>
    <col min="7940" max="7951" width="13.6640625" style="102" customWidth="1"/>
    <col min="7952" max="7952" width="14.33203125" style="102" customWidth="1"/>
    <col min="7953" max="7953" width="2" style="102" customWidth="1"/>
    <col min="7954" max="7954" width="8" style="102" bestFit="1" customWidth="1"/>
    <col min="7955" max="8192" width="10.5" style="102"/>
    <col min="8193" max="8193" width="3.5" style="102" customWidth="1"/>
    <col min="8194" max="8194" width="32.33203125" style="102" customWidth="1"/>
    <col min="8195" max="8195" width="12.6640625" style="102" bestFit="1" customWidth="1"/>
    <col min="8196" max="8207" width="13.6640625" style="102" customWidth="1"/>
    <col min="8208" max="8208" width="14.33203125" style="102" customWidth="1"/>
    <col min="8209" max="8209" width="2" style="102" customWidth="1"/>
    <col min="8210" max="8210" width="8" style="102" bestFit="1" customWidth="1"/>
    <col min="8211" max="8448" width="10.5" style="102"/>
    <col min="8449" max="8449" width="3.5" style="102" customWidth="1"/>
    <col min="8450" max="8450" width="32.33203125" style="102" customWidth="1"/>
    <col min="8451" max="8451" width="12.6640625" style="102" bestFit="1" customWidth="1"/>
    <col min="8452" max="8463" width="13.6640625" style="102" customWidth="1"/>
    <col min="8464" max="8464" width="14.33203125" style="102" customWidth="1"/>
    <col min="8465" max="8465" width="2" style="102" customWidth="1"/>
    <col min="8466" max="8466" width="8" style="102" bestFit="1" customWidth="1"/>
    <col min="8467" max="8704" width="10.5" style="102"/>
    <col min="8705" max="8705" width="3.5" style="102" customWidth="1"/>
    <col min="8706" max="8706" width="32.33203125" style="102" customWidth="1"/>
    <col min="8707" max="8707" width="12.6640625" style="102" bestFit="1" customWidth="1"/>
    <col min="8708" max="8719" width="13.6640625" style="102" customWidth="1"/>
    <col min="8720" max="8720" width="14.33203125" style="102" customWidth="1"/>
    <col min="8721" max="8721" width="2" style="102" customWidth="1"/>
    <col min="8722" max="8722" width="8" style="102" bestFit="1" customWidth="1"/>
    <col min="8723" max="8960" width="10.5" style="102"/>
    <col min="8961" max="8961" width="3.5" style="102" customWidth="1"/>
    <col min="8962" max="8962" width="32.33203125" style="102" customWidth="1"/>
    <col min="8963" max="8963" width="12.6640625" style="102" bestFit="1" customWidth="1"/>
    <col min="8964" max="8975" width="13.6640625" style="102" customWidth="1"/>
    <col min="8976" max="8976" width="14.33203125" style="102" customWidth="1"/>
    <col min="8977" max="8977" width="2" style="102" customWidth="1"/>
    <col min="8978" max="8978" width="8" style="102" bestFit="1" customWidth="1"/>
    <col min="8979" max="9216" width="10.5" style="102"/>
    <col min="9217" max="9217" width="3.5" style="102" customWidth="1"/>
    <col min="9218" max="9218" width="32.33203125" style="102" customWidth="1"/>
    <col min="9219" max="9219" width="12.6640625" style="102" bestFit="1" customWidth="1"/>
    <col min="9220" max="9231" width="13.6640625" style="102" customWidth="1"/>
    <col min="9232" max="9232" width="14.33203125" style="102" customWidth="1"/>
    <col min="9233" max="9233" width="2" style="102" customWidth="1"/>
    <col min="9234" max="9234" width="8" style="102" bestFit="1" customWidth="1"/>
    <col min="9235" max="9472" width="10.5" style="102"/>
    <col min="9473" max="9473" width="3.5" style="102" customWidth="1"/>
    <col min="9474" max="9474" width="32.33203125" style="102" customWidth="1"/>
    <col min="9475" max="9475" width="12.6640625" style="102" bestFit="1" customWidth="1"/>
    <col min="9476" max="9487" width="13.6640625" style="102" customWidth="1"/>
    <col min="9488" max="9488" width="14.33203125" style="102" customWidth="1"/>
    <col min="9489" max="9489" width="2" style="102" customWidth="1"/>
    <col min="9490" max="9490" width="8" style="102" bestFit="1" customWidth="1"/>
    <col min="9491" max="9728" width="10.5" style="102"/>
    <col min="9729" max="9729" width="3.5" style="102" customWidth="1"/>
    <col min="9730" max="9730" width="32.33203125" style="102" customWidth="1"/>
    <col min="9731" max="9731" width="12.6640625" style="102" bestFit="1" customWidth="1"/>
    <col min="9732" max="9743" width="13.6640625" style="102" customWidth="1"/>
    <col min="9744" max="9744" width="14.33203125" style="102" customWidth="1"/>
    <col min="9745" max="9745" width="2" style="102" customWidth="1"/>
    <col min="9746" max="9746" width="8" style="102" bestFit="1" customWidth="1"/>
    <col min="9747" max="9984" width="10.5" style="102"/>
    <col min="9985" max="9985" width="3.5" style="102" customWidth="1"/>
    <col min="9986" max="9986" width="32.33203125" style="102" customWidth="1"/>
    <col min="9987" max="9987" width="12.6640625" style="102" bestFit="1" customWidth="1"/>
    <col min="9988" max="9999" width="13.6640625" style="102" customWidth="1"/>
    <col min="10000" max="10000" width="14.33203125" style="102" customWidth="1"/>
    <col min="10001" max="10001" width="2" style="102" customWidth="1"/>
    <col min="10002" max="10002" width="8" style="102" bestFit="1" customWidth="1"/>
    <col min="10003" max="10240" width="10.5" style="102"/>
    <col min="10241" max="10241" width="3.5" style="102" customWidth="1"/>
    <col min="10242" max="10242" width="32.33203125" style="102" customWidth="1"/>
    <col min="10243" max="10243" width="12.6640625" style="102" bestFit="1" customWidth="1"/>
    <col min="10244" max="10255" width="13.6640625" style="102" customWidth="1"/>
    <col min="10256" max="10256" width="14.33203125" style="102" customWidth="1"/>
    <col min="10257" max="10257" width="2" style="102" customWidth="1"/>
    <col min="10258" max="10258" width="8" style="102" bestFit="1" customWidth="1"/>
    <col min="10259" max="10496" width="10.5" style="102"/>
    <col min="10497" max="10497" width="3.5" style="102" customWidth="1"/>
    <col min="10498" max="10498" width="32.33203125" style="102" customWidth="1"/>
    <col min="10499" max="10499" width="12.6640625" style="102" bestFit="1" customWidth="1"/>
    <col min="10500" max="10511" width="13.6640625" style="102" customWidth="1"/>
    <col min="10512" max="10512" width="14.33203125" style="102" customWidth="1"/>
    <col min="10513" max="10513" width="2" style="102" customWidth="1"/>
    <col min="10514" max="10514" width="8" style="102" bestFit="1" customWidth="1"/>
    <col min="10515" max="10752" width="10.5" style="102"/>
    <col min="10753" max="10753" width="3.5" style="102" customWidth="1"/>
    <col min="10754" max="10754" width="32.33203125" style="102" customWidth="1"/>
    <col min="10755" max="10755" width="12.6640625" style="102" bestFit="1" customWidth="1"/>
    <col min="10756" max="10767" width="13.6640625" style="102" customWidth="1"/>
    <col min="10768" max="10768" width="14.33203125" style="102" customWidth="1"/>
    <col min="10769" max="10769" width="2" style="102" customWidth="1"/>
    <col min="10770" max="10770" width="8" style="102" bestFit="1" customWidth="1"/>
    <col min="10771" max="11008" width="10.5" style="102"/>
    <col min="11009" max="11009" width="3.5" style="102" customWidth="1"/>
    <col min="11010" max="11010" width="32.33203125" style="102" customWidth="1"/>
    <col min="11011" max="11011" width="12.6640625" style="102" bestFit="1" customWidth="1"/>
    <col min="11012" max="11023" width="13.6640625" style="102" customWidth="1"/>
    <col min="11024" max="11024" width="14.33203125" style="102" customWidth="1"/>
    <col min="11025" max="11025" width="2" style="102" customWidth="1"/>
    <col min="11026" max="11026" width="8" style="102" bestFit="1" customWidth="1"/>
    <col min="11027" max="11264" width="10.5" style="102"/>
    <col min="11265" max="11265" width="3.5" style="102" customWidth="1"/>
    <col min="11266" max="11266" width="32.33203125" style="102" customWidth="1"/>
    <col min="11267" max="11267" width="12.6640625" style="102" bestFit="1" customWidth="1"/>
    <col min="11268" max="11279" width="13.6640625" style="102" customWidth="1"/>
    <col min="11280" max="11280" width="14.33203125" style="102" customWidth="1"/>
    <col min="11281" max="11281" width="2" style="102" customWidth="1"/>
    <col min="11282" max="11282" width="8" style="102" bestFit="1" customWidth="1"/>
    <col min="11283" max="11520" width="10.5" style="102"/>
    <col min="11521" max="11521" width="3.5" style="102" customWidth="1"/>
    <col min="11522" max="11522" width="32.33203125" style="102" customWidth="1"/>
    <col min="11523" max="11523" width="12.6640625" style="102" bestFit="1" customWidth="1"/>
    <col min="11524" max="11535" width="13.6640625" style="102" customWidth="1"/>
    <col min="11536" max="11536" width="14.33203125" style="102" customWidth="1"/>
    <col min="11537" max="11537" width="2" style="102" customWidth="1"/>
    <col min="11538" max="11538" width="8" style="102" bestFit="1" customWidth="1"/>
    <col min="11539" max="11776" width="10.5" style="102"/>
    <col min="11777" max="11777" width="3.5" style="102" customWidth="1"/>
    <col min="11778" max="11778" width="32.33203125" style="102" customWidth="1"/>
    <col min="11779" max="11779" width="12.6640625" style="102" bestFit="1" customWidth="1"/>
    <col min="11780" max="11791" width="13.6640625" style="102" customWidth="1"/>
    <col min="11792" max="11792" width="14.33203125" style="102" customWidth="1"/>
    <col min="11793" max="11793" width="2" style="102" customWidth="1"/>
    <col min="11794" max="11794" width="8" style="102" bestFit="1" customWidth="1"/>
    <col min="11795" max="12032" width="10.5" style="102"/>
    <col min="12033" max="12033" width="3.5" style="102" customWidth="1"/>
    <col min="12034" max="12034" width="32.33203125" style="102" customWidth="1"/>
    <col min="12035" max="12035" width="12.6640625" style="102" bestFit="1" customWidth="1"/>
    <col min="12036" max="12047" width="13.6640625" style="102" customWidth="1"/>
    <col min="12048" max="12048" width="14.33203125" style="102" customWidth="1"/>
    <col min="12049" max="12049" width="2" style="102" customWidth="1"/>
    <col min="12050" max="12050" width="8" style="102" bestFit="1" customWidth="1"/>
    <col min="12051" max="12288" width="10.5" style="102"/>
    <col min="12289" max="12289" width="3.5" style="102" customWidth="1"/>
    <col min="12290" max="12290" width="32.33203125" style="102" customWidth="1"/>
    <col min="12291" max="12291" width="12.6640625" style="102" bestFit="1" customWidth="1"/>
    <col min="12292" max="12303" width="13.6640625" style="102" customWidth="1"/>
    <col min="12304" max="12304" width="14.33203125" style="102" customWidth="1"/>
    <col min="12305" max="12305" width="2" style="102" customWidth="1"/>
    <col min="12306" max="12306" width="8" style="102" bestFit="1" customWidth="1"/>
    <col min="12307" max="12544" width="10.5" style="102"/>
    <col min="12545" max="12545" width="3.5" style="102" customWidth="1"/>
    <col min="12546" max="12546" width="32.33203125" style="102" customWidth="1"/>
    <col min="12547" max="12547" width="12.6640625" style="102" bestFit="1" customWidth="1"/>
    <col min="12548" max="12559" width="13.6640625" style="102" customWidth="1"/>
    <col min="12560" max="12560" width="14.33203125" style="102" customWidth="1"/>
    <col min="12561" max="12561" width="2" style="102" customWidth="1"/>
    <col min="12562" max="12562" width="8" style="102" bestFit="1" customWidth="1"/>
    <col min="12563" max="12800" width="10.5" style="102"/>
    <col min="12801" max="12801" width="3.5" style="102" customWidth="1"/>
    <col min="12802" max="12802" width="32.33203125" style="102" customWidth="1"/>
    <col min="12803" max="12803" width="12.6640625" style="102" bestFit="1" customWidth="1"/>
    <col min="12804" max="12815" width="13.6640625" style="102" customWidth="1"/>
    <col min="12816" max="12816" width="14.33203125" style="102" customWidth="1"/>
    <col min="12817" max="12817" width="2" style="102" customWidth="1"/>
    <col min="12818" max="12818" width="8" style="102" bestFit="1" customWidth="1"/>
    <col min="12819" max="13056" width="10.5" style="102"/>
    <col min="13057" max="13057" width="3.5" style="102" customWidth="1"/>
    <col min="13058" max="13058" width="32.33203125" style="102" customWidth="1"/>
    <col min="13059" max="13059" width="12.6640625" style="102" bestFit="1" customWidth="1"/>
    <col min="13060" max="13071" width="13.6640625" style="102" customWidth="1"/>
    <col min="13072" max="13072" width="14.33203125" style="102" customWidth="1"/>
    <col min="13073" max="13073" width="2" style="102" customWidth="1"/>
    <col min="13074" max="13074" width="8" style="102" bestFit="1" customWidth="1"/>
    <col min="13075" max="13312" width="10.5" style="102"/>
    <col min="13313" max="13313" width="3.5" style="102" customWidth="1"/>
    <col min="13314" max="13314" width="32.33203125" style="102" customWidth="1"/>
    <col min="13315" max="13315" width="12.6640625" style="102" bestFit="1" customWidth="1"/>
    <col min="13316" max="13327" width="13.6640625" style="102" customWidth="1"/>
    <col min="13328" max="13328" width="14.33203125" style="102" customWidth="1"/>
    <col min="13329" max="13329" width="2" style="102" customWidth="1"/>
    <col min="13330" max="13330" width="8" style="102" bestFit="1" customWidth="1"/>
    <col min="13331" max="13568" width="10.5" style="102"/>
    <col min="13569" max="13569" width="3.5" style="102" customWidth="1"/>
    <col min="13570" max="13570" width="32.33203125" style="102" customWidth="1"/>
    <col min="13571" max="13571" width="12.6640625" style="102" bestFit="1" customWidth="1"/>
    <col min="13572" max="13583" width="13.6640625" style="102" customWidth="1"/>
    <col min="13584" max="13584" width="14.33203125" style="102" customWidth="1"/>
    <col min="13585" max="13585" width="2" style="102" customWidth="1"/>
    <col min="13586" max="13586" width="8" style="102" bestFit="1" customWidth="1"/>
    <col min="13587" max="13824" width="10.5" style="102"/>
    <col min="13825" max="13825" width="3.5" style="102" customWidth="1"/>
    <col min="13826" max="13826" width="32.33203125" style="102" customWidth="1"/>
    <col min="13827" max="13827" width="12.6640625" style="102" bestFit="1" customWidth="1"/>
    <col min="13828" max="13839" width="13.6640625" style="102" customWidth="1"/>
    <col min="13840" max="13840" width="14.33203125" style="102" customWidth="1"/>
    <col min="13841" max="13841" width="2" style="102" customWidth="1"/>
    <col min="13842" max="13842" width="8" style="102" bestFit="1" customWidth="1"/>
    <col min="13843" max="14080" width="10.5" style="102"/>
    <col min="14081" max="14081" width="3.5" style="102" customWidth="1"/>
    <col min="14082" max="14082" width="32.33203125" style="102" customWidth="1"/>
    <col min="14083" max="14083" width="12.6640625" style="102" bestFit="1" customWidth="1"/>
    <col min="14084" max="14095" width="13.6640625" style="102" customWidth="1"/>
    <col min="14096" max="14096" width="14.33203125" style="102" customWidth="1"/>
    <col min="14097" max="14097" width="2" style="102" customWidth="1"/>
    <col min="14098" max="14098" width="8" style="102" bestFit="1" customWidth="1"/>
    <col min="14099" max="14336" width="10.5" style="102"/>
    <col min="14337" max="14337" width="3.5" style="102" customWidth="1"/>
    <col min="14338" max="14338" width="32.33203125" style="102" customWidth="1"/>
    <col min="14339" max="14339" width="12.6640625" style="102" bestFit="1" customWidth="1"/>
    <col min="14340" max="14351" width="13.6640625" style="102" customWidth="1"/>
    <col min="14352" max="14352" width="14.33203125" style="102" customWidth="1"/>
    <col min="14353" max="14353" width="2" style="102" customWidth="1"/>
    <col min="14354" max="14354" width="8" style="102" bestFit="1" customWidth="1"/>
    <col min="14355" max="14592" width="10.5" style="102"/>
    <col min="14593" max="14593" width="3.5" style="102" customWidth="1"/>
    <col min="14594" max="14594" width="32.33203125" style="102" customWidth="1"/>
    <col min="14595" max="14595" width="12.6640625" style="102" bestFit="1" customWidth="1"/>
    <col min="14596" max="14607" width="13.6640625" style="102" customWidth="1"/>
    <col min="14608" max="14608" width="14.33203125" style="102" customWidth="1"/>
    <col min="14609" max="14609" width="2" style="102" customWidth="1"/>
    <col min="14610" max="14610" width="8" style="102" bestFit="1" customWidth="1"/>
    <col min="14611" max="14848" width="10.5" style="102"/>
    <col min="14849" max="14849" width="3.5" style="102" customWidth="1"/>
    <col min="14850" max="14850" width="32.33203125" style="102" customWidth="1"/>
    <col min="14851" max="14851" width="12.6640625" style="102" bestFit="1" customWidth="1"/>
    <col min="14852" max="14863" width="13.6640625" style="102" customWidth="1"/>
    <col min="14864" max="14864" width="14.33203125" style="102" customWidth="1"/>
    <col min="14865" max="14865" width="2" style="102" customWidth="1"/>
    <col min="14866" max="14866" width="8" style="102" bestFit="1" customWidth="1"/>
    <col min="14867" max="15104" width="10.5" style="102"/>
    <col min="15105" max="15105" width="3.5" style="102" customWidth="1"/>
    <col min="15106" max="15106" width="32.33203125" style="102" customWidth="1"/>
    <col min="15107" max="15107" width="12.6640625" style="102" bestFit="1" customWidth="1"/>
    <col min="15108" max="15119" width="13.6640625" style="102" customWidth="1"/>
    <col min="15120" max="15120" width="14.33203125" style="102" customWidth="1"/>
    <col min="15121" max="15121" width="2" style="102" customWidth="1"/>
    <col min="15122" max="15122" width="8" style="102" bestFit="1" customWidth="1"/>
    <col min="15123" max="15360" width="10.5" style="102"/>
    <col min="15361" max="15361" width="3.5" style="102" customWidth="1"/>
    <col min="15362" max="15362" width="32.33203125" style="102" customWidth="1"/>
    <col min="15363" max="15363" width="12.6640625" style="102" bestFit="1" customWidth="1"/>
    <col min="15364" max="15375" width="13.6640625" style="102" customWidth="1"/>
    <col min="15376" max="15376" width="14.33203125" style="102" customWidth="1"/>
    <col min="15377" max="15377" width="2" style="102" customWidth="1"/>
    <col min="15378" max="15378" width="8" style="102" bestFit="1" customWidth="1"/>
    <col min="15379" max="15616" width="10.5" style="102"/>
    <col min="15617" max="15617" width="3.5" style="102" customWidth="1"/>
    <col min="15618" max="15618" width="32.33203125" style="102" customWidth="1"/>
    <col min="15619" max="15619" width="12.6640625" style="102" bestFit="1" customWidth="1"/>
    <col min="15620" max="15631" width="13.6640625" style="102" customWidth="1"/>
    <col min="15632" max="15632" width="14.33203125" style="102" customWidth="1"/>
    <col min="15633" max="15633" width="2" style="102" customWidth="1"/>
    <col min="15634" max="15634" width="8" style="102" bestFit="1" customWidth="1"/>
    <col min="15635" max="15872" width="10.5" style="102"/>
    <col min="15873" max="15873" width="3.5" style="102" customWidth="1"/>
    <col min="15874" max="15874" width="32.33203125" style="102" customWidth="1"/>
    <col min="15875" max="15875" width="12.6640625" style="102" bestFit="1" customWidth="1"/>
    <col min="15876" max="15887" width="13.6640625" style="102" customWidth="1"/>
    <col min="15888" max="15888" width="14.33203125" style="102" customWidth="1"/>
    <col min="15889" max="15889" width="2" style="102" customWidth="1"/>
    <col min="15890" max="15890" width="8" style="102" bestFit="1" customWidth="1"/>
    <col min="15891" max="16128" width="10.5" style="102"/>
    <col min="16129" max="16129" width="3.5" style="102" customWidth="1"/>
    <col min="16130" max="16130" width="32.33203125" style="102" customWidth="1"/>
    <col min="16131" max="16131" width="12.6640625" style="102" bestFit="1" customWidth="1"/>
    <col min="16132" max="16143" width="13.6640625" style="102" customWidth="1"/>
    <col min="16144" max="16144" width="14.33203125" style="102" customWidth="1"/>
    <col min="16145" max="16145" width="2" style="102" customWidth="1"/>
    <col min="16146" max="16146" width="8" style="102" bestFit="1" customWidth="1"/>
    <col min="16147" max="16384" width="10.5" style="102"/>
  </cols>
  <sheetData>
    <row r="1" spans="1:16" ht="12.75">
      <c r="A1" s="101"/>
      <c r="B1" s="55" t="s">
        <v>75</v>
      </c>
      <c r="C1" s="56"/>
      <c r="D1" s="56"/>
      <c r="E1" s="56"/>
      <c r="F1" s="56"/>
      <c r="G1" s="55"/>
      <c r="H1" s="56"/>
      <c r="I1" s="56"/>
      <c r="J1" s="55"/>
      <c r="K1" s="55"/>
      <c r="L1" s="56"/>
      <c r="M1" s="56"/>
      <c r="N1" s="56"/>
      <c r="O1" s="56"/>
      <c r="P1" s="55"/>
    </row>
    <row r="2" spans="1:16" ht="12.75">
      <c r="A2" s="101"/>
      <c r="B2" s="55" t="s">
        <v>76</v>
      </c>
      <c r="C2" s="56"/>
      <c r="D2" s="56"/>
      <c r="E2" s="56"/>
      <c r="F2" s="56"/>
      <c r="G2" s="55"/>
      <c r="H2" s="56"/>
      <c r="I2" s="56"/>
      <c r="J2" s="55"/>
      <c r="K2" s="55"/>
      <c r="L2" s="56"/>
      <c r="M2" s="56"/>
      <c r="N2" s="56"/>
      <c r="O2" s="56"/>
      <c r="P2" s="55"/>
    </row>
    <row r="3" spans="1:16" ht="13.5" customHeight="1">
      <c r="A3" s="101"/>
      <c r="B3" s="55" t="str">
        <f>'Pg 2 Cost of Total Debt'!$B$3</f>
        <v>For The 12 Months Ended March 31, 2021</v>
      </c>
      <c r="C3" s="56"/>
      <c r="D3" s="56"/>
      <c r="E3" s="56"/>
      <c r="F3" s="56"/>
      <c r="G3" s="55"/>
      <c r="H3" s="56"/>
      <c r="I3" s="56"/>
      <c r="J3" s="55"/>
      <c r="K3" s="55"/>
      <c r="L3" s="56"/>
      <c r="M3" s="56"/>
      <c r="N3" s="56"/>
      <c r="O3" s="56"/>
      <c r="P3" s="55"/>
    </row>
    <row r="4" spans="1:16" ht="12.75">
      <c r="A4" s="101"/>
      <c r="B4" s="103"/>
      <c r="C4" s="103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>
      <c r="A5" s="104">
        <v>1</v>
      </c>
      <c r="B5" s="105" t="s">
        <v>1</v>
      </c>
      <c r="C5" s="105" t="s">
        <v>16</v>
      </c>
      <c r="D5" s="105" t="s">
        <v>26</v>
      </c>
      <c r="E5" s="105" t="s">
        <v>28</v>
      </c>
      <c r="F5" s="105" t="s">
        <v>29</v>
      </c>
      <c r="G5" s="105" t="s">
        <v>30</v>
      </c>
      <c r="H5" s="105" t="s">
        <v>31</v>
      </c>
      <c r="I5" s="105" t="s">
        <v>32</v>
      </c>
      <c r="J5" s="105" t="s">
        <v>33</v>
      </c>
      <c r="K5" s="105" t="s">
        <v>35</v>
      </c>
      <c r="L5" s="105" t="s">
        <v>36</v>
      </c>
      <c r="M5" s="105" t="s">
        <v>37</v>
      </c>
      <c r="N5" s="105" t="s">
        <v>38</v>
      </c>
      <c r="O5" s="105" t="s">
        <v>39</v>
      </c>
      <c r="P5" s="105" t="s">
        <v>40</v>
      </c>
    </row>
    <row r="6" spans="1:16" ht="12" customHeight="1">
      <c r="A6" s="104">
        <f>A5+1</f>
        <v>2</v>
      </c>
      <c r="B6" s="101"/>
      <c r="C6" s="106">
        <v>43921</v>
      </c>
      <c r="D6" s="106">
        <f>EOMONTH(C6,1)</f>
        <v>43951</v>
      </c>
      <c r="E6" s="106">
        <f t="shared" ref="E6:O6" si="0">EOMONTH(D6,1)</f>
        <v>43982</v>
      </c>
      <c r="F6" s="106">
        <f t="shared" si="0"/>
        <v>44012</v>
      </c>
      <c r="G6" s="106">
        <f t="shared" si="0"/>
        <v>44043</v>
      </c>
      <c r="H6" s="106">
        <f t="shared" si="0"/>
        <v>44074</v>
      </c>
      <c r="I6" s="106">
        <f t="shared" si="0"/>
        <v>44104</v>
      </c>
      <c r="J6" s="106">
        <f t="shared" si="0"/>
        <v>44135</v>
      </c>
      <c r="K6" s="106">
        <f t="shared" si="0"/>
        <v>44165</v>
      </c>
      <c r="L6" s="106">
        <f t="shared" si="0"/>
        <v>44196</v>
      </c>
      <c r="M6" s="106">
        <f t="shared" si="0"/>
        <v>44227</v>
      </c>
      <c r="N6" s="106">
        <f t="shared" si="0"/>
        <v>44255</v>
      </c>
      <c r="O6" s="106">
        <f t="shared" si="0"/>
        <v>44286</v>
      </c>
      <c r="P6" s="107" t="s">
        <v>77</v>
      </c>
    </row>
    <row r="7" spans="1:16">
      <c r="A7" s="104">
        <f>A6+1</f>
        <v>3</v>
      </c>
      <c r="B7" s="108" t="s">
        <v>78</v>
      </c>
      <c r="C7" s="109">
        <f>'Pg 2 Cost of Total Debt'!H41*'Pg 1 CofCap '!D14/1000</f>
        <v>185102.78975193168</v>
      </c>
      <c r="D7" s="110">
        <f>C7</f>
        <v>185102.78975193168</v>
      </c>
      <c r="E7" s="110">
        <f t="shared" ref="E7:O7" si="1">D7</f>
        <v>185102.78975193168</v>
      </c>
      <c r="F7" s="110">
        <f t="shared" si="1"/>
        <v>185102.78975193168</v>
      </c>
      <c r="G7" s="110">
        <f t="shared" si="1"/>
        <v>185102.78975193168</v>
      </c>
      <c r="H7" s="110">
        <f t="shared" si="1"/>
        <v>185102.78975193168</v>
      </c>
      <c r="I7" s="110">
        <f t="shared" si="1"/>
        <v>185102.78975193168</v>
      </c>
      <c r="J7" s="110">
        <f t="shared" si="1"/>
        <v>185102.78975193168</v>
      </c>
      <c r="K7" s="110">
        <f t="shared" si="1"/>
        <v>185102.78975193168</v>
      </c>
      <c r="L7" s="110">
        <f t="shared" si="1"/>
        <v>185102.78975193168</v>
      </c>
      <c r="M7" s="110">
        <f t="shared" si="1"/>
        <v>185102.78975193168</v>
      </c>
      <c r="N7" s="110">
        <f t="shared" si="1"/>
        <v>185102.78975193168</v>
      </c>
      <c r="O7" s="110">
        <f t="shared" si="1"/>
        <v>185102.78975193168</v>
      </c>
      <c r="P7" s="111">
        <f>ROUND(((C7+O7)+(SUM(D7:N7)*2))/24,3)</f>
        <v>185102.79</v>
      </c>
    </row>
    <row r="8" spans="1:16" ht="5.25" customHeight="1">
      <c r="A8" s="104"/>
      <c r="B8" s="112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</row>
    <row r="9" spans="1:16">
      <c r="A9" s="104">
        <f>A7+1</f>
        <v>4</v>
      </c>
      <c r="B9" s="108" t="s">
        <v>79</v>
      </c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110"/>
    </row>
    <row r="10" spans="1:16">
      <c r="A10" s="104">
        <f>A9+1</f>
        <v>5</v>
      </c>
      <c r="B10" s="112" t="s">
        <v>80</v>
      </c>
      <c r="C10" s="109">
        <f>MIN(0.5*C7,125000)</f>
        <v>92551.394875965838</v>
      </c>
      <c r="D10" s="109">
        <f t="shared" ref="D10:O10" si="2">MIN(0.5*D7,125000)</f>
        <v>92551.394875965838</v>
      </c>
      <c r="E10" s="109">
        <f t="shared" si="2"/>
        <v>92551.394875965838</v>
      </c>
      <c r="F10" s="109">
        <f t="shared" si="2"/>
        <v>92551.394875965838</v>
      </c>
      <c r="G10" s="109">
        <f t="shared" si="2"/>
        <v>92551.394875965838</v>
      </c>
      <c r="H10" s="109">
        <f t="shared" si="2"/>
        <v>92551.394875965838</v>
      </c>
      <c r="I10" s="109">
        <f t="shared" si="2"/>
        <v>92551.394875965838</v>
      </c>
      <c r="J10" s="109">
        <f t="shared" si="2"/>
        <v>92551.394875965838</v>
      </c>
      <c r="K10" s="109">
        <f t="shared" si="2"/>
        <v>92551.394875965838</v>
      </c>
      <c r="L10" s="109">
        <f t="shared" si="2"/>
        <v>92551.394875965838</v>
      </c>
      <c r="M10" s="109">
        <f t="shared" si="2"/>
        <v>92551.394875965838</v>
      </c>
      <c r="N10" s="109">
        <f t="shared" si="2"/>
        <v>92551.394875965838</v>
      </c>
      <c r="O10" s="109">
        <f t="shared" si="2"/>
        <v>92551.394875965838</v>
      </c>
      <c r="P10" s="111">
        <f>ROUND(((C10+O10)+(SUM(D10:N10)*2))/24,3)</f>
        <v>92551.395000000004</v>
      </c>
    </row>
    <row r="11" spans="1:16">
      <c r="A11" s="104">
        <f>A10+1</f>
        <v>6</v>
      </c>
      <c r="B11" s="112" t="s">
        <v>81</v>
      </c>
      <c r="C11" s="113">
        <f t="shared" ref="C11:O11" si="3">C7-C10</f>
        <v>92551.394875965838</v>
      </c>
      <c r="D11" s="113">
        <f t="shared" si="3"/>
        <v>92551.394875965838</v>
      </c>
      <c r="E11" s="113">
        <f t="shared" si="3"/>
        <v>92551.394875965838</v>
      </c>
      <c r="F11" s="113">
        <f t="shared" si="3"/>
        <v>92551.394875965838</v>
      </c>
      <c r="G11" s="113">
        <f t="shared" si="3"/>
        <v>92551.394875965838</v>
      </c>
      <c r="H11" s="113">
        <f t="shared" si="3"/>
        <v>92551.394875965838</v>
      </c>
      <c r="I11" s="113">
        <f t="shared" si="3"/>
        <v>92551.394875965838</v>
      </c>
      <c r="J11" s="113">
        <f t="shared" si="3"/>
        <v>92551.394875965838</v>
      </c>
      <c r="K11" s="113">
        <f t="shared" si="3"/>
        <v>92551.394875965838</v>
      </c>
      <c r="L11" s="113">
        <f t="shared" si="3"/>
        <v>92551.394875965838</v>
      </c>
      <c r="M11" s="113">
        <f t="shared" si="3"/>
        <v>92551.394875965838</v>
      </c>
      <c r="N11" s="113">
        <f t="shared" si="3"/>
        <v>92551.394875965838</v>
      </c>
      <c r="O11" s="113">
        <f t="shared" si="3"/>
        <v>92551.394875965838</v>
      </c>
      <c r="P11" s="111">
        <f>ROUND(((C11+O11)+(SUM(D11:N11)*2))/24,3)</f>
        <v>92551.395000000004</v>
      </c>
    </row>
    <row r="12" spans="1:16">
      <c r="A12" s="104">
        <f>A11+1</f>
        <v>7</v>
      </c>
      <c r="B12" s="114" t="s">
        <v>82</v>
      </c>
      <c r="C12" s="115">
        <f t="shared" ref="C12:O12" si="4">SUM(C10:C11)</f>
        <v>185102.78975193168</v>
      </c>
      <c r="D12" s="115">
        <f t="shared" si="4"/>
        <v>185102.78975193168</v>
      </c>
      <c r="E12" s="115">
        <f t="shared" si="4"/>
        <v>185102.78975193168</v>
      </c>
      <c r="F12" s="115">
        <f t="shared" si="4"/>
        <v>185102.78975193168</v>
      </c>
      <c r="G12" s="115">
        <f t="shared" si="4"/>
        <v>185102.78975193168</v>
      </c>
      <c r="H12" s="115">
        <f t="shared" si="4"/>
        <v>185102.78975193168</v>
      </c>
      <c r="I12" s="115">
        <f t="shared" si="4"/>
        <v>185102.78975193168</v>
      </c>
      <c r="J12" s="115">
        <f t="shared" si="4"/>
        <v>185102.78975193168</v>
      </c>
      <c r="K12" s="115">
        <f t="shared" si="4"/>
        <v>185102.78975193168</v>
      </c>
      <c r="L12" s="115">
        <f t="shared" si="4"/>
        <v>185102.78975193168</v>
      </c>
      <c r="M12" s="115">
        <f t="shared" si="4"/>
        <v>185102.78975193168</v>
      </c>
      <c r="N12" s="115">
        <f t="shared" si="4"/>
        <v>185102.78975193168</v>
      </c>
      <c r="O12" s="115">
        <f t="shared" si="4"/>
        <v>185102.78975193168</v>
      </c>
      <c r="P12" s="116">
        <f>ROUND(((C12+O12)+(SUM(D12:N12)*2))/24,3)</f>
        <v>185102.79</v>
      </c>
    </row>
    <row r="13" spans="1:16" ht="5.25" customHeight="1">
      <c r="A13" s="104"/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</row>
    <row r="14" spans="1:16" ht="13.5" customHeight="1">
      <c r="A14" s="104">
        <f>A12+1</f>
        <v>8</v>
      </c>
      <c r="B14" s="108" t="s">
        <v>69</v>
      </c>
      <c r="M14" s="117"/>
      <c r="N14" s="118"/>
      <c r="O14" s="119"/>
      <c r="P14" s="301"/>
    </row>
    <row r="15" spans="1:16">
      <c r="A15" s="104">
        <f>A14+1</f>
        <v>9</v>
      </c>
      <c r="B15" s="112" t="s">
        <v>83</v>
      </c>
      <c r="C15" s="302">
        <v>3.3586701700433846E-2</v>
      </c>
      <c r="D15" s="302">
        <v>3.3691845529091852E-2</v>
      </c>
      <c r="E15" s="302">
        <v>3.3642136159882458E-2</v>
      </c>
      <c r="F15" s="302">
        <v>3.3539874842079979E-2</v>
      </c>
      <c r="G15" s="302">
        <v>3.3429185528676172E-2</v>
      </c>
      <c r="H15" s="302">
        <v>3.3334550740002022E-2</v>
      </c>
      <c r="I15" s="302">
        <v>3.3273196377403412E-2</v>
      </c>
      <c r="J15" s="302">
        <v>3.3224066000904946E-2</v>
      </c>
      <c r="K15" s="302">
        <v>3.3157295262479847E-2</v>
      </c>
      <c r="L15" s="302">
        <v>3.3058660058229557E-2</v>
      </c>
      <c r="M15" s="302">
        <v>3.2961606172649489E-2</v>
      </c>
      <c r="N15" s="302">
        <v>3.2919273839797827E-2</v>
      </c>
      <c r="O15" s="302">
        <v>3.2957249797745461E-2</v>
      </c>
      <c r="P15" s="110"/>
    </row>
    <row r="16" spans="1:16">
      <c r="A16" s="104">
        <f>A15+1</f>
        <v>10</v>
      </c>
      <c r="B16" s="112" t="s">
        <v>84</v>
      </c>
      <c r="C16" s="120">
        <f>2.85%-2.5%</f>
        <v>3.4999999999999996E-3</v>
      </c>
      <c r="D16" s="120">
        <f>C16</f>
        <v>3.4999999999999996E-3</v>
      </c>
      <c r="E16" s="120">
        <f t="shared" ref="E16:O17" si="5">D16</f>
        <v>3.4999999999999996E-3</v>
      </c>
      <c r="F16" s="120">
        <f t="shared" si="5"/>
        <v>3.4999999999999996E-3</v>
      </c>
      <c r="G16" s="120">
        <f t="shared" si="5"/>
        <v>3.4999999999999996E-3</v>
      </c>
      <c r="H16" s="120">
        <f t="shared" si="5"/>
        <v>3.4999999999999996E-3</v>
      </c>
      <c r="I16" s="120">
        <f t="shared" si="5"/>
        <v>3.4999999999999996E-3</v>
      </c>
      <c r="J16" s="120">
        <f t="shared" si="5"/>
        <v>3.4999999999999996E-3</v>
      </c>
      <c r="K16" s="120">
        <f t="shared" si="5"/>
        <v>3.4999999999999996E-3</v>
      </c>
      <c r="L16" s="120">
        <f t="shared" si="5"/>
        <v>3.4999999999999996E-3</v>
      </c>
      <c r="M16" s="120">
        <f t="shared" si="5"/>
        <v>3.4999999999999996E-3</v>
      </c>
      <c r="N16" s="120">
        <f t="shared" si="5"/>
        <v>3.4999999999999996E-3</v>
      </c>
      <c r="O16" s="120">
        <f t="shared" si="5"/>
        <v>3.4999999999999996E-3</v>
      </c>
      <c r="P16" s="110"/>
    </row>
    <row r="17" spans="1:18">
      <c r="A17" s="104">
        <f>A16+1</f>
        <v>11</v>
      </c>
      <c r="B17" s="112" t="s">
        <v>85</v>
      </c>
      <c r="C17" s="120">
        <v>1.2500000000000001E-2</v>
      </c>
      <c r="D17" s="120">
        <f>C17</f>
        <v>1.2500000000000001E-2</v>
      </c>
      <c r="E17" s="120">
        <f t="shared" si="5"/>
        <v>1.2500000000000001E-2</v>
      </c>
      <c r="F17" s="120">
        <f t="shared" si="5"/>
        <v>1.2500000000000001E-2</v>
      </c>
      <c r="G17" s="120">
        <f t="shared" si="5"/>
        <v>1.2500000000000001E-2</v>
      </c>
      <c r="H17" s="120">
        <f t="shared" si="5"/>
        <v>1.2500000000000001E-2</v>
      </c>
      <c r="I17" s="120">
        <f t="shared" si="5"/>
        <v>1.2500000000000001E-2</v>
      </c>
      <c r="J17" s="120">
        <f t="shared" si="5"/>
        <v>1.2500000000000001E-2</v>
      </c>
      <c r="K17" s="120">
        <f t="shared" si="5"/>
        <v>1.2500000000000001E-2</v>
      </c>
      <c r="L17" s="120">
        <f t="shared" si="5"/>
        <v>1.2500000000000001E-2</v>
      </c>
      <c r="M17" s="120">
        <f t="shared" si="5"/>
        <v>1.2500000000000001E-2</v>
      </c>
      <c r="N17" s="120">
        <f t="shared" si="5"/>
        <v>1.2500000000000001E-2</v>
      </c>
      <c r="O17" s="120">
        <f t="shared" si="5"/>
        <v>1.2500000000000001E-2</v>
      </c>
      <c r="P17" s="110"/>
    </row>
    <row r="18" spans="1:18" ht="6" customHeight="1">
      <c r="A18" s="104"/>
      <c r="B18" s="112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10"/>
    </row>
    <row r="19" spans="1:18" ht="12" customHeight="1">
      <c r="A19" s="104">
        <f>A17+1</f>
        <v>12</v>
      </c>
      <c r="B19" s="108" t="s">
        <v>86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10"/>
    </row>
    <row r="20" spans="1:18">
      <c r="A20" s="104">
        <f>A19+1</f>
        <v>13</v>
      </c>
      <c r="B20" s="122" t="s">
        <v>87</v>
      </c>
      <c r="C20" s="123">
        <f t="shared" ref="C20:O20" si="6">C15+C16</f>
        <v>3.708670170043385E-2</v>
      </c>
      <c r="D20" s="123">
        <f t="shared" si="6"/>
        <v>3.7191845529091855E-2</v>
      </c>
      <c r="E20" s="123">
        <f t="shared" si="6"/>
        <v>3.7142136159882461E-2</v>
      </c>
      <c r="F20" s="123">
        <f t="shared" si="6"/>
        <v>3.7039874842079976E-2</v>
      </c>
      <c r="G20" s="123">
        <f t="shared" si="6"/>
        <v>3.6929185528676176E-2</v>
      </c>
      <c r="H20" s="123">
        <f t="shared" si="6"/>
        <v>3.6834550740002026E-2</v>
      </c>
      <c r="I20" s="123">
        <f t="shared" si="6"/>
        <v>3.6773196377403408E-2</v>
      </c>
      <c r="J20" s="123">
        <f t="shared" si="6"/>
        <v>3.6724066000904942E-2</v>
      </c>
      <c r="K20" s="123">
        <f t="shared" si="6"/>
        <v>3.665729526247985E-2</v>
      </c>
      <c r="L20" s="123">
        <f t="shared" si="6"/>
        <v>3.6558660058229553E-2</v>
      </c>
      <c r="M20" s="123">
        <f t="shared" si="6"/>
        <v>3.6461606172649486E-2</v>
      </c>
      <c r="N20" s="123">
        <f t="shared" si="6"/>
        <v>3.6419273839797831E-2</v>
      </c>
      <c r="O20" s="123">
        <f t="shared" si="6"/>
        <v>3.6457249797745464E-2</v>
      </c>
      <c r="P20" s="110"/>
    </row>
    <row r="21" spans="1:18">
      <c r="A21" s="104">
        <f>A20+1</f>
        <v>14</v>
      </c>
      <c r="B21" s="122" t="s">
        <v>81</v>
      </c>
      <c r="C21" s="123">
        <f t="shared" ref="C21:O21" si="7">C15+C17</f>
        <v>4.6086701700433844E-2</v>
      </c>
      <c r="D21" s="123">
        <f t="shared" si="7"/>
        <v>4.6191845529091849E-2</v>
      </c>
      <c r="E21" s="123">
        <f t="shared" si="7"/>
        <v>4.6142136159882455E-2</v>
      </c>
      <c r="F21" s="123">
        <f t="shared" si="7"/>
        <v>4.6039874842079984E-2</v>
      </c>
      <c r="G21" s="123">
        <f t="shared" si="7"/>
        <v>4.592918552867617E-2</v>
      </c>
      <c r="H21" s="123">
        <f t="shared" si="7"/>
        <v>4.583455074000202E-2</v>
      </c>
      <c r="I21" s="123">
        <f t="shared" si="7"/>
        <v>4.5773196377403416E-2</v>
      </c>
      <c r="J21" s="123">
        <f t="shared" si="7"/>
        <v>4.572406600090495E-2</v>
      </c>
      <c r="K21" s="123">
        <f t="shared" si="7"/>
        <v>4.5657295262479844E-2</v>
      </c>
      <c r="L21" s="123">
        <f t="shared" si="7"/>
        <v>4.5558660058229561E-2</v>
      </c>
      <c r="M21" s="123">
        <f t="shared" si="7"/>
        <v>4.5461606172649494E-2</v>
      </c>
      <c r="N21" s="123">
        <f t="shared" si="7"/>
        <v>4.5419273839797825E-2</v>
      </c>
      <c r="O21" s="123">
        <f t="shared" si="7"/>
        <v>4.5457249797745458E-2</v>
      </c>
      <c r="P21" s="110"/>
    </row>
    <row r="22" spans="1:18" ht="5.25" customHeight="1">
      <c r="A22" s="104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</row>
    <row r="23" spans="1:18">
      <c r="A23" s="104">
        <f>A21+1</f>
        <v>15</v>
      </c>
      <c r="B23" s="112" t="s">
        <v>88</v>
      </c>
      <c r="C23" s="112"/>
      <c r="D23" s="112">
        <f t="shared" ref="D23:O23" si="8">D6-C6</f>
        <v>30</v>
      </c>
      <c r="E23" s="112">
        <f t="shared" si="8"/>
        <v>31</v>
      </c>
      <c r="F23" s="112">
        <f t="shared" si="8"/>
        <v>30</v>
      </c>
      <c r="G23" s="112">
        <f t="shared" si="8"/>
        <v>31</v>
      </c>
      <c r="H23" s="112">
        <f t="shared" si="8"/>
        <v>31</v>
      </c>
      <c r="I23" s="112">
        <f t="shared" si="8"/>
        <v>30</v>
      </c>
      <c r="J23" s="112">
        <f t="shared" si="8"/>
        <v>31</v>
      </c>
      <c r="K23" s="112">
        <f t="shared" si="8"/>
        <v>30</v>
      </c>
      <c r="L23" s="112">
        <f t="shared" si="8"/>
        <v>31</v>
      </c>
      <c r="M23" s="112">
        <f t="shared" si="8"/>
        <v>31</v>
      </c>
      <c r="N23" s="112">
        <f t="shared" si="8"/>
        <v>28</v>
      </c>
      <c r="O23" s="112">
        <f t="shared" si="8"/>
        <v>31</v>
      </c>
      <c r="P23" s="124"/>
    </row>
    <row r="24" spans="1:18" ht="3.75" customHeight="1">
      <c r="A24" s="104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24"/>
    </row>
    <row r="25" spans="1:18">
      <c r="A25" s="104">
        <f>A23+1</f>
        <v>16</v>
      </c>
      <c r="B25" s="108" t="s">
        <v>89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25" t="s">
        <v>61</v>
      </c>
    </row>
    <row r="26" spans="1:18">
      <c r="A26" s="104">
        <f>A25+1</f>
        <v>17</v>
      </c>
      <c r="B26" s="112" t="s">
        <v>90</v>
      </c>
      <c r="C26" s="112"/>
      <c r="D26" s="110">
        <f>AVERAGE(C10:D10)*(D20*D23/360)*1000</f>
        <v>286846.43181074213</v>
      </c>
      <c r="E26" s="110">
        <f t="shared" ref="E26:O26" si="9">AVERAGE(D10:E10)*(E20*E23/360)*1000</f>
        <v>296011.8106065981</v>
      </c>
      <c r="F26" s="110">
        <f t="shared" si="9"/>
        <v>285674.34022214141</v>
      </c>
      <c r="G26" s="110">
        <f t="shared" si="9"/>
        <v>294314.65722689353</v>
      </c>
      <c r="H26" s="110">
        <f t="shared" si="9"/>
        <v>293560.44602532929</v>
      </c>
      <c r="I26" s="110">
        <f t="shared" si="9"/>
        <v>283617.55156470829</v>
      </c>
      <c r="J26" s="110">
        <f t="shared" si="9"/>
        <v>292679.91541923425</v>
      </c>
      <c r="K26" s="110">
        <f t="shared" si="9"/>
        <v>282723.65074355365</v>
      </c>
      <c r="L26" s="110">
        <f t="shared" si="9"/>
        <v>291361.67910763196</v>
      </c>
      <c r="M26" s="110">
        <f t="shared" si="9"/>
        <v>290588.18842111644</v>
      </c>
      <c r="N26" s="110">
        <f t="shared" si="9"/>
        <v>262162.0239966826</v>
      </c>
      <c r="O26" s="110">
        <f t="shared" si="9"/>
        <v>290553.46940502455</v>
      </c>
      <c r="P26" s="111">
        <f>SUM(D26:O26)</f>
        <v>3450094.1645496562</v>
      </c>
    </row>
    <row r="27" spans="1:18">
      <c r="A27" s="104">
        <f>A26+1</f>
        <v>18</v>
      </c>
      <c r="B27" s="112" t="s">
        <v>91</v>
      </c>
      <c r="C27" s="112"/>
      <c r="D27" s="110">
        <f>AVERAGE(C11:D11)*(D21*D23/360)*1000</f>
        <v>356259.9779677164</v>
      </c>
      <c r="E27" s="110">
        <f t="shared" ref="E27:O27" si="10">AVERAGE(D11:E11)*(E21*E23/360)*1000</f>
        <v>367739.14163547161</v>
      </c>
      <c r="F27" s="110">
        <f t="shared" si="10"/>
        <v>355087.88637911587</v>
      </c>
      <c r="G27" s="110">
        <f t="shared" si="10"/>
        <v>366041.98825576704</v>
      </c>
      <c r="H27" s="110">
        <f t="shared" si="10"/>
        <v>365287.77705420274</v>
      </c>
      <c r="I27" s="110">
        <f t="shared" si="10"/>
        <v>353031.09772168275</v>
      </c>
      <c r="J27" s="110">
        <f t="shared" si="10"/>
        <v>364407.24644810782</v>
      </c>
      <c r="K27" s="110">
        <f t="shared" si="10"/>
        <v>352137.19690052798</v>
      </c>
      <c r="L27" s="110">
        <f t="shared" si="10"/>
        <v>363089.01013650553</v>
      </c>
      <c r="M27" s="110">
        <f t="shared" si="10"/>
        <v>362315.51944999007</v>
      </c>
      <c r="N27" s="110">
        <f t="shared" si="10"/>
        <v>326948.00040985859</v>
      </c>
      <c r="O27" s="110">
        <f t="shared" si="10"/>
        <v>362280.80043389805</v>
      </c>
      <c r="P27" s="111">
        <f>SUM(D27:O27)</f>
        <v>4294625.6427928451</v>
      </c>
    </row>
    <row r="28" spans="1:18" ht="12.75" thickBot="1">
      <c r="A28" s="104">
        <f>A27+1</f>
        <v>19</v>
      </c>
      <c r="B28" s="126" t="s">
        <v>92</v>
      </c>
      <c r="C28" s="112"/>
      <c r="D28" s="127">
        <f t="shared" ref="D28:O28" si="11">SUM(D26:D27)</f>
        <v>643106.40977845853</v>
      </c>
      <c r="E28" s="127">
        <f t="shared" si="11"/>
        <v>663750.95224206964</v>
      </c>
      <c r="F28" s="127">
        <f t="shared" si="11"/>
        <v>640762.22660125722</v>
      </c>
      <c r="G28" s="127">
        <f t="shared" si="11"/>
        <v>660356.6454826605</v>
      </c>
      <c r="H28" s="127">
        <f t="shared" si="11"/>
        <v>658848.22307953204</v>
      </c>
      <c r="I28" s="127">
        <f t="shared" si="11"/>
        <v>636648.64928639098</v>
      </c>
      <c r="J28" s="127">
        <f t="shared" si="11"/>
        <v>657087.16186734207</v>
      </c>
      <c r="K28" s="127">
        <f t="shared" si="11"/>
        <v>634860.84764408157</v>
      </c>
      <c r="L28" s="127">
        <f t="shared" si="11"/>
        <v>654450.68924413749</v>
      </c>
      <c r="M28" s="127">
        <f t="shared" si="11"/>
        <v>652903.70787110645</v>
      </c>
      <c r="N28" s="127">
        <f t="shared" si="11"/>
        <v>589110.02440654114</v>
      </c>
      <c r="O28" s="127">
        <f t="shared" si="11"/>
        <v>652834.26983892266</v>
      </c>
      <c r="P28" s="128">
        <f>SUM(D28:O28)</f>
        <v>7744719.8073424995</v>
      </c>
    </row>
    <row r="29" spans="1:18" ht="5.25" customHeight="1" thickTop="1">
      <c r="A29" s="104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24"/>
    </row>
    <row r="30" spans="1:18">
      <c r="A30" s="104">
        <f>A28+1</f>
        <v>20</v>
      </c>
      <c r="B30" s="101" t="s">
        <v>93</v>
      </c>
      <c r="C30" s="117"/>
      <c r="D30" s="129">
        <f t="shared" ref="D30:O30" si="12">(+D28/1000)/((D12+C12)/2)*(360/D23)</f>
        <v>4.1691845529091859E-2</v>
      </c>
      <c r="E30" s="129">
        <f t="shared" si="12"/>
        <v>4.1642136159882465E-2</v>
      </c>
      <c r="F30" s="129">
        <f t="shared" si="12"/>
        <v>4.153987484207998E-2</v>
      </c>
      <c r="G30" s="129">
        <f t="shared" si="12"/>
        <v>4.1429185528676173E-2</v>
      </c>
      <c r="H30" s="129">
        <f t="shared" si="12"/>
        <v>4.133455074000203E-2</v>
      </c>
      <c r="I30" s="129">
        <f t="shared" si="12"/>
        <v>4.1273196377403412E-2</v>
      </c>
      <c r="J30" s="129">
        <f t="shared" si="12"/>
        <v>4.1224066000904939E-2</v>
      </c>
      <c r="K30" s="129">
        <f t="shared" si="12"/>
        <v>4.115729526247984E-2</v>
      </c>
      <c r="L30" s="129">
        <f t="shared" si="12"/>
        <v>4.105866005822955E-2</v>
      </c>
      <c r="M30" s="129">
        <f t="shared" si="12"/>
        <v>4.096160617264949E-2</v>
      </c>
      <c r="N30" s="129">
        <f t="shared" si="12"/>
        <v>4.0919273839797828E-2</v>
      </c>
      <c r="O30" s="129">
        <f t="shared" si="12"/>
        <v>4.0957249797745461E-2</v>
      </c>
      <c r="P30" s="129">
        <f>ROUND(P28/(P7*1000),4)</f>
        <v>4.1799999999999997E-2</v>
      </c>
      <c r="R30" s="129"/>
    </row>
    <row r="31" spans="1:18" ht="4.5" customHeight="1">
      <c r="A31" s="104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24"/>
    </row>
    <row r="32" spans="1:18">
      <c r="A32" s="104">
        <f>A30+1</f>
        <v>21</v>
      </c>
      <c r="B32" s="108" t="s">
        <v>94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24"/>
    </row>
    <row r="33" spans="1:18">
      <c r="A33" s="104">
        <f>A32+1</f>
        <v>22</v>
      </c>
      <c r="B33" s="112" t="s">
        <v>95</v>
      </c>
      <c r="C33" s="130">
        <v>800000</v>
      </c>
      <c r="D33" s="109">
        <f>C33</f>
        <v>800000</v>
      </c>
      <c r="E33" s="109">
        <f t="shared" ref="E33:O33" si="13">D33</f>
        <v>800000</v>
      </c>
      <c r="F33" s="109">
        <f t="shared" si="13"/>
        <v>800000</v>
      </c>
      <c r="G33" s="109">
        <f t="shared" si="13"/>
        <v>800000</v>
      </c>
      <c r="H33" s="109">
        <f t="shared" si="13"/>
        <v>800000</v>
      </c>
      <c r="I33" s="109">
        <f t="shared" si="13"/>
        <v>800000</v>
      </c>
      <c r="J33" s="109">
        <f t="shared" si="13"/>
        <v>800000</v>
      </c>
      <c r="K33" s="109">
        <f t="shared" si="13"/>
        <v>800000</v>
      </c>
      <c r="L33" s="109">
        <f t="shared" si="13"/>
        <v>800000</v>
      </c>
      <c r="M33" s="109">
        <f t="shared" si="13"/>
        <v>800000</v>
      </c>
      <c r="N33" s="109">
        <f t="shared" si="13"/>
        <v>800000</v>
      </c>
      <c r="O33" s="109">
        <f t="shared" si="13"/>
        <v>800000</v>
      </c>
      <c r="P33" s="124"/>
    </row>
    <row r="34" spans="1:18">
      <c r="A34" s="104">
        <f>A33+1</f>
        <v>23</v>
      </c>
      <c r="B34" s="112" t="s">
        <v>96</v>
      </c>
      <c r="C34" s="303">
        <f>C11+C42</f>
        <v>92551.394875965838</v>
      </c>
      <c r="D34" s="110">
        <f t="shared" ref="D34:O34" si="14">D11+D42</f>
        <v>92551.394875965838</v>
      </c>
      <c r="E34" s="110">
        <f t="shared" si="14"/>
        <v>92551.394875965838</v>
      </c>
      <c r="F34" s="110">
        <f t="shared" si="14"/>
        <v>92551.394875965838</v>
      </c>
      <c r="G34" s="110">
        <f t="shared" si="14"/>
        <v>92551.394875965838</v>
      </c>
      <c r="H34" s="110">
        <f t="shared" si="14"/>
        <v>92551.394875965838</v>
      </c>
      <c r="I34" s="110">
        <f t="shared" si="14"/>
        <v>92551.394875965838</v>
      </c>
      <c r="J34" s="110">
        <f t="shared" si="14"/>
        <v>92551.394875965838</v>
      </c>
      <c r="K34" s="110">
        <f t="shared" si="14"/>
        <v>92551.394875965838</v>
      </c>
      <c r="L34" s="110">
        <f t="shared" si="14"/>
        <v>92551.394875965838</v>
      </c>
      <c r="M34" s="110">
        <f t="shared" si="14"/>
        <v>92551.394875965838</v>
      </c>
      <c r="N34" s="110">
        <f t="shared" si="14"/>
        <v>92551.394875965838</v>
      </c>
      <c r="O34" s="110">
        <f t="shared" si="14"/>
        <v>92551.394875965838</v>
      </c>
      <c r="P34" s="124"/>
    </row>
    <row r="35" spans="1:18">
      <c r="A35" s="104">
        <f>A34+1</f>
        <v>24</v>
      </c>
      <c r="B35" s="131" t="s">
        <v>97</v>
      </c>
      <c r="C35" s="132">
        <f>C33-C34</f>
        <v>707448.60512403422</v>
      </c>
      <c r="D35" s="132">
        <f t="shared" ref="D35:O35" si="15">D33-D34</f>
        <v>707448.60512403422</v>
      </c>
      <c r="E35" s="132">
        <f t="shared" si="15"/>
        <v>707448.60512403422</v>
      </c>
      <c r="F35" s="132">
        <f t="shared" si="15"/>
        <v>707448.60512403422</v>
      </c>
      <c r="G35" s="132">
        <f t="shared" si="15"/>
        <v>707448.60512403422</v>
      </c>
      <c r="H35" s="132">
        <f t="shared" si="15"/>
        <v>707448.60512403422</v>
      </c>
      <c r="I35" s="132">
        <f t="shared" si="15"/>
        <v>707448.60512403422</v>
      </c>
      <c r="J35" s="132">
        <f t="shared" si="15"/>
        <v>707448.60512403422</v>
      </c>
      <c r="K35" s="132">
        <f t="shared" si="15"/>
        <v>707448.60512403422</v>
      </c>
      <c r="L35" s="132">
        <f t="shared" si="15"/>
        <v>707448.60512403422</v>
      </c>
      <c r="M35" s="132">
        <f t="shared" si="15"/>
        <v>707448.60512403422</v>
      </c>
      <c r="N35" s="132">
        <f t="shared" si="15"/>
        <v>707448.60512403422</v>
      </c>
      <c r="O35" s="132">
        <f t="shared" si="15"/>
        <v>707448.60512403422</v>
      </c>
      <c r="P35" s="124"/>
    </row>
    <row r="36" spans="1:18" ht="4.5" customHeight="1">
      <c r="A36" s="104"/>
      <c r="B36" s="114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24"/>
    </row>
    <row r="37" spans="1:18">
      <c r="A37" s="104">
        <f>A35+1</f>
        <v>25</v>
      </c>
      <c r="B37" s="108" t="s">
        <v>98</v>
      </c>
      <c r="C37" s="133" t="s">
        <v>10</v>
      </c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24"/>
    </row>
    <row r="38" spans="1:18">
      <c r="A38" s="104">
        <f>A37+1</f>
        <v>26</v>
      </c>
      <c r="B38" s="122" t="s">
        <v>99</v>
      </c>
      <c r="C38" s="304">
        <v>1.75E-3</v>
      </c>
      <c r="D38" s="110">
        <f t="shared" ref="D38:O38" si="16">AVERAGE(C35:D35)*($C38*D$23/360)*1000</f>
        <v>103169.58824725499</v>
      </c>
      <c r="E38" s="110">
        <f t="shared" si="16"/>
        <v>106608.5745221635</v>
      </c>
      <c r="F38" s="110">
        <f t="shared" si="16"/>
        <v>103169.58824725499</v>
      </c>
      <c r="G38" s="110">
        <f t="shared" si="16"/>
        <v>106608.5745221635</v>
      </c>
      <c r="H38" s="110">
        <f t="shared" si="16"/>
        <v>106608.5745221635</v>
      </c>
      <c r="I38" s="110">
        <f t="shared" si="16"/>
        <v>103169.58824725499</v>
      </c>
      <c r="J38" s="110">
        <f t="shared" si="16"/>
        <v>106608.5745221635</v>
      </c>
      <c r="K38" s="110">
        <f t="shared" si="16"/>
        <v>103169.58824725499</v>
      </c>
      <c r="L38" s="110">
        <f t="shared" si="16"/>
        <v>106608.5745221635</v>
      </c>
      <c r="M38" s="110">
        <f t="shared" si="16"/>
        <v>106608.5745221635</v>
      </c>
      <c r="N38" s="110">
        <f t="shared" si="16"/>
        <v>96291.615697437999</v>
      </c>
      <c r="O38" s="110">
        <f t="shared" si="16"/>
        <v>106608.5745221635</v>
      </c>
      <c r="P38" s="111">
        <f>SUM(D38:O38)</f>
        <v>1255229.9903416024</v>
      </c>
    </row>
    <row r="39" spans="1:18" ht="12.75" thickBot="1">
      <c r="A39" s="104">
        <f>A38+1</f>
        <v>27</v>
      </c>
      <c r="B39" s="126" t="s">
        <v>100</v>
      </c>
      <c r="C39" s="305"/>
      <c r="D39" s="134">
        <f t="shared" ref="D39:O39" si="17">SUM(D38:D38)</f>
        <v>103169.58824725499</v>
      </c>
      <c r="E39" s="134">
        <f t="shared" si="17"/>
        <v>106608.5745221635</v>
      </c>
      <c r="F39" s="134">
        <f t="shared" si="17"/>
        <v>103169.58824725499</v>
      </c>
      <c r="G39" s="134">
        <f t="shared" si="17"/>
        <v>106608.5745221635</v>
      </c>
      <c r="H39" s="134">
        <f t="shared" si="17"/>
        <v>106608.5745221635</v>
      </c>
      <c r="I39" s="134">
        <f t="shared" si="17"/>
        <v>103169.58824725499</v>
      </c>
      <c r="J39" s="134">
        <f t="shared" si="17"/>
        <v>106608.5745221635</v>
      </c>
      <c r="K39" s="134">
        <f t="shared" si="17"/>
        <v>103169.58824725499</v>
      </c>
      <c r="L39" s="134">
        <f t="shared" si="17"/>
        <v>106608.5745221635</v>
      </c>
      <c r="M39" s="134">
        <f t="shared" si="17"/>
        <v>106608.5745221635</v>
      </c>
      <c r="N39" s="134">
        <f t="shared" si="17"/>
        <v>96291.615697437999</v>
      </c>
      <c r="O39" s="134">
        <f t="shared" si="17"/>
        <v>106608.5745221635</v>
      </c>
      <c r="P39" s="128">
        <f>SUM(D39:O39)</f>
        <v>1255229.9903416024</v>
      </c>
      <c r="R39" s="306"/>
    </row>
    <row r="40" spans="1:18" ht="6" customHeight="1" thickTop="1">
      <c r="A40" s="104"/>
      <c r="B40" s="135"/>
      <c r="C40" s="136"/>
      <c r="D40" s="136"/>
      <c r="E40" s="136"/>
      <c r="F40" s="136"/>
      <c r="G40" s="136"/>
      <c r="H40" s="101"/>
      <c r="I40" s="101"/>
      <c r="J40" s="101"/>
      <c r="K40" s="101"/>
      <c r="L40" s="101"/>
      <c r="M40" s="101"/>
      <c r="N40" s="101"/>
      <c r="O40" s="101"/>
      <c r="P40" s="101"/>
    </row>
    <row r="41" spans="1:18" ht="12" customHeight="1">
      <c r="A41" s="104">
        <f>A39+1</f>
        <v>28</v>
      </c>
      <c r="B41" s="108" t="s">
        <v>101</v>
      </c>
      <c r="C41" s="307">
        <v>0.01</v>
      </c>
      <c r="D41" s="136"/>
      <c r="E41" s="136"/>
      <c r="F41" s="136"/>
      <c r="G41" s="136"/>
      <c r="H41" s="101"/>
      <c r="I41" s="101"/>
      <c r="J41" s="101"/>
      <c r="K41" s="101"/>
      <c r="L41" s="101"/>
      <c r="M41" s="101"/>
      <c r="N41" s="101"/>
      <c r="O41" s="101"/>
      <c r="P41" s="101"/>
    </row>
    <row r="42" spans="1:18" ht="12" customHeight="1">
      <c r="A42" s="104">
        <f>A41+1</f>
        <v>29</v>
      </c>
      <c r="B42" s="112" t="s">
        <v>102</v>
      </c>
      <c r="C42" s="109"/>
      <c r="D42" s="130">
        <v>0</v>
      </c>
      <c r="E42" s="130">
        <f t="shared" ref="E42:O42" si="18">D42</f>
        <v>0</v>
      </c>
      <c r="F42" s="130">
        <f t="shared" si="18"/>
        <v>0</v>
      </c>
      <c r="G42" s="130">
        <f t="shared" si="18"/>
        <v>0</v>
      </c>
      <c r="H42" s="130">
        <f t="shared" si="18"/>
        <v>0</v>
      </c>
      <c r="I42" s="130">
        <f t="shared" si="18"/>
        <v>0</v>
      </c>
      <c r="J42" s="130">
        <f t="shared" si="18"/>
        <v>0</v>
      </c>
      <c r="K42" s="130">
        <f t="shared" si="18"/>
        <v>0</v>
      </c>
      <c r="L42" s="130">
        <f t="shared" si="18"/>
        <v>0</v>
      </c>
      <c r="M42" s="130">
        <f t="shared" si="18"/>
        <v>0</v>
      </c>
      <c r="N42" s="130">
        <f t="shared" si="18"/>
        <v>0</v>
      </c>
      <c r="O42" s="130">
        <f t="shared" si="18"/>
        <v>0</v>
      </c>
      <c r="P42" s="111"/>
    </row>
    <row r="43" spans="1:18" ht="12" customHeight="1">
      <c r="A43" s="104">
        <f>A42+1</f>
        <v>30</v>
      </c>
      <c r="B43" s="112" t="s">
        <v>103</v>
      </c>
      <c r="C43" s="109"/>
      <c r="D43" s="130">
        <f>2814013/1000</f>
        <v>2814.0129999999999</v>
      </c>
      <c r="E43" s="130">
        <f>$D$43</f>
        <v>2814.0129999999999</v>
      </c>
      <c r="F43" s="130">
        <f>$D$43</f>
        <v>2814.0129999999999</v>
      </c>
      <c r="G43" s="130">
        <f>2654750/1000</f>
        <v>2654.75</v>
      </c>
      <c r="H43" s="130">
        <f>$G$43</f>
        <v>2654.75</v>
      </c>
      <c r="I43" s="130">
        <f t="shared" ref="I43:O43" si="19">$G$43</f>
        <v>2654.75</v>
      </c>
      <c r="J43" s="130">
        <f t="shared" si="19"/>
        <v>2654.75</v>
      </c>
      <c r="K43" s="130">
        <f t="shared" si="19"/>
        <v>2654.75</v>
      </c>
      <c r="L43" s="130">
        <f t="shared" si="19"/>
        <v>2654.75</v>
      </c>
      <c r="M43" s="130">
        <f t="shared" si="19"/>
        <v>2654.75</v>
      </c>
      <c r="N43" s="130">
        <f t="shared" si="19"/>
        <v>2654.75</v>
      </c>
      <c r="O43" s="130">
        <f t="shared" si="19"/>
        <v>2654.75</v>
      </c>
      <c r="P43" s="111"/>
    </row>
    <row r="44" spans="1:18" ht="12" customHeight="1" thickBot="1">
      <c r="A44" s="104">
        <f>A43+1</f>
        <v>31</v>
      </c>
      <c r="B44" s="126" t="s">
        <v>141</v>
      </c>
      <c r="C44" s="307">
        <v>0.01</v>
      </c>
      <c r="D44" s="134">
        <f>D42*($C41*D$23/360)*1000+D43*($C44*D$23/360)*1000</f>
        <v>2345.0108333333333</v>
      </c>
      <c r="E44" s="134">
        <f t="shared" ref="E44:O44" si="20">E42*($C41*E$23/360)*1000+E43*($C44*E$23/360)*1000</f>
        <v>2423.1778611111113</v>
      </c>
      <c r="F44" s="134">
        <f t="shared" si="20"/>
        <v>2345.0108333333333</v>
      </c>
      <c r="G44" s="134">
        <f t="shared" si="20"/>
        <v>2286.0347222222222</v>
      </c>
      <c r="H44" s="134">
        <f t="shared" si="20"/>
        <v>2286.0347222222222</v>
      </c>
      <c r="I44" s="134">
        <f t="shared" si="20"/>
        <v>2212.2916666666665</v>
      </c>
      <c r="J44" s="134">
        <f t="shared" si="20"/>
        <v>2286.0347222222222</v>
      </c>
      <c r="K44" s="134">
        <f t="shared" si="20"/>
        <v>2212.2916666666665</v>
      </c>
      <c r="L44" s="134">
        <f t="shared" si="20"/>
        <v>2286.0347222222222</v>
      </c>
      <c r="M44" s="134">
        <f t="shared" si="20"/>
        <v>2286.0347222222222</v>
      </c>
      <c r="N44" s="134">
        <f t="shared" si="20"/>
        <v>2064.8055555555557</v>
      </c>
      <c r="O44" s="134">
        <f t="shared" si="20"/>
        <v>2286.0347222222222</v>
      </c>
      <c r="P44" s="128">
        <f>SUM(D44:O44)</f>
        <v>27318.796750000001</v>
      </c>
      <c r="R44" s="306"/>
    </row>
    <row r="45" spans="1:18" ht="12.75" customHeight="1" thickTop="1">
      <c r="A45" s="104"/>
      <c r="B45" s="126"/>
      <c r="C45" s="308"/>
      <c r="D45" s="110"/>
      <c r="E45" s="110"/>
      <c r="F45" s="137"/>
      <c r="G45" s="110"/>
      <c r="H45" s="110"/>
      <c r="I45" s="110"/>
      <c r="J45" s="110"/>
      <c r="K45" s="110"/>
      <c r="L45" s="110"/>
      <c r="M45" s="110"/>
      <c r="N45" s="110"/>
      <c r="O45" s="138" t="s">
        <v>104</v>
      </c>
      <c r="P45" s="111">
        <f>P39+P44</f>
        <v>1282548.7870916023</v>
      </c>
      <c r="R45" s="306"/>
    </row>
    <row r="46" spans="1:18" ht="12.75" customHeight="1">
      <c r="A46" s="104"/>
      <c r="B46" s="126"/>
      <c r="C46" s="308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38" t="s">
        <v>116</v>
      </c>
      <c r="P46" s="111">
        <f>'Pg 2 Cost of Total Debt'!H41</f>
        <v>7978568523.7901583</v>
      </c>
      <c r="R46" s="306"/>
    </row>
    <row r="47" spans="1:18" ht="12.75" customHeight="1">
      <c r="A47" s="104"/>
      <c r="B47" s="126"/>
      <c r="C47" s="308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38" t="s">
        <v>105</v>
      </c>
      <c r="P47" s="309">
        <f>ROUND(P45/P46,4)</f>
        <v>2.0000000000000001E-4</v>
      </c>
      <c r="R47" s="306"/>
    </row>
    <row r="48" spans="1:18" ht="12" customHeight="1">
      <c r="A48" s="104"/>
      <c r="B48" s="126"/>
      <c r="C48" s="308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309"/>
      <c r="R48" s="306"/>
    </row>
    <row r="49" spans="1:18" ht="6" customHeight="1">
      <c r="A49" s="104"/>
      <c r="B49" s="135"/>
      <c r="C49" s="136"/>
      <c r="D49" s="136"/>
      <c r="E49" s="136"/>
      <c r="F49" s="136"/>
      <c r="G49" s="136"/>
      <c r="H49" s="101"/>
      <c r="I49" s="101"/>
      <c r="J49" s="101"/>
      <c r="K49" s="101"/>
      <c r="L49" s="101"/>
      <c r="M49" s="101"/>
      <c r="N49" s="101"/>
      <c r="O49" s="101"/>
      <c r="P49" s="101"/>
    </row>
    <row r="50" spans="1:18">
      <c r="A50" s="104">
        <f>A44+1</f>
        <v>32</v>
      </c>
      <c r="B50" s="108" t="s">
        <v>135</v>
      </c>
      <c r="C50" s="136"/>
      <c r="D50" s="136"/>
      <c r="E50" s="136"/>
      <c r="F50" s="136"/>
      <c r="G50" s="136"/>
      <c r="H50" s="101"/>
      <c r="I50" s="101"/>
      <c r="J50" s="101"/>
      <c r="K50" s="101"/>
      <c r="L50" s="101"/>
      <c r="M50" s="101"/>
      <c r="N50" s="101"/>
      <c r="O50" s="101"/>
      <c r="P50" s="101"/>
    </row>
    <row r="51" spans="1:18">
      <c r="A51" s="104">
        <f t="shared" ref="A51:A57" si="21">A50+1</f>
        <v>33</v>
      </c>
      <c r="B51" s="122" t="s">
        <v>150</v>
      </c>
      <c r="C51" s="136"/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11">
        <f t="shared" ref="P51:P57" si="22">SUM(D51:O51)</f>
        <v>0</v>
      </c>
      <c r="R51" s="305"/>
    </row>
    <row r="52" spans="1:18">
      <c r="A52" s="104">
        <f t="shared" si="21"/>
        <v>34</v>
      </c>
      <c r="B52" s="122" t="s">
        <v>151</v>
      </c>
      <c r="C52" s="136"/>
      <c r="D52" s="130">
        <v>0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  <c r="K52" s="130">
        <v>0</v>
      </c>
      <c r="L52" s="130">
        <v>0</v>
      </c>
      <c r="M52" s="130">
        <v>0</v>
      </c>
      <c r="N52" s="130">
        <v>0</v>
      </c>
      <c r="O52" s="130">
        <v>0</v>
      </c>
      <c r="P52" s="111">
        <f t="shared" si="22"/>
        <v>0</v>
      </c>
    </row>
    <row r="53" spans="1:18">
      <c r="A53" s="104">
        <f t="shared" si="21"/>
        <v>35</v>
      </c>
      <c r="B53" s="122" t="s">
        <v>152</v>
      </c>
      <c r="C53" s="136"/>
      <c r="D53" s="130">
        <v>10211.44</v>
      </c>
      <c r="E53" s="130">
        <v>10211.44</v>
      </c>
      <c r="F53" s="130">
        <v>10211.44</v>
      </c>
      <c r="G53" s="130">
        <v>10211.44</v>
      </c>
      <c r="H53" s="130">
        <v>10211.44</v>
      </c>
      <c r="I53" s="130">
        <v>10211.44</v>
      </c>
      <c r="J53" s="130">
        <v>10211.44</v>
      </c>
      <c r="K53" s="130">
        <v>10211.44</v>
      </c>
      <c r="L53" s="130">
        <v>10211.44</v>
      </c>
      <c r="M53" s="130">
        <v>10211.44</v>
      </c>
      <c r="N53" s="130">
        <v>10211.44</v>
      </c>
      <c r="O53" s="130">
        <v>10211.44</v>
      </c>
      <c r="P53" s="111">
        <f t="shared" si="22"/>
        <v>122537.28000000001</v>
      </c>
    </row>
    <row r="54" spans="1:18">
      <c r="A54" s="104">
        <f t="shared" si="21"/>
        <v>36</v>
      </c>
      <c r="B54" s="122" t="s">
        <v>153</v>
      </c>
      <c r="C54" s="136"/>
      <c r="D54" s="130">
        <v>2285.1</v>
      </c>
      <c r="E54" s="130">
        <v>2285.1</v>
      </c>
      <c r="F54" s="130">
        <v>2285.1</v>
      </c>
      <c r="G54" s="130">
        <v>2285.1</v>
      </c>
      <c r="H54" s="130">
        <v>2285.1</v>
      </c>
      <c r="I54" s="130">
        <v>2285.1</v>
      </c>
      <c r="J54" s="130">
        <v>2285.1</v>
      </c>
      <c r="K54" s="130">
        <v>2285.1</v>
      </c>
      <c r="L54" s="130">
        <v>2285.1</v>
      </c>
      <c r="M54" s="130">
        <v>2285.1</v>
      </c>
      <c r="N54" s="130">
        <v>2285.1</v>
      </c>
      <c r="O54" s="130">
        <v>2285.1</v>
      </c>
      <c r="P54" s="111">
        <f t="shared" si="22"/>
        <v>27421.199999999993</v>
      </c>
    </row>
    <row r="55" spans="1:18">
      <c r="A55" s="104">
        <f t="shared" si="21"/>
        <v>37</v>
      </c>
      <c r="B55" s="122" t="s">
        <v>154</v>
      </c>
      <c r="C55" s="136"/>
      <c r="D55" s="130">
        <v>46204.63</v>
      </c>
      <c r="E55" s="130">
        <v>46204.63</v>
      </c>
      <c r="F55" s="130">
        <v>46204.63</v>
      </c>
      <c r="G55" s="130">
        <v>46204.63</v>
      </c>
      <c r="H55" s="130">
        <v>46204.63</v>
      </c>
      <c r="I55" s="130">
        <v>46204.63</v>
      </c>
      <c r="J55" s="130">
        <v>46204.63</v>
      </c>
      <c r="K55" s="130">
        <v>46204.63</v>
      </c>
      <c r="L55" s="130">
        <v>46204.63</v>
      </c>
      <c r="M55" s="130">
        <v>46204.63</v>
      </c>
      <c r="N55" s="130">
        <v>46204.63</v>
      </c>
      <c r="O55" s="130">
        <v>46204.63</v>
      </c>
      <c r="P55" s="111">
        <f t="shared" si="22"/>
        <v>554455.55999999994</v>
      </c>
    </row>
    <row r="56" spans="1:18">
      <c r="A56" s="104">
        <f t="shared" si="21"/>
        <v>38</v>
      </c>
      <c r="B56" s="122" t="s">
        <v>155</v>
      </c>
      <c r="C56" s="136"/>
      <c r="D56" s="130">
        <v>1580.06</v>
      </c>
      <c r="E56" s="130">
        <v>1580.06</v>
      </c>
      <c r="F56" s="130">
        <v>1580.06</v>
      </c>
      <c r="G56" s="130">
        <v>1580.06</v>
      </c>
      <c r="H56" s="130">
        <v>1580.06</v>
      </c>
      <c r="I56" s="130">
        <v>1580.06</v>
      </c>
      <c r="J56" s="130">
        <v>1580.06</v>
      </c>
      <c r="K56" s="130">
        <v>1580.06</v>
      </c>
      <c r="L56" s="130">
        <v>1580.06</v>
      </c>
      <c r="M56" s="130">
        <v>1580.06</v>
      </c>
      <c r="N56" s="130">
        <v>1580.06</v>
      </c>
      <c r="O56" s="130">
        <v>1580.06</v>
      </c>
      <c r="P56" s="111">
        <f t="shared" si="22"/>
        <v>18960.719999999998</v>
      </c>
    </row>
    <row r="57" spans="1:18" ht="12" customHeight="1" thickBot="1">
      <c r="A57" s="104">
        <f t="shared" si="21"/>
        <v>39</v>
      </c>
      <c r="B57" s="126" t="s">
        <v>106</v>
      </c>
      <c r="C57" s="136"/>
      <c r="D57" s="139">
        <f>SUM(D51:D56)</f>
        <v>60281.229999999996</v>
      </c>
      <c r="E57" s="139">
        <f t="shared" ref="E57:O57" si="23">SUM(E51:E56)</f>
        <v>60281.229999999996</v>
      </c>
      <c r="F57" s="139">
        <f t="shared" si="23"/>
        <v>60281.229999999996</v>
      </c>
      <c r="G57" s="139">
        <f t="shared" si="23"/>
        <v>60281.229999999996</v>
      </c>
      <c r="H57" s="139">
        <f t="shared" si="23"/>
        <v>60281.229999999996</v>
      </c>
      <c r="I57" s="139">
        <f t="shared" si="23"/>
        <v>60281.229999999996</v>
      </c>
      <c r="J57" s="139">
        <f t="shared" si="23"/>
        <v>60281.229999999996</v>
      </c>
      <c r="K57" s="139">
        <f t="shared" si="23"/>
        <v>60281.229999999996</v>
      </c>
      <c r="L57" s="139">
        <f t="shared" si="23"/>
        <v>60281.229999999996</v>
      </c>
      <c r="M57" s="139">
        <f t="shared" si="23"/>
        <v>60281.229999999996</v>
      </c>
      <c r="N57" s="139">
        <f t="shared" si="23"/>
        <v>60281.229999999996</v>
      </c>
      <c r="O57" s="139">
        <f t="shared" si="23"/>
        <v>60281.229999999996</v>
      </c>
      <c r="P57" s="128">
        <f t="shared" si="22"/>
        <v>723374.75999999989</v>
      </c>
      <c r="R57" s="306"/>
    </row>
    <row r="58" spans="1:18" ht="12" customHeight="1" thickTop="1">
      <c r="A58" s="104"/>
      <c r="B58" s="126"/>
      <c r="C58" s="136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38" t="s">
        <v>116</v>
      </c>
      <c r="P58" s="111">
        <f>'Pg 2 Cost of Total Debt'!$H$41</f>
        <v>7978568523.7901583</v>
      </c>
      <c r="R58" s="306"/>
    </row>
    <row r="59" spans="1:18" ht="12" customHeight="1">
      <c r="A59" s="104"/>
      <c r="B59" s="126"/>
      <c r="C59" s="136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38" t="s">
        <v>107</v>
      </c>
      <c r="P59" s="309">
        <f>ROUND(P57/P58,4)</f>
        <v>1E-4</v>
      </c>
      <c r="R59" s="306"/>
    </row>
    <row r="60" spans="1:18" ht="12" customHeight="1">
      <c r="A60" s="104"/>
      <c r="P60" s="42"/>
    </row>
    <row r="61" spans="1:18" ht="12" customHeight="1">
      <c r="A61" s="104">
        <f>A57+1</f>
        <v>40</v>
      </c>
      <c r="B61" s="108" t="s">
        <v>142</v>
      </c>
    </row>
    <row r="62" spans="1:18">
      <c r="B62" s="141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</row>
  </sheetData>
  <printOptions horizontalCentered="1"/>
  <pageMargins left="0.27" right="0.23" top="0.61" bottom="0.77" header="0.27" footer="0.27"/>
  <pageSetup scale="73" orientation="landscape" r:id="rId1"/>
  <headerFooter alignWithMargins="0">
    <oddFooter>&amp;R&amp;"Times New Roman,Regular"Exhibit No. ___(BJL-4)
Page 3 of 5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zoomScaleSheetLayoutView="90" workbookViewId="0">
      <selection activeCell="B35" sqref="B35"/>
    </sheetView>
  </sheetViews>
  <sheetFormatPr defaultColWidth="8.6640625" defaultRowHeight="15.75"/>
  <cols>
    <col min="1" max="1" width="4.6640625" style="16" customWidth="1"/>
    <col min="2" max="2" width="46" style="16" customWidth="1"/>
    <col min="3" max="3" width="10.6640625" style="16" customWidth="1"/>
    <col min="4" max="4" width="11.6640625" style="16" customWidth="1"/>
    <col min="5" max="5" width="12.6640625" style="16" customWidth="1"/>
    <col min="6" max="6" width="15.6640625" style="16" customWidth="1"/>
    <col min="7" max="7" width="13" style="16" customWidth="1"/>
    <col min="8" max="10" width="13.6640625" style="16" customWidth="1"/>
    <col min="11" max="11" width="16.1640625" style="16" bestFit="1" customWidth="1"/>
    <col min="12" max="12" width="6.33203125" style="16" customWidth="1"/>
    <col min="13" max="13" width="10.5" style="16" bestFit="1" customWidth="1"/>
    <col min="14" max="14" width="9.1640625" style="16" bestFit="1" customWidth="1"/>
    <col min="15" max="256" width="8.6640625" style="16"/>
    <col min="257" max="257" width="4.6640625" style="16" customWidth="1"/>
    <col min="258" max="258" width="46" style="16" customWidth="1"/>
    <col min="259" max="259" width="10.6640625" style="16" customWidth="1"/>
    <col min="260" max="260" width="11.6640625" style="16" customWidth="1"/>
    <col min="261" max="261" width="12.6640625" style="16" customWidth="1"/>
    <col min="262" max="262" width="15.6640625" style="16" customWidth="1"/>
    <col min="263" max="263" width="13" style="16" customWidth="1"/>
    <col min="264" max="266" width="13.6640625" style="16" customWidth="1"/>
    <col min="267" max="267" width="16.1640625" style="16" bestFit="1" customWidth="1"/>
    <col min="268" max="268" width="6.33203125" style="16" customWidth="1"/>
    <col min="269" max="269" width="10.5" style="16" bestFit="1" customWidth="1"/>
    <col min="270" max="270" width="9.1640625" style="16" bestFit="1" customWidth="1"/>
    <col min="271" max="512" width="8.6640625" style="16"/>
    <col min="513" max="513" width="4.6640625" style="16" customWidth="1"/>
    <col min="514" max="514" width="46" style="16" customWidth="1"/>
    <col min="515" max="515" width="10.6640625" style="16" customWidth="1"/>
    <col min="516" max="516" width="11.6640625" style="16" customWidth="1"/>
    <col min="517" max="517" width="12.6640625" style="16" customWidth="1"/>
    <col min="518" max="518" width="15.6640625" style="16" customWidth="1"/>
    <col min="519" max="519" width="13" style="16" customWidth="1"/>
    <col min="520" max="522" width="13.6640625" style="16" customWidth="1"/>
    <col min="523" max="523" width="16.1640625" style="16" bestFit="1" customWidth="1"/>
    <col min="524" max="524" width="6.33203125" style="16" customWidth="1"/>
    <col min="525" max="525" width="10.5" style="16" bestFit="1" customWidth="1"/>
    <col min="526" max="526" width="9.1640625" style="16" bestFit="1" customWidth="1"/>
    <col min="527" max="768" width="8.6640625" style="16"/>
    <col min="769" max="769" width="4.6640625" style="16" customWidth="1"/>
    <col min="770" max="770" width="46" style="16" customWidth="1"/>
    <col min="771" max="771" width="10.6640625" style="16" customWidth="1"/>
    <col min="772" max="772" width="11.6640625" style="16" customWidth="1"/>
    <col min="773" max="773" width="12.6640625" style="16" customWidth="1"/>
    <col min="774" max="774" width="15.6640625" style="16" customWidth="1"/>
    <col min="775" max="775" width="13" style="16" customWidth="1"/>
    <col min="776" max="778" width="13.6640625" style="16" customWidth="1"/>
    <col min="779" max="779" width="16.1640625" style="16" bestFit="1" customWidth="1"/>
    <col min="780" max="780" width="6.33203125" style="16" customWidth="1"/>
    <col min="781" max="781" width="10.5" style="16" bestFit="1" customWidth="1"/>
    <col min="782" max="782" width="9.1640625" style="16" bestFit="1" customWidth="1"/>
    <col min="783" max="1024" width="8.6640625" style="16"/>
    <col min="1025" max="1025" width="4.6640625" style="16" customWidth="1"/>
    <col min="1026" max="1026" width="46" style="16" customWidth="1"/>
    <col min="1027" max="1027" width="10.6640625" style="16" customWidth="1"/>
    <col min="1028" max="1028" width="11.6640625" style="16" customWidth="1"/>
    <col min="1029" max="1029" width="12.6640625" style="16" customWidth="1"/>
    <col min="1030" max="1030" width="15.6640625" style="16" customWidth="1"/>
    <col min="1031" max="1031" width="13" style="16" customWidth="1"/>
    <col min="1032" max="1034" width="13.6640625" style="16" customWidth="1"/>
    <col min="1035" max="1035" width="16.1640625" style="16" bestFit="1" customWidth="1"/>
    <col min="1036" max="1036" width="6.33203125" style="16" customWidth="1"/>
    <col min="1037" max="1037" width="10.5" style="16" bestFit="1" customWidth="1"/>
    <col min="1038" max="1038" width="9.1640625" style="16" bestFit="1" customWidth="1"/>
    <col min="1039" max="1280" width="8.6640625" style="16"/>
    <col min="1281" max="1281" width="4.6640625" style="16" customWidth="1"/>
    <col min="1282" max="1282" width="46" style="16" customWidth="1"/>
    <col min="1283" max="1283" width="10.6640625" style="16" customWidth="1"/>
    <col min="1284" max="1284" width="11.6640625" style="16" customWidth="1"/>
    <col min="1285" max="1285" width="12.6640625" style="16" customWidth="1"/>
    <col min="1286" max="1286" width="15.6640625" style="16" customWidth="1"/>
    <col min="1287" max="1287" width="13" style="16" customWidth="1"/>
    <col min="1288" max="1290" width="13.6640625" style="16" customWidth="1"/>
    <col min="1291" max="1291" width="16.1640625" style="16" bestFit="1" customWidth="1"/>
    <col min="1292" max="1292" width="6.33203125" style="16" customWidth="1"/>
    <col min="1293" max="1293" width="10.5" style="16" bestFit="1" customWidth="1"/>
    <col min="1294" max="1294" width="9.1640625" style="16" bestFit="1" customWidth="1"/>
    <col min="1295" max="1536" width="8.6640625" style="16"/>
    <col min="1537" max="1537" width="4.6640625" style="16" customWidth="1"/>
    <col min="1538" max="1538" width="46" style="16" customWidth="1"/>
    <col min="1539" max="1539" width="10.6640625" style="16" customWidth="1"/>
    <col min="1540" max="1540" width="11.6640625" style="16" customWidth="1"/>
    <col min="1541" max="1541" width="12.6640625" style="16" customWidth="1"/>
    <col min="1542" max="1542" width="15.6640625" style="16" customWidth="1"/>
    <col min="1543" max="1543" width="13" style="16" customWidth="1"/>
    <col min="1544" max="1546" width="13.6640625" style="16" customWidth="1"/>
    <col min="1547" max="1547" width="16.1640625" style="16" bestFit="1" customWidth="1"/>
    <col min="1548" max="1548" width="6.33203125" style="16" customWidth="1"/>
    <col min="1549" max="1549" width="10.5" style="16" bestFit="1" customWidth="1"/>
    <col min="1550" max="1550" width="9.1640625" style="16" bestFit="1" customWidth="1"/>
    <col min="1551" max="1792" width="8.6640625" style="16"/>
    <col min="1793" max="1793" width="4.6640625" style="16" customWidth="1"/>
    <col min="1794" max="1794" width="46" style="16" customWidth="1"/>
    <col min="1795" max="1795" width="10.6640625" style="16" customWidth="1"/>
    <col min="1796" max="1796" width="11.6640625" style="16" customWidth="1"/>
    <col min="1797" max="1797" width="12.6640625" style="16" customWidth="1"/>
    <col min="1798" max="1798" width="15.6640625" style="16" customWidth="1"/>
    <col min="1799" max="1799" width="13" style="16" customWidth="1"/>
    <col min="1800" max="1802" width="13.6640625" style="16" customWidth="1"/>
    <col min="1803" max="1803" width="16.1640625" style="16" bestFit="1" customWidth="1"/>
    <col min="1804" max="1804" width="6.33203125" style="16" customWidth="1"/>
    <col min="1805" max="1805" width="10.5" style="16" bestFit="1" customWidth="1"/>
    <col min="1806" max="1806" width="9.1640625" style="16" bestFit="1" customWidth="1"/>
    <col min="1807" max="2048" width="8.6640625" style="16"/>
    <col min="2049" max="2049" width="4.6640625" style="16" customWidth="1"/>
    <col min="2050" max="2050" width="46" style="16" customWidth="1"/>
    <col min="2051" max="2051" width="10.6640625" style="16" customWidth="1"/>
    <col min="2052" max="2052" width="11.6640625" style="16" customWidth="1"/>
    <col min="2053" max="2053" width="12.6640625" style="16" customWidth="1"/>
    <col min="2054" max="2054" width="15.6640625" style="16" customWidth="1"/>
    <col min="2055" max="2055" width="13" style="16" customWidth="1"/>
    <col min="2056" max="2058" width="13.6640625" style="16" customWidth="1"/>
    <col min="2059" max="2059" width="16.1640625" style="16" bestFit="1" customWidth="1"/>
    <col min="2060" max="2060" width="6.33203125" style="16" customWidth="1"/>
    <col min="2061" max="2061" width="10.5" style="16" bestFit="1" customWidth="1"/>
    <col min="2062" max="2062" width="9.1640625" style="16" bestFit="1" customWidth="1"/>
    <col min="2063" max="2304" width="8.6640625" style="16"/>
    <col min="2305" max="2305" width="4.6640625" style="16" customWidth="1"/>
    <col min="2306" max="2306" width="46" style="16" customWidth="1"/>
    <col min="2307" max="2307" width="10.6640625" style="16" customWidth="1"/>
    <col min="2308" max="2308" width="11.6640625" style="16" customWidth="1"/>
    <col min="2309" max="2309" width="12.6640625" style="16" customWidth="1"/>
    <col min="2310" max="2310" width="15.6640625" style="16" customWidth="1"/>
    <col min="2311" max="2311" width="13" style="16" customWidth="1"/>
    <col min="2312" max="2314" width="13.6640625" style="16" customWidth="1"/>
    <col min="2315" max="2315" width="16.1640625" style="16" bestFit="1" customWidth="1"/>
    <col min="2316" max="2316" width="6.33203125" style="16" customWidth="1"/>
    <col min="2317" max="2317" width="10.5" style="16" bestFit="1" customWidth="1"/>
    <col min="2318" max="2318" width="9.1640625" style="16" bestFit="1" customWidth="1"/>
    <col min="2319" max="2560" width="8.6640625" style="16"/>
    <col min="2561" max="2561" width="4.6640625" style="16" customWidth="1"/>
    <col min="2562" max="2562" width="46" style="16" customWidth="1"/>
    <col min="2563" max="2563" width="10.6640625" style="16" customWidth="1"/>
    <col min="2564" max="2564" width="11.6640625" style="16" customWidth="1"/>
    <col min="2565" max="2565" width="12.6640625" style="16" customWidth="1"/>
    <col min="2566" max="2566" width="15.6640625" style="16" customWidth="1"/>
    <col min="2567" max="2567" width="13" style="16" customWidth="1"/>
    <col min="2568" max="2570" width="13.6640625" style="16" customWidth="1"/>
    <col min="2571" max="2571" width="16.1640625" style="16" bestFit="1" customWidth="1"/>
    <col min="2572" max="2572" width="6.33203125" style="16" customWidth="1"/>
    <col min="2573" max="2573" width="10.5" style="16" bestFit="1" customWidth="1"/>
    <col min="2574" max="2574" width="9.1640625" style="16" bestFit="1" customWidth="1"/>
    <col min="2575" max="2816" width="8.6640625" style="16"/>
    <col min="2817" max="2817" width="4.6640625" style="16" customWidth="1"/>
    <col min="2818" max="2818" width="46" style="16" customWidth="1"/>
    <col min="2819" max="2819" width="10.6640625" style="16" customWidth="1"/>
    <col min="2820" max="2820" width="11.6640625" style="16" customWidth="1"/>
    <col min="2821" max="2821" width="12.6640625" style="16" customWidth="1"/>
    <col min="2822" max="2822" width="15.6640625" style="16" customWidth="1"/>
    <col min="2823" max="2823" width="13" style="16" customWidth="1"/>
    <col min="2824" max="2826" width="13.6640625" style="16" customWidth="1"/>
    <col min="2827" max="2827" width="16.1640625" style="16" bestFit="1" customWidth="1"/>
    <col min="2828" max="2828" width="6.33203125" style="16" customWidth="1"/>
    <col min="2829" max="2829" width="10.5" style="16" bestFit="1" customWidth="1"/>
    <col min="2830" max="2830" width="9.1640625" style="16" bestFit="1" customWidth="1"/>
    <col min="2831" max="3072" width="8.6640625" style="16"/>
    <col min="3073" max="3073" width="4.6640625" style="16" customWidth="1"/>
    <col min="3074" max="3074" width="46" style="16" customWidth="1"/>
    <col min="3075" max="3075" width="10.6640625" style="16" customWidth="1"/>
    <col min="3076" max="3076" width="11.6640625" style="16" customWidth="1"/>
    <col min="3077" max="3077" width="12.6640625" style="16" customWidth="1"/>
    <col min="3078" max="3078" width="15.6640625" style="16" customWidth="1"/>
    <col min="3079" max="3079" width="13" style="16" customWidth="1"/>
    <col min="3080" max="3082" width="13.6640625" style="16" customWidth="1"/>
    <col min="3083" max="3083" width="16.1640625" style="16" bestFit="1" customWidth="1"/>
    <col min="3084" max="3084" width="6.33203125" style="16" customWidth="1"/>
    <col min="3085" max="3085" width="10.5" style="16" bestFit="1" customWidth="1"/>
    <col min="3086" max="3086" width="9.1640625" style="16" bestFit="1" customWidth="1"/>
    <col min="3087" max="3328" width="8.6640625" style="16"/>
    <col min="3329" max="3329" width="4.6640625" style="16" customWidth="1"/>
    <col min="3330" max="3330" width="46" style="16" customWidth="1"/>
    <col min="3331" max="3331" width="10.6640625" style="16" customWidth="1"/>
    <col min="3332" max="3332" width="11.6640625" style="16" customWidth="1"/>
    <col min="3333" max="3333" width="12.6640625" style="16" customWidth="1"/>
    <col min="3334" max="3334" width="15.6640625" style="16" customWidth="1"/>
    <col min="3335" max="3335" width="13" style="16" customWidth="1"/>
    <col min="3336" max="3338" width="13.6640625" style="16" customWidth="1"/>
    <col min="3339" max="3339" width="16.1640625" style="16" bestFit="1" customWidth="1"/>
    <col min="3340" max="3340" width="6.33203125" style="16" customWidth="1"/>
    <col min="3341" max="3341" width="10.5" style="16" bestFit="1" customWidth="1"/>
    <col min="3342" max="3342" width="9.1640625" style="16" bestFit="1" customWidth="1"/>
    <col min="3343" max="3584" width="8.6640625" style="16"/>
    <col min="3585" max="3585" width="4.6640625" style="16" customWidth="1"/>
    <col min="3586" max="3586" width="46" style="16" customWidth="1"/>
    <col min="3587" max="3587" width="10.6640625" style="16" customWidth="1"/>
    <col min="3588" max="3588" width="11.6640625" style="16" customWidth="1"/>
    <col min="3589" max="3589" width="12.6640625" style="16" customWidth="1"/>
    <col min="3590" max="3590" width="15.6640625" style="16" customWidth="1"/>
    <col min="3591" max="3591" width="13" style="16" customWidth="1"/>
    <col min="3592" max="3594" width="13.6640625" style="16" customWidth="1"/>
    <col min="3595" max="3595" width="16.1640625" style="16" bestFit="1" customWidth="1"/>
    <col min="3596" max="3596" width="6.33203125" style="16" customWidth="1"/>
    <col min="3597" max="3597" width="10.5" style="16" bestFit="1" customWidth="1"/>
    <col min="3598" max="3598" width="9.1640625" style="16" bestFit="1" customWidth="1"/>
    <col min="3599" max="3840" width="8.6640625" style="16"/>
    <col min="3841" max="3841" width="4.6640625" style="16" customWidth="1"/>
    <col min="3842" max="3842" width="46" style="16" customWidth="1"/>
    <col min="3843" max="3843" width="10.6640625" style="16" customWidth="1"/>
    <col min="3844" max="3844" width="11.6640625" style="16" customWidth="1"/>
    <col min="3845" max="3845" width="12.6640625" style="16" customWidth="1"/>
    <col min="3846" max="3846" width="15.6640625" style="16" customWidth="1"/>
    <col min="3847" max="3847" width="13" style="16" customWidth="1"/>
    <col min="3848" max="3850" width="13.6640625" style="16" customWidth="1"/>
    <col min="3851" max="3851" width="16.1640625" style="16" bestFit="1" customWidth="1"/>
    <col min="3852" max="3852" width="6.33203125" style="16" customWidth="1"/>
    <col min="3853" max="3853" width="10.5" style="16" bestFit="1" customWidth="1"/>
    <col min="3854" max="3854" width="9.1640625" style="16" bestFit="1" customWidth="1"/>
    <col min="3855" max="4096" width="8.6640625" style="16"/>
    <col min="4097" max="4097" width="4.6640625" style="16" customWidth="1"/>
    <col min="4098" max="4098" width="46" style="16" customWidth="1"/>
    <col min="4099" max="4099" width="10.6640625" style="16" customWidth="1"/>
    <col min="4100" max="4100" width="11.6640625" style="16" customWidth="1"/>
    <col min="4101" max="4101" width="12.6640625" style="16" customWidth="1"/>
    <col min="4102" max="4102" width="15.6640625" style="16" customWidth="1"/>
    <col min="4103" max="4103" width="13" style="16" customWidth="1"/>
    <col min="4104" max="4106" width="13.6640625" style="16" customWidth="1"/>
    <col min="4107" max="4107" width="16.1640625" style="16" bestFit="1" customWidth="1"/>
    <col min="4108" max="4108" width="6.33203125" style="16" customWidth="1"/>
    <col min="4109" max="4109" width="10.5" style="16" bestFit="1" customWidth="1"/>
    <col min="4110" max="4110" width="9.1640625" style="16" bestFit="1" customWidth="1"/>
    <col min="4111" max="4352" width="8.6640625" style="16"/>
    <col min="4353" max="4353" width="4.6640625" style="16" customWidth="1"/>
    <col min="4354" max="4354" width="46" style="16" customWidth="1"/>
    <col min="4355" max="4355" width="10.6640625" style="16" customWidth="1"/>
    <col min="4356" max="4356" width="11.6640625" style="16" customWidth="1"/>
    <col min="4357" max="4357" width="12.6640625" style="16" customWidth="1"/>
    <col min="4358" max="4358" width="15.6640625" style="16" customWidth="1"/>
    <col min="4359" max="4359" width="13" style="16" customWidth="1"/>
    <col min="4360" max="4362" width="13.6640625" style="16" customWidth="1"/>
    <col min="4363" max="4363" width="16.1640625" style="16" bestFit="1" customWidth="1"/>
    <col min="4364" max="4364" width="6.33203125" style="16" customWidth="1"/>
    <col min="4365" max="4365" width="10.5" style="16" bestFit="1" customWidth="1"/>
    <col min="4366" max="4366" width="9.1640625" style="16" bestFit="1" customWidth="1"/>
    <col min="4367" max="4608" width="8.6640625" style="16"/>
    <col min="4609" max="4609" width="4.6640625" style="16" customWidth="1"/>
    <col min="4610" max="4610" width="46" style="16" customWidth="1"/>
    <col min="4611" max="4611" width="10.6640625" style="16" customWidth="1"/>
    <col min="4612" max="4612" width="11.6640625" style="16" customWidth="1"/>
    <col min="4613" max="4613" width="12.6640625" style="16" customWidth="1"/>
    <col min="4614" max="4614" width="15.6640625" style="16" customWidth="1"/>
    <col min="4615" max="4615" width="13" style="16" customWidth="1"/>
    <col min="4616" max="4618" width="13.6640625" style="16" customWidth="1"/>
    <col min="4619" max="4619" width="16.1640625" style="16" bestFit="1" customWidth="1"/>
    <col min="4620" max="4620" width="6.33203125" style="16" customWidth="1"/>
    <col min="4621" max="4621" width="10.5" style="16" bestFit="1" customWidth="1"/>
    <col min="4622" max="4622" width="9.1640625" style="16" bestFit="1" customWidth="1"/>
    <col min="4623" max="4864" width="8.6640625" style="16"/>
    <col min="4865" max="4865" width="4.6640625" style="16" customWidth="1"/>
    <col min="4866" max="4866" width="46" style="16" customWidth="1"/>
    <col min="4867" max="4867" width="10.6640625" style="16" customWidth="1"/>
    <col min="4868" max="4868" width="11.6640625" style="16" customWidth="1"/>
    <col min="4869" max="4869" width="12.6640625" style="16" customWidth="1"/>
    <col min="4870" max="4870" width="15.6640625" style="16" customWidth="1"/>
    <col min="4871" max="4871" width="13" style="16" customWidth="1"/>
    <col min="4872" max="4874" width="13.6640625" style="16" customWidth="1"/>
    <col min="4875" max="4875" width="16.1640625" style="16" bestFit="1" customWidth="1"/>
    <col min="4876" max="4876" width="6.33203125" style="16" customWidth="1"/>
    <col min="4877" max="4877" width="10.5" style="16" bestFit="1" customWidth="1"/>
    <col min="4878" max="4878" width="9.1640625" style="16" bestFit="1" customWidth="1"/>
    <col min="4879" max="5120" width="8.6640625" style="16"/>
    <col min="5121" max="5121" width="4.6640625" style="16" customWidth="1"/>
    <col min="5122" max="5122" width="46" style="16" customWidth="1"/>
    <col min="5123" max="5123" width="10.6640625" style="16" customWidth="1"/>
    <col min="5124" max="5124" width="11.6640625" style="16" customWidth="1"/>
    <col min="5125" max="5125" width="12.6640625" style="16" customWidth="1"/>
    <col min="5126" max="5126" width="15.6640625" style="16" customWidth="1"/>
    <col min="5127" max="5127" width="13" style="16" customWidth="1"/>
    <col min="5128" max="5130" width="13.6640625" style="16" customWidth="1"/>
    <col min="5131" max="5131" width="16.1640625" style="16" bestFit="1" customWidth="1"/>
    <col min="5132" max="5132" width="6.33203125" style="16" customWidth="1"/>
    <col min="5133" max="5133" width="10.5" style="16" bestFit="1" customWidth="1"/>
    <col min="5134" max="5134" width="9.1640625" style="16" bestFit="1" customWidth="1"/>
    <col min="5135" max="5376" width="8.6640625" style="16"/>
    <col min="5377" max="5377" width="4.6640625" style="16" customWidth="1"/>
    <col min="5378" max="5378" width="46" style="16" customWidth="1"/>
    <col min="5379" max="5379" width="10.6640625" style="16" customWidth="1"/>
    <col min="5380" max="5380" width="11.6640625" style="16" customWidth="1"/>
    <col min="5381" max="5381" width="12.6640625" style="16" customWidth="1"/>
    <col min="5382" max="5382" width="15.6640625" style="16" customWidth="1"/>
    <col min="5383" max="5383" width="13" style="16" customWidth="1"/>
    <col min="5384" max="5386" width="13.6640625" style="16" customWidth="1"/>
    <col min="5387" max="5387" width="16.1640625" style="16" bestFit="1" customWidth="1"/>
    <col min="5388" max="5388" width="6.33203125" style="16" customWidth="1"/>
    <col min="5389" max="5389" width="10.5" style="16" bestFit="1" customWidth="1"/>
    <col min="5390" max="5390" width="9.1640625" style="16" bestFit="1" customWidth="1"/>
    <col min="5391" max="5632" width="8.6640625" style="16"/>
    <col min="5633" max="5633" width="4.6640625" style="16" customWidth="1"/>
    <col min="5634" max="5634" width="46" style="16" customWidth="1"/>
    <col min="5635" max="5635" width="10.6640625" style="16" customWidth="1"/>
    <col min="5636" max="5636" width="11.6640625" style="16" customWidth="1"/>
    <col min="5637" max="5637" width="12.6640625" style="16" customWidth="1"/>
    <col min="5638" max="5638" width="15.6640625" style="16" customWidth="1"/>
    <col min="5639" max="5639" width="13" style="16" customWidth="1"/>
    <col min="5640" max="5642" width="13.6640625" style="16" customWidth="1"/>
    <col min="5643" max="5643" width="16.1640625" style="16" bestFit="1" customWidth="1"/>
    <col min="5644" max="5644" width="6.33203125" style="16" customWidth="1"/>
    <col min="5645" max="5645" width="10.5" style="16" bestFit="1" customWidth="1"/>
    <col min="5646" max="5646" width="9.1640625" style="16" bestFit="1" customWidth="1"/>
    <col min="5647" max="5888" width="8.6640625" style="16"/>
    <col min="5889" max="5889" width="4.6640625" style="16" customWidth="1"/>
    <col min="5890" max="5890" width="46" style="16" customWidth="1"/>
    <col min="5891" max="5891" width="10.6640625" style="16" customWidth="1"/>
    <col min="5892" max="5892" width="11.6640625" style="16" customWidth="1"/>
    <col min="5893" max="5893" width="12.6640625" style="16" customWidth="1"/>
    <col min="5894" max="5894" width="15.6640625" style="16" customWidth="1"/>
    <col min="5895" max="5895" width="13" style="16" customWidth="1"/>
    <col min="5896" max="5898" width="13.6640625" style="16" customWidth="1"/>
    <col min="5899" max="5899" width="16.1640625" style="16" bestFit="1" customWidth="1"/>
    <col min="5900" max="5900" width="6.33203125" style="16" customWidth="1"/>
    <col min="5901" max="5901" width="10.5" style="16" bestFit="1" customWidth="1"/>
    <col min="5902" max="5902" width="9.1640625" style="16" bestFit="1" customWidth="1"/>
    <col min="5903" max="6144" width="8.6640625" style="16"/>
    <col min="6145" max="6145" width="4.6640625" style="16" customWidth="1"/>
    <col min="6146" max="6146" width="46" style="16" customWidth="1"/>
    <col min="6147" max="6147" width="10.6640625" style="16" customWidth="1"/>
    <col min="6148" max="6148" width="11.6640625" style="16" customWidth="1"/>
    <col min="6149" max="6149" width="12.6640625" style="16" customWidth="1"/>
    <col min="6150" max="6150" width="15.6640625" style="16" customWidth="1"/>
    <col min="6151" max="6151" width="13" style="16" customWidth="1"/>
    <col min="6152" max="6154" width="13.6640625" style="16" customWidth="1"/>
    <col min="6155" max="6155" width="16.1640625" style="16" bestFit="1" customWidth="1"/>
    <col min="6156" max="6156" width="6.33203125" style="16" customWidth="1"/>
    <col min="6157" max="6157" width="10.5" style="16" bestFit="1" customWidth="1"/>
    <col min="6158" max="6158" width="9.1640625" style="16" bestFit="1" customWidth="1"/>
    <col min="6159" max="6400" width="8.6640625" style="16"/>
    <col min="6401" max="6401" width="4.6640625" style="16" customWidth="1"/>
    <col min="6402" max="6402" width="46" style="16" customWidth="1"/>
    <col min="6403" max="6403" width="10.6640625" style="16" customWidth="1"/>
    <col min="6404" max="6404" width="11.6640625" style="16" customWidth="1"/>
    <col min="6405" max="6405" width="12.6640625" style="16" customWidth="1"/>
    <col min="6406" max="6406" width="15.6640625" style="16" customWidth="1"/>
    <col min="6407" max="6407" width="13" style="16" customWidth="1"/>
    <col min="6408" max="6410" width="13.6640625" style="16" customWidth="1"/>
    <col min="6411" max="6411" width="16.1640625" style="16" bestFit="1" customWidth="1"/>
    <col min="6412" max="6412" width="6.33203125" style="16" customWidth="1"/>
    <col min="6413" max="6413" width="10.5" style="16" bestFit="1" customWidth="1"/>
    <col min="6414" max="6414" width="9.1640625" style="16" bestFit="1" customWidth="1"/>
    <col min="6415" max="6656" width="8.6640625" style="16"/>
    <col min="6657" max="6657" width="4.6640625" style="16" customWidth="1"/>
    <col min="6658" max="6658" width="46" style="16" customWidth="1"/>
    <col min="6659" max="6659" width="10.6640625" style="16" customWidth="1"/>
    <col min="6660" max="6660" width="11.6640625" style="16" customWidth="1"/>
    <col min="6661" max="6661" width="12.6640625" style="16" customWidth="1"/>
    <col min="6662" max="6662" width="15.6640625" style="16" customWidth="1"/>
    <col min="6663" max="6663" width="13" style="16" customWidth="1"/>
    <col min="6664" max="6666" width="13.6640625" style="16" customWidth="1"/>
    <col min="6667" max="6667" width="16.1640625" style="16" bestFit="1" customWidth="1"/>
    <col min="6668" max="6668" width="6.33203125" style="16" customWidth="1"/>
    <col min="6669" max="6669" width="10.5" style="16" bestFit="1" customWidth="1"/>
    <col min="6670" max="6670" width="9.1640625" style="16" bestFit="1" customWidth="1"/>
    <col min="6671" max="6912" width="8.6640625" style="16"/>
    <col min="6913" max="6913" width="4.6640625" style="16" customWidth="1"/>
    <col min="6914" max="6914" width="46" style="16" customWidth="1"/>
    <col min="6915" max="6915" width="10.6640625" style="16" customWidth="1"/>
    <col min="6916" max="6916" width="11.6640625" style="16" customWidth="1"/>
    <col min="6917" max="6917" width="12.6640625" style="16" customWidth="1"/>
    <col min="6918" max="6918" width="15.6640625" style="16" customWidth="1"/>
    <col min="6919" max="6919" width="13" style="16" customWidth="1"/>
    <col min="6920" max="6922" width="13.6640625" style="16" customWidth="1"/>
    <col min="6923" max="6923" width="16.1640625" style="16" bestFit="1" customWidth="1"/>
    <col min="6924" max="6924" width="6.33203125" style="16" customWidth="1"/>
    <col min="6925" max="6925" width="10.5" style="16" bestFit="1" customWidth="1"/>
    <col min="6926" max="6926" width="9.1640625" style="16" bestFit="1" customWidth="1"/>
    <col min="6927" max="7168" width="8.6640625" style="16"/>
    <col min="7169" max="7169" width="4.6640625" style="16" customWidth="1"/>
    <col min="7170" max="7170" width="46" style="16" customWidth="1"/>
    <col min="7171" max="7171" width="10.6640625" style="16" customWidth="1"/>
    <col min="7172" max="7172" width="11.6640625" style="16" customWidth="1"/>
    <col min="7173" max="7173" width="12.6640625" style="16" customWidth="1"/>
    <col min="7174" max="7174" width="15.6640625" style="16" customWidth="1"/>
    <col min="7175" max="7175" width="13" style="16" customWidth="1"/>
    <col min="7176" max="7178" width="13.6640625" style="16" customWidth="1"/>
    <col min="7179" max="7179" width="16.1640625" style="16" bestFit="1" customWidth="1"/>
    <col min="7180" max="7180" width="6.33203125" style="16" customWidth="1"/>
    <col min="7181" max="7181" width="10.5" style="16" bestFit="1" customWidth="1"/>
    <col min="7182" max="7182" width="9.1640625" style="16" bestFit="1" customWidth="1"/>
    <col min="7183" max="7424" width="8.6640625" style="16"/>
    <col min="7425" max="7425" width="4.6640625" style="16" customWidth="1"/>
    <col min="7426" max="7426" width="46" style="16" customWidth="1"/>
    <col min="7427" max="7427" width="10.6640625" style="16" customWidth="1"/>
    <col min="7428" max="7428" width="11.6640625" style="16" customWidth="1"/>
    <col min="7429" max="7429" width="12.6640625" style="16" customWidth="1"/>
    <col min="7430" max="7430" width="15.6640625" style="16" customWidth="1"/>
    <col min="7431" max="7431" width="13" style="16" customWidth="1"/>
    <col min="7432" max="7434" width="13.6640625" style="16" customWidth="1"/>
    <col min="7435" max="7435" width="16.1640625" style="16" bestFit="1" customWidth="1"/>
    <col min="7436" max="7436" width="6.33203125" style="16" customWidth="1"/>
    <col min="7437" max="7437" width="10.5" style="16" bestFit="1" customWidth="1"/>
    <col min="7438" max="7438" width="9.1640625" style="16" bestFit="1" customWidth="1"/>
    <col min="7439" max="7680" width="8.6640625" style="16"/>
    <col min="7681" max="7681" width="4.6640625" style="16" customWidth="1"/>
    <col min="7682" max="7682" width="46" style="16" customWidth="1"/>
    <col min="7683" max="7683" width="10.6640625" style="16" customWidth="1"/>
    <col min="7684" max="7684" width="11.6640625" style="16" customWidth="1"/>
    <col min="7685" max="7685" width="12.6640625" style="16" customWidth="1"/>
    <col min="7686" max="7686" width="15.6640625" style="16" customWidth="1"/>
    <col min="7687" max="7687" width="13" style="16" customWidth="1"/>
    <col min="7688" max="7690" width="13.6640625" style="16" customWidth="1"/>
    <col min="7691" max="7691" width="16.1640625" style="16" bestFit="1" customWidth="1"/>
    <col min="7692" max="7692" width="6.33203125" style="16" customWidth="1"/>
    <col min="7693" max="7693" width="10.5" style="16" bestFit="1" customWidth="1"/>
    <col min="7694" max="7694" width="9.1640625" style="16" bestFit="1" customWidth="1"/>
    <col min="7695" max="7936" width="8.6640625" style="16"/>
    <col min="7937" max="7937" width="4.6640625" style="16" customWidth="1"/>
    <col min="7938" max="7938" width="46" style="16" customWidth="1"/>
    <col min="7939" max="7939" width="10.6640625" style="16" customWidth="1"/>
    <col min="7940" max="7940" width="11.6640625" style="16" customWidth="1"/>
    <col min="7941" max="7941" width="12.6640625" style="16" customWidth="1"/>
    <col min="7942" max="7942" width="15.6640625" style="16" customWidth="1"/>
    <col min="7943" max="7943" width="13" style="16" customWidth="1"/>
    <col min="7944" max="7946" width="13.6640625" style="16" customWidth="1"/>
    <col min="7947" max="7947" width="16.1640625" style="16" bestFit="1" customWidth="1"/>
    <col min="7948" max="7948" width="6.33203125" style="16" customWidth="1"/>
    <col min="7949" max="7949" width="10.5" style="16" bestFit="1" customWidth="1"/>
    <col min="7950" max="7950" width="9.1640625" style="16" bestFit="1" customWidth="1"/>
    <col min="7951" max="8192" width="8.6640625" style="16"/>
    <col min="8193" max="8193" width="4.6640625" style="16" customWidth="1"/>
    <col min="8194" max="8194" width="46" style="16" customWidth="1"/>
    <col min="8195" max="8195" width="10.6640625" style="16" customWidth="1"/>
    <col min="8196" max="8196" width="11.6640625" style="16" customWidth="1"/>
    <col min="8197" max="8197" width="12.6640625" style="16" customWidth="1"/>
    <col min="8198" max="8198" width="15.6640625" style="16" customWidth="1"/>
    <col min="8199" max="8199" width="13" style="16" customWidth="1"/>
    <col min="8200" max="8202" width="13.6640625" style="16" customWidth="1"/>
    <col min="8203" max="8203" width="16.1640625" style="16" bestFit="1" customWidth="1"/>
    <col min="8204" max="8204" width="6.33203125" style="16" customWidth="1"/>
    <col min="8205" max="8205" width="10.5" style="16" bestFit="1" customWidth="1"/>
    <col min="8206" max="8206" width="9.1640625" style="16" bestFit="1" customWidth="1"/>
    <col min="8207" max="8448" width="8.6640625" style="16"/>
    <col min="8449" max="8449" width="4.6640625" style="16" customWidth="1"/>
    <col min="8450" max="8450" width="46" style="16" customWidth="1"/>
    <col min="8451" max="8451" width="10.6640625" style="16" customWidth="1"/>
    <col min="8452" max="8452" width="11.6640625" style="16" customWidth="1"/>
    <col min="8453" max="8453" width="12.6640625" style="16" customWidth="1"/>
    <col min="8454" max="8454" width="15.6640625" style="16" customWidth="1"/>
    <col min="8455" max="8455" width="13" style="16" customWidth="1"/>
    <col min="8456" max="8458" width="13.6640625" style="16" customWidth="1"/>
    <col min="8459" max="8459" width="16.1640625" style="16" bestFit="1" customWidth="1"/>
    <col min="8460" max="8460" width="6.33203125" style="16" customWidth="1"/>
    <col min="8461" max="8461" width="10.5" style="16" bestFit="1" customWidth="1"/>
    <col min="8462" max="8462" width="9.1640625" style="16" bestFit="1" customWidth="1"/>
    <col min="8463" max="8704" width="8.6640625" style="16"/>
    <col min="8705" max="8705" width="4.6640625" style="16" customWidth="1"/>
    <col min="8706" max="8706" width="46" style="16" customWidth="1"/>
    <col min="8707" max="8707" width="10.6640625" style="16" customWidth="1"/>
    <col min="8708" max="8708" width="11.6640625" style="16" customWidth="1"/>
    <col min="8709" max="8709" width="12.6640625" style="16" customWidth="1"/>
    <col min="8710" max="8710" width="15.6640625" style="16" customWidth="1"/>
    <col min="8711" max="8711" width="13" style="16" customWidth="1"/>
    <col min="8712" max="8714" width="13.6640625" style="16" customWidth="1"/>
    <col min="8715" max="8715" width="16.1640625" style="16" bestFit="1" customWidth="1"/>
    <col min="8716" max="8716" width="6.33203125" style="16" customWidth="1"/>
    <col min="8717" max="8717" width="10.5" style="16" bestFit="1" customWidth="1"/>
    <col min="8718" max="8718" width="9.1640625" style="16" bestFit="1" customWidth="1"/>
    <col min="8719" max="8960" width="8.6640625" style="16"/>
    <col min="8961" max="8961" width="4.6640625" style="16" customWidth="1"/>
    <col min="8962" max="8962" width="46" style="16" customWidth="1"/>
    <col min="8963" max="8963" width="10.6640625" style="16" customWidth="1"/>
    <col min="8964" max="8964" width="11.6640625" style="16" customWidth="1"/>
    <col min="8965" max="8965" width="12.6640625" style="16" customWidth="1"/>
    <col min="8966" max="8966" width="15.6640625" style="16" customWidth="1"/>
    <col min="8967" max="8967" width="13" style="16" customWidth="1"/>
    <col min="8968" max="8970" width="13.6640625" style="16" customWidth="1"/>
    <col min="8971" max="8971" width="16.1640625" style="16" bestFit="1" customWidth="1"/>
    <col min="8972" max="8972" width="6.33203125" style="16" customWidth="1"/>
    <col min="8973" max="8973" width="10.5" style="16" bestFit="1" customWidth="1"/>
    <col min="8974" max="8974" width="9.1640625" style="16" bestFit="1" customWidth="1"/>
    <col min="8975" max="9216" width="8.6640625" style="16"/>
    <col min="9217" max="9217" width="4.6640625" style="16" customWidth="1"/>
    <col min="9218" max="9218" width="46" style="16" customWidth="1"/>
    <col min="9219" max="9219" width="10.6640625" style="16" customWidth="1"/>
    <col min="9220" max="9220" width="11.6640625" style="16" customWidth="1"/>
    <col min="9221" max="9221" width="12.6640625" style="16" customWidth="1"/>
    <col min="9222" max="9222" width="15.6640625" style="16" customWidth="1"/>
    <col min="9223" max="9223" width="13" style="16" customWidth="1"/>
    <col min="9224" max="9226" width="13.6640625" style="16" customWidth="1"/>
    <col min="9227" max="9227" width="16.1640625" style="16" bestFit="1" customWidth="1"/>
    <col min="9228" max="9228" width="6.33203125" style="16" customWidth="1"/>
    <col min="9229" max="9229" width="10.5" style="16" bestFit="1" customWidth="1"/>
    <col min="9230" max="9230" width="9.1640625" style="16" bestFit="1" customWidth="1"/>
    <col min="9231" max="9472" width="8.6640625" style="16"/>
    <col min="9473" max="9473" width="4.6640625" style="16" customWidth="1"/>
    <col min="9474" max="9474" width="46" style="16" customWidth="1"/>
    <col min="9475" max="9475" width="10.6640625" style="16" customWidth="1"/>
    <col min="9476" max="9476" width="11.6640625" style="16" customWidth="1"/>
    <col min="9477" max="9477" width="12.6640625" style="16" customWidth="1"/>
    <col min="9478" max="9478" width="15.6640625" style="16" customWidth="1"/>
    <col min="9479" max="9479" width="13" style="16" customWidth="1"/>
    <col min="9480" max="9482" width="13.6640625" style="16" customWidth="1"/>
    <col min="9483" max="9483" width="16.1640625" style="16" bestFit="1" customWidth="1"/>
    <col min="9484" max="9484" width="6.33203125" style="16" customWidth="1"/>
    <col min="9485" max="9485" width="10.5" style="16" bestFit="1" customWidth="1"/>
    <col min="9486" max="9486" width="9.1640625" style="16" bestFit="1" customWidth="1"/>
    <col min="9487" max="9728" width="8.6640625" style="16"/>
    <col min="9729" max="9729" width="4.6640625" style="16" customWidth="1"/>
    <col min="9730" max="9730" width="46" style="16" customWidth="1"/>
    <col min="9731" max="9731" width="10.6640625" style="16" customWidth="1"/>
    <col min="9732" max="9732" width="11.6640625" style="16" customWidth="1"/>
    <col min="9733" max="9733" width="12.6640625" style="16" customWidth="1"/>
    <col min="9734" max="9734" width="15.6640625" style="16" customWidth="1"/>
    <col min="9735" max="9735" width="13" style="16" customWidth="1"/>
    <col min="9736" max="9738" width="13.6640625" style="16" customWidth="1"/>
    <col min="9739" max="9739" width="16.1640625" style="16" bestFit="1" customWidth="1"/>
    <col min="9740" max="9740" width="6.33203125" style="16" customWidth="1"/>
    <col min="9741" max="9741" width="10.5" style="16" bestFit="1" customWidth="1"/>
    <col min="9742" max="9742" width="9.1640625" style="16" bestFit="1" customWidth="1"/>
    <col min="9743" max="9984" width="8.6640625" style="16"/>
    <col min="9985" max="9985" width="4.6640625" style="16" customWidth="1"/>
    <col min="9986" max="9986" width="46" style="16" customWidth="1"/>
    <col min="9987" max="9987" width="10.6640625" style="16" customWidth="1"/>
    <col min="9988" max="9988" width="11.6640625" style="16" customWidth="1"/>
    <col min="9989" max="9989" width="12.6640625" style="16" customWidth="1"/>
    <col min="9990" max="9990" width="15.6640625" style="16" customWidth="1"/>
    <col min="9991" max="9991" width="13" style="16" customWidth="1"/>
    <col min="9992" max="9994" width="13.6640625" style="16" customWidth="1"/>
    <col min="9995" max="9995" width="16.1640625" style="16" bestFit="1" customWidth="1"/>
    <col min="9996" max="9996" width="6.33203125" style="16" customWidth="1"/>
    <col min="9997" max="9997" width="10.5" style="16" bestFit="1" customWidth="1"/>
    <col min="9998" max="9998" width="9.1640625" style="16" bestFit="1" customWidth="1"/>
    <col min="9999" max="10240" width="8.6640625" style="16"/>
    <col min="10241" max="10241" width="4.6640625" style="16" customWidth="1"/>
    <col min="10242" max="10242" width="46" style="16" customWidth="1"/>
    <col min="10243" max="10243" width="10.6640625" style="16" customWidth="1"/>
    <col min="10244" max="10244" width="11.6640625" style="16" customWidth="1"/>
    <col min="10245" max="10245" width="12.6640625" style="16" customWidth="1"/>
    <col min="10246" max="10246" width="15.6640625" style="16" customWidth="1"/>
    <col min="10247" max="10247" width="13" style="16" customWidth="1"/>
    <col min="10248" max="10250" width="13.6640625" style="16" customWidth="1"/>
    <col min="10251" max="10251" width="16.1640625" style="16" bestFit="1" customWidth="1"/>
    <col min="10252" max="10252" width="6.33203125" style="16" customWidth="1"/>
    <col min="10253" max="10253" width="10.5" style="16" bestFit="1" customWidth="1"/>
    <col min="10254" max="10254" width="9.1640625" style="16" bestFit="1" customWidth="1"/>
    <col min="10255" max="10496" width="8.6640625" style="16"/>
    <col min="10497" max="10497" width="4.6640625" style="16" customWidth="1"/>
    <col min="10498" max="10498" width="46" style="16" customWidth="1"/>
    <col min="10499" max="10499" width="10.6640625" style="16" customWidth="1"/>
    <col min="10500" max="10500" width="11.6640625" style="16" customWidth="1"/>
    <col min="10501" max="10501" width="12.6640625" style="16" customWidth="1"/>
    <col min="10502" max="10502" width="15.6640625" style="16" customWidth="1"/>
    <col min="10503" max="10503" width="13" style="16" customWidth="1"/>
    <col min="10504" max="10506" width="13.6640625" style="16" customWidth="1"/>
    <col min="10507" max="10507" width="16.1640625" style="16" bestFit="1" customWidth="1"/>
    <col min="10508" max="10508" width="6.33203125" style="16" customWidth="1"/>
    <col min="10509" max="10509" width="10.5" style="16" bestFit="1" customWidth="1"/>
    <col min="10510" max="10510" width="9.1640625" style="16" bestFit="1" customWidth="1"/>
    <col min="10511" max="10752" width="8.6640625" style="16"/>
    <col min="10753" max="10753" width="4.6640625" style="16" customWidth="1"/>
    <col min="10754" max="10754" width="46" style="16" customWidth="1"/>
    <col min="10755" max="10755" width="10.6640625" style="16" customWidth="1"/>
    <col min="10756" max="10756" width="11.6640625" style="16" customWidth="1"/>
    <col min="10757" max="10757" width="12.6640625" style="16" customWidth="1"/>
    <col min="10758" max="10758" width="15.6640625" style="16" customWidth="1"/>
    <col min="10759" max="10759" width="13" style="16" customWidth="1"/>
    <col min="10760" max="10762" width="13.6640625" style="16" customWidth="1"/>
    <col min="10763" max="10763" width="16.1640625" style="16" bestFit="1" customWidth="1"/>
    <col min="10764" max="10764" width="6.33203125" style="16" customWidth="1"/>
    <col min="10765" max="10765" width="10.5" style="16" bestFit="1" customWidth="1"/>
    <col min="10766" max="10766" width="9.1640625" style="16" bestFit="1" customWidth="1"/>
    <col min="10767" max="11008" width="8.6640625" style="16"/>
    <col min="11009" max="11009" width="4.6640625" style="16" customWidth="1"/>
    <col min="11010" max="11010" width="46" style="16" customWidth="1"/>
    <col min="11011" max="11011" width="10.6640625" style="16" customWidth="1"/>
    <col min="11012" max="11012" width="11.6640625" style="16" customWidth="1"/>
    <col min="11013" max="11013" width="12.6640625" style="16" customWidth="1"/>
    <col min="11014" max="11014" width="15.6640625" style="16" customWidth="1"/>
    <col min="11015" max="11015" width="13" style="16" customWidth="1"/>
    <col min="11016" max="11018" width="13.6640625" style="16" customWidth="1"/>
    <col min="11019" max="11019" width="16.1640625" style="16" bestFit="1" customWidth="1"/>
    <col min="11020" max="11020" width="6.33203125" style="16" customWidth="1"/>
    <col min="11021" max="11021" width="10.5" style="16" bestFit="1" customWidth="1"/>
    <col min="11022" max="11022" width="9.1640625" style="16" bestFit="1" customWidth="1"/>
    <col min="11023" max="11264" width="8.6640625" style="16"/>
    <col min="11265" max="11265" width="4.6640625" style="16" customWidth="1"/>
    <col min="11266" max="11266" width="46" style="16" customWidth="1"/>
    <col min="11267" max="11267" width="10.6640625" style="16" customWidth="1"/>
    <col min="11268" max="11268" width="11.6640625" style="16" customWidth="1"/>
    <col min="11269" max="11269" width="12.6640625" style="16" customWidth="1"/>
    <col min="11270" max="11270" width="15.6640625" style="16" customWidth="1"/>
    <col min="11271" max="11271" width="13" style="16" customWidth="1"/>
    <col min="11272" max="11274" width="13.6640625" style="16" customWidth="1"/>
    <col min="11275" max="11275" width="16.1640625" style="16" bestFit="1" customWidth="1"/>
    <col min="11276" max="11276" width="6.33203125" style="16" customWidth="1"/>
    <col min="11277" max="11277" width="10.5" style="16" bestFit="1" customWidth="1"/>
    <col min="11278" max="11278" width="9.1640625" style="16" bestFit="1" customWidth="1"/>
    <col min="11279" max="11520" width="8.6640625" style="16"/>
    <col min="11521" max="11521" width="4.6640625" style="16" customWidth="1"/>
    <col min="11522" max="11522" width="46" style="16" customWidth="1"/>
    <col min="11523" max="11523" width="10.6640625" style="16" customWidth="1"/>
    <col min="11524" max="11524" width="11.6640625" style="16" customWidth="1"/>
    <col min="11525" max="11525" width="12.6640625" style="16" customWidth="1"/>
    <col min="11526" max="11526" width="15.6640625" style="16" customWidth="1"/>
    <col min="11527" max="11527" width="13" style="16" customWidth="1"/>
    <col min="11528" max="11530" width="13.6640625" style="16" customWidth="1"/>
    <col min="11531" max="11531" width="16.1640625" style="16" bestFit="1" customWidth="1"/>
    <col min="11532" max="11532" width="6.33203125" style="16" customWidth="1"/>
    <col min="11533" max="11533" width="10.5" style="16" bestFit="1" customWidth="1"/>
    <col min="11534" max="11534" width="9.1640625" style="16" bestFit="1" customWidth="1"/>
    <col min="11535" max="11776" width="8.6640625" style="16"/>
    <col min="11777" max="11777" width="4.6640625" style="16" customWidth="1"/>
    <col min="11778" max="11778" width="46" style="16" customWidth="1"/>
    <col min="11779" max="11779" width="10.6640625" style="16" customWidth="1"/>
    <col min="11780" max="11780" width="11.6640625" style="16" customWidth="1"/>
    <col min="11781" max="11781" width="12.6640625" style="16" customWidth="1"/>
    <col min="11782" max="11782" width="15.6640625" style="16" customWidth="1"/>
    <col min="11783" max="11783" width="13" style="16" customWidth="1"/>
    <col min="11784" max="11786" width="13.6640625" style="16" customWidth="1"/>
    <col min="11787" max="11787" width="16.1640625" style="16" bestFit="1" customWidth="1"/>
    <col min="11788" max="11788" width="6.33203125" style="16" customWidth="1"/>
    <col min="11789" max="11789" width="10.5" style="16" bestFit="1" customWidth="1"/>
    <col min="11790" max="11790" width="9.1640625" style="16" bestFit="1" customWidth="1"/>
    <col min="11791" max="12032" width="8.6640625" style="16"/>
    <col min="12033" max="12033" width="4.6640625" style="16" customWidth="1"/>
    <col min="12034" max="12034" width="46" style="16" customWidth="1"/>
    <col min="12035" max="12035" width="10.6640625" style="16" customWidth="1"/>
    <col min="12036" max="12036" width="11.6640625" style="16" customWidth="1"/>
    <col min="12037" max="12037" width="12.6640625" style="16" customWidth="1"/>
    <col min="12038" max="12038" width="15.6640625" style="16" customWidth="1"/>
    <col min="12039" max="12039" width="13" style="16" customWidth="1"/>
    <col min="12040" max="12042" width="13.6640625" style="16" customWidth="1"/>
    <col min="12043" max="12043" width="16.1640625" style="16" bestFit="1" customWidth="1"/>
    <col min="12044" max="12044" width="6.33203125" style="16" customWidth="1"/>
    <col min="12045" max="12045" width="10.5" style="16" bestFit="1" customWidth="1"/>
    <col min="12046" max="12046" width="9.1640625" style="16" bestFit="1" customWidth="1"/>
    <col min="12047" max="12288" width="8.6640625" style="16"/>
    <col min="12289" max="12289" width="4.6640625" style="16" customWidth="1"/>
    <col min="12290" max="12290" width="46" style="16" customWidth="1"/>
    <col min="12291" max="12291" width="10.6640625" style="16" customWidth="1"/>
    <col min="12292" max="12292" width="11.6640625" style="16" customWidth="1"/>
    <col min="12293" max="12293" width="12.6640625" style="16" customWidth="1"/>
    <col min="12294" max="12294" width="15.6640625" style="16" customWidth="1"/>
    <col min="12295" max="12295" width="13" style="16" customWidth="1"/>
    <col min="12296" max="12298" width="13.6640625" style="16" customWidth="1"/>
    <col min="12299" max="12299" width="16.1640625" style="16" bestFit="1" customWidth="1"/>
    <col min="12300" max="12300" width="6.33203125" style="16" customWidth="1"/>
    <col min="12301" max="12301" width="10.5" style="16" bestFit="1" customWidth="1"/>
    <col min="12302" max="12302" width="9.1640625" style="16" bestFit="1" customWidth="1"/>
    <col min="12303" max="12544" width="8.6640625" style="16"/>
    <col min="12545" max="12545" width="4.6640625" style="16" customWidth="1"/>
    <col min="12546" max="12546" width="46" style="16" customWidth="1"/>
    <col min="12547" max="12547" width="10.6640625" style="16" customWidth="1"/>
    <col min="12548" max="12548" width="11.6640625" style="16" customWidth="1"/>
    <col min="12549" max="12549" width="12.6640625" style="16" customWidth="1"/>
    <col min="12550" max="12550" width="15.6640625" style="16" customWidth="1"/>
    <col min="12551" max="12551" width="13" style="16" customWidth="1"/>
    <col min="12552" max="12554" width="13.6640625" style="16" customWidth="1"/>
    <col min="12555" max="12555" width="16.1640625" style="16" bestFit="1" customWidth="1"/>
    <col min="12556" max="12556" width="6.33203125" style="16" customWidth="1"/>
    <col min="12557" max="12557" width="10.5" style="16" bestFit="1" customWidth="1"/>
    <col min="12558" max="12558" width="9.1640625" style="16" bestFit="1" customWidth="1"/>
    <col min="12559" max="12800" width="8.6640625" style="16"/>
    <col min="12801" max="12801" width="4.6640625" style="16" customWidth="1"/>
    <col min="12802" max="12802" width="46" style="16" customWidth="1"/>
    <col min="12803" max="12803" width="10.6640625" style="16" customWidth="1"/>
    <col min="12804" max="12804" width="11.6640625" style="16" customWidth="1"/>
    <col min="12805" max="12805" width="12.6640625" style="16" customWidth="1"/>
    <col min="12806" max="12806" width="15.6640625" style="16" customWidth="1"/>
    <col min="12807" max="12807" width="13" style="16" customWidth="1"/>
    <col min="12808" max="12810" width="13.6640625" style="16" customWidth="1"/>
    <col min="12811" max="12811" width="16.1640625" style="16" bestFit="1" customWidth="1"/>
    <col min="12812" max="12812" width="6.33203125" style="16" customWidth="1"/>
    <col min="12813" max="12813" width="10.5" style="16" bestFit="1" customWidth="1"/>
    <col min="12814" max="12814" width="9.1640625" style="16" bestFit="1" customWidth="1"/>
    <col min="12815" max="13056" width="8.6640625" style="16"/>
    <col min="13057" max="13057" width="4.6640625" style="16" customWidth="1"/>
    <col min="13058" max="13058" width="46" style="16" customWidth="1"/>
    <col min="13059" max="13059" width="10.6640625" style="16" customWidth="1"/>
    <col min="13060" max="13060" width="11.6640625" style="16" customWidth="1"/>
    <col min="13061" max="13061" width="12.6640625" style="16" customWidth="1"/>
    <col min="13062" max="13062" width="15.6640625" style="16" customWidth="1"/>
    <col min="13063" max="13063" width="13" style="16" customWidth="1"/>
    <col min="13064" max="13066" width="13.6640625" style="16" customWidth="1"/>
    <col min="13067" max="13067" width="16.1640625" style="16" bestFit="1" customWidth="1"/>
    <col min="13068" max="13068" width="6.33203125" style="16" customWidth="1"/>
    <col min="13069" max="13069" width="10.5" style="16" bestFit="1" customWidth="1"/>
    <col min="13070" max="13070" width="9.1640625" style="16" bestFit="1" customWidth="1"/>
    <col min="13071" max="13312" width="8.6640625" style="16"/>
    <col min="13313" max="13313" width="4.6640625" style="16" customWidth="1"/>
    <col min="13314" max="13314" width="46" style="16" customWidth="1"/>
    <col min="13315" max="13315" width="10.6640625" style="16" customWidth="1"/>
    <col min="13316" max="13316" width="11.6640625" style="16" customWidth="1"/>
    <col min="13317" max="13317" width="12.6640625" style="16" customWidth="1"/>
    <col min="13318" max="13318" width="15.6640625" style="16" customWidth="1"/>
    <col min="13319" max="13319" width="13" style="16" customWidth="1"/>
    <col min="13320" max="13322" width="13.6640625" style="16" customWidth="1"/>
    <col min="13323" max="13323" width="16.1640625" style="16" bestFit="1" customWidth="1"/>
    <col min="13324" max="13324" width="6.33203125" style="16" customWidth="1"/>
    <col min="13325" max="13325" width="10.5" style="16" bestFit="1" customWidth="1"/>
    <col min="13326" max="13326" width="9.1640625" style="16" bestFit="1" customWidth="1"/>
    <col min="13327" max="13568" width="8.6640625" style="16"/>
    <col min="13569" max="13569" width="4.6640625" style="16" customWidth="1"/>
    <col min="13570" max="13570" width="46" style="16" customWidth="1"/>
    <col min="13571" max="13571" width="10.6640625" style="16" customWidth="1"/>
    <col min="13572" max="13572" width="11.6640625" style="16" customWidth="1"/>
    <col min="13573" max="13573" width="12.6640625" style="16" customWidth="1"/>
    <col min="13574" max="13574" width="15.6640625" style="16" customWidth="1"/>
    <col min="13575" max="13575" width="13" style="16" customWidth="1"/>
    <col min="13576" max="13578" width="13.6640625" style="16" customWidth="1"/>
    <col min="13579" max="13579" width="16.1640625" style="16" bestFit="1" customWidth="1"/>
    <col min="13580" max="13580" width="6.33203125" style="16" customWidth="1"/>
    <col min="13581" max="13581" width="10.5" style="16" bestFit="1" customWidth="1"/>
    <col min="13582" max="13582" width="9.1640625" style="16" bestFit="1" customWidth="1"/>
    <col min="13583" max="13824" width="8.6640625" style="16"/>
    <col min="13825" max="13825" width="4.6640625" style="16" customWidth="1"/>
    <col min="13826" max="13826" width="46" style="16" customWidth="1"/>
    <col min="13827" max="13827" width="10.6640625" style="16" customWidth="1"/>
    <col min="13828" max="13828" width="11.6640625" style="16" customWidth="1"/>
    <col min="13829" max="13829" width="12.6640625" style="16" customWidth="1"/>
    <col min="13830" max="13830" width="15.6640625" style="16" customWidth="1"/>
    <col min="13831" max="13831" width="13" style="16" customWidth="1"/>
    <col min="13832" max="13834" width="13.6640625" style="16" customWidth="1"/>
    <col min="13835" max="13835" width="16.1640625" style="16" bestFit="1" customWidth="1"/>
    <col min="13836" max="13836" width="6.33203125" style="16" customWidth="1"/>
    <col min="13837" max="13837" width="10.5" style="16" bestFit="1" customWidth="1"/>
    <col min="13838" max="13838" width="9.1640625" style="16" bestFit="1" customWidth="1"/>
    <col min="13839" max="14080" width="8.6640625" style="16"/>
    <col min="14081" max="14081" width="4.6640625" style="16" customWidth="1"/>
    <col min="14082" max="14082" width="46" style="16" customWidth="1"/>
    <col min="14083" max="14083" width="10.6640625" style="16" customWidth="1"/>
    <col min="14084" max="14084" width="11.6640625" style="16" customWidth="1"/>
    <col min="14085" max="14085" width="12.6640625" style="16" customWidth="1"/>
    <col min="14086" max="14086" width="15.6640625" style="16" customWidth="1"/>
    <col min="14087" max="14087" width="13" style="16" customWidth="1"/>
    <col min="14088" max="14090" width="13.6640625" style="16" customWidth="1"/>
    <col min="14091" max="14091" width="16.1640625" style="16" bestFit="1" customWidth="1"/>
    <col min="14092" max="14092" width="6.33203125" style="16" customWidth="1"/>
    <col min="14093" max="14093" width="10.5" style="16" bestFit="1" customWidth="1"/>
    <col min="14094" max="14094" width="9.1640625" style="16" bestFit="1" customWidth="1"/>
    <col min="14095" max="14336" width="8.6640625" style="16"/>
    <col min="14337" max="14337" width="4.6640625" style="16" customWidth="1"/>
    <col min="14338" max="14338" width="46" style="16" customWidth="1"/>
    <col min="14339" max="14339" width="10.6640625" style="16" customWidth="1"/>
    <col min="14340" max="14340" width="11.6640625" style="16" customWidth="1"/>
    <col min="14341" max="14341" width="12.6640625" style="16" customWidth="1"/>
    <col min="14342" max="14342" width="15.6640625" style="16" customWidth="1"/>
    <col min="14343" max="14343" width="13" style="16" customWidth="1"/>
    <col min="14344" max="14346" width="13.6640625" style="16" customWidth="1"/>
    <col min="14347" max="14347" width="16.1640625" style="16" bestFit="1" customWidth="1"/>
    <col min="14348" max="14348" width="6.33203125" style="16" customWidth="1"/>
    <col min="14349" max="14349" width="10.5" style="16" bestFit="1" customWidth="1"/>
    <col min="14350" max="14350" width="9.1640625" style="16" bestFit="1" customWidth="1"/>
    <col min="14351" max="14592" width="8.6640625" style="16"/>
    <col min="14593" max="14593" width="4.6640625" style="16" customWidth="1"/>
    <col min="14594" max="14594" width="46" style="16" customWidth="1"/>
    <col min="14595" max="14595" width="10.6640625" style="16" customWidth="1"/>
    <col min="14596" max="14596" width="11.6640625" style="16" customWidth="1"/>
    <col min="14597" max="14597" width="12.6640625" style="16" customWidth="1"/>
    <col min="14598" max="14598" width="15.6640625" style="16" customWidth="1"/>
    <col min="14599" max="14599" width="13" style="16" customWidth="1"/>
    <col min="14600" max="14602" width="13.6640625" style="16" customWidth="1"/>
    <col min="14603" max="14603" width="16.1640625" style="16" bestFit="1" customWidth="1"/>
    <col min="14604" max="14604" width="6.33203125" style="16" customWidth="1"/>
    <col min="14605" max="14605" width="10.5" style="16" bestFit="1" customWidth="1"/>
    <col min="14606" max="14606" width="9.1640625" style="16" bestFit="1" customWidth="1"/>
    <col min="14607" max="14848" width="8.6640625" style="16"/>
    <col min="14849" max="14849" width="4.6640625" style="16" customWidth="1"/>
    <col min="14850" max="14850" width="46" style="16" customWidth="1"/>
    <col min="14851" max="14851" width="10.6640625" style="16" customWidth="1"/>
    <col min="14852" max="14852" width="11.6640625" style="16" customWidth="1"/>
    <col min="14853" max="14853" width="12.6640625" style="16" customWidth="1"/>
    <col min="14854" max="14854" width="15.6640625" style="16" customWidth="1"/>
    <col min="14855" max="14855" width="13" style="16" customWidth="1"/>
    <col min="14856" max="14858" width="13.6640625" style="16" customWidth="1"/>
    <col min="14859" max="14859" width="16.1640625" style="16" bestFit="1" customWidth="1"/>
    <col min="14860" max="14860" width="6.33203125" style="16" customWidth="1"/>
    <col min="14861" max="14861" width="10.5" style="16" bestFit="1" customWidth="1"/>
    <col min="14862" max="14862" width="9.1640625" style="16" bestFit="1" customWidth="1"/>
    <col min="14863" max="15104" width="8.6640625" style="16"/>
    <col min="15105" max="15105" width="4.6640625" style="16" customWidth="1"/>
    <col min="15106" max="15106" width="46" style="16" customWidth="1"/>
    <col min="15107" max="15107" width="10.6640625" style="16" customWidth="1"/>
    <col min="15108" max="15108" width="11.6640625" style="16" customWidth="1"/>
    <col min="15109" max="15109" width="12.6640625" style="16" customWidth="1"/>
    <col min="15110" max="15110" width="15.6640625" style="16" customWidth="1"/>
    <col min="15111" max="15111" width="13" style="16" customWidth="1"/>
    <col min="15112" max="15114" width="13.6640625" style="16" customWidth="1"/>
    <col min="15115" max="15115" width="16.1640625" style="16" bestFit="1" customWidth="1"/>
    <col min="15116" max="15116" width="6.33203125" style="16" customWidth="1"/>
    <col min="15117" max="15117" width="10.5" style="16" bestFit="1" customWidth="1"/>
    <col min="15118" max="15118" width="9.1640625" style="16" bestFit="1" customWidth="1"/>
    <col min="15119" max="15360" width="8.6640625" style="16"/>
    <col min="15361" max="15361" width="4.6640625" style="16" customWidth="1"/>
    <col min="15362" max="15362" width="46" style="16" customWidth="1"/>
    <col min="15363" max="15363" width="10.6640625" style="16" customWidth="1"/>
    <col min="15364" max="15364" width="11.6640625" style="16" customWidth="1"/>
    <col min="15365" max="15365" width="12.6640625" style="16" customWidth="1"/>
    <col min="15366" max="15366" width="15.6640625" style="16" customWidth="1"/>
    <col min="15367" max="15367" width="13" style="16" customWidth="1"/>
    <col min="15368" max="15370" width="13.6640625" style="16" customWidth="1"/>
    <col min="15371" max="15371" width="16.1640625" style="16" bestFit="1" customWidth="1"/>
    <col min="15372" max="15372" width="6.33203125" style="16" customWidth="1"/>
    <col min="15373" max="15373" width="10.5" style="16" bestFit="1" customWidth="1"/>
    <col min="15374" max="15374" width="9.1640625" style="16" bestFit="1" customWidth="1"/>
    <col min="15375" max="15616" width="8.6640625" style="16"/>
    <col min="15617" max="15617" width="4.6640625" style="16" customWidth="1"/>
    <col min="15618" max="15618" width="46" style="16" customWidth="1"/>
    <col min="15619" max="15619" width="10.6640625" style="16" customWidth="1"/>
    <col min="15620" max="15620" width="11.6640625" style="16" customWidth="1"/>
    <col min="15621" max="15621" width="12.6640625" style="16" customWidth="1"/>
    <col min="15622" max="15622" width="15.6640625" style="16" customWidth="1"/>
    <col min="15623" max="15623" width="13" style="16" customWidth="1"/>
    <col min="15624" max="15626" width="13.6640625" style="16" customWidth="1"/>
    <col min="15627" max="15627" width="16.1640625" style="16" bestFit="1" customWidth="1"/>
    <col min="15628" max="15628" width="6.33203125" style="16" customWidth="1"/>
    <col min="15629" max="15629" width="10.5" style="16" bestFit="1" customWidth="1"/>
    <col min="15630" max="15630" width="9.1640625" style="16" bestFit="1" customWidth="1"/>
    <col min="15631" max="15872" width="8.6640625" style="16"/>
    <col min="15873" max="15873" width="4.6640625" style="16" customWidth="1"/>
    <col min="15874" max="15874" width="46" style="16" customWidth="1"/>
    <col min="15875" max="15875" width="10.6640625" style="16" customWidth="1"/>
    <col min="15876" max="15876" width="11.6640625" style="16" customWidth="1"/>
    <col min="15877" max="15877" width="12.6640625" style="16" customWidth="1"/>
    <col min="15878" max="15878" width="15.6640625" style="16" customWidth="1"/>
    <col min="15879" max="15879" width="13" style="16" customWidth="1"/>
    <col min="15880" max="15882" width="13.6640625" style="16" customWidth="1"/>
    <col min="15883" max="15883" width="16.1640625" style="16" bestFit="1" customWidth="1"/>
    <col min="15884" max="15884" width="6.33203125" style="16" customWidth="1"/>
    <col min="15885" max="15885" width="10.5" style="16" bestFit="1" customWidth="1"/>
    <col min="15886" max="15886" width="9.1640625" style="16" bestFit="1" customWidth="1"/>
    <col min="15887" max="16128" width="8.6640625" style="16"/>
    <col min="16129" max="16129" width="4.6640625" style="16" customWidth="1"/>
    <col min="16130" max="16130" width="46" style="16" customWidth="1"/>
    <col min="16131" max="16131" width="10.6640625" style="16" customWidth="1"/>
    <col min="16132" max="16132" width="11.6640625" style="16" customWidth="1"/>
    <col min="16133" max="16133" width="12.6640625" style="16" customWidth="1"/>
    <col min="16134" max="16134" width="15.6640625" style="16" customWidth="1"/>
    <col min="16135" max="16135" width="13" style="16" customWidth="1"/>
    <col min="16136" max="16138" width="13.6640625" style="16" customWidth="1"/>
    <col min="16139" max="16139" width="16.1640625" style="16" bestFit="1" customWidth="1"/>
    <col min="16140" max="16140" width="6.33203125" style="16" customWidth="1"/>
    <col min="16141" max="16141" width="10.5" style="16" bestFit="1" customWidth="1"/>
    <col min="16142" max="16142" width="9.1640625" style="16" bestFit="1" customWidth="1"/>
    <col min="16143" max="16384" width="8.6640625" style="16"/>
  </cols>
  <sheetData>
    <row r="1" spans="1:14" ht="12.75" customHeight="1">
      <c r="B1" s="55" t="s">
        <v>75</v>
      </c>
      <c r="C1" s="56"/>
      <c r="D1" s="56"/>
      <c r="E1" s="56"/>
      <c r="F1" s="56"/>
      <c r="G1" s="55"/>
      <c r="H1" s="56"/>
      <c r="I1" s="56"/>
      <c r="J1" s="55"/>
      <c r="K1" s="56"/>
      <c r="L1" s="143"/>
    </row>
    <row r="2" spans="1:14" ht="12.75" customHeight="1">
      <c r="B2" s="55" t="s">
        <v>15</v>
      </c>
      <c r="C2" s="56"/>
      <c r="D2" s="56"/>
      <c r="E2" s="56"/>
      <c r="F2" s="56"/>
      <c r="G2" s="55"/>
      <c r="H2" s="56"/>
      <c r="I2" s="56"/>
      <c r="J2" s="55"/>
      <c r="K2" s="56"/>
      <c r="L2" s="143"/>
    </row>
    <row r="3" spans="1:14" ht="12.75" customHeight="1">
      <c r="B3" s="55" t="str">
        <f>'Pg 2 Cost of Total Debt'!$B$3</f>
        <v>For The 12 Months Ended March 31, 2021</v>
      </c>
      <c r="C3" s="56"/>
      <c r="D3" s="56"/>
      <c r="E3" s="56"/>
      <c r="F3" s="56"/>
      <c r="G3" s="55"/>
      <c r="H3" s="56"/>
      <c r="I3" s="56"/>
      <c r="J3" s="55"/>
      <c r="K3" s="56"/>
      <c r="L3" s="143"/>
    </row>
    <row r="4" spans="1:14" ht="12.75" customHeight="1">
      <c r="B4" s="144"/>
      <c r="C4" s="144"/>
      <c r="D4" s="144"/>
      <c r="E4" s="145"/>
      <c r="F4" s="145"/>
      <c r="G4" s="145"/>
      <c r="H4" s="145"/>
      <c r="I4" s="145"/>
      <c r="J4" s="145"/>
      <c r="K4" s="145"/>
      <c r="L4" s="143"/>
    </row>
    <row r="5" spans="1:14" ht="12.75" customHeight="1">
      <c r="A5" s="146">
        <v>1</v>
      </c>
      <c r="B5" s="47" t="s">
        <v>1</v>
      </c>
      <c r="C5" s="47" t="s">
        <v>16</v>
      </c>
      <c r="D5" s="47" t="s">
        <v>26</v>
      </c>
      <c r="E5" s="47" t="s">
        <v>28</v>
      </c>
      <c r="F5" s="47" t="s">
        <v>29</v>
      </c>
      <c r="G5" s="147" t="s">
        <v>30</v>
      </c>
      <c r="H5" s="47" t="s">
        <v>31</v>
      </c>
      <c r="I5" s="47" t="s">
        <v>32</v>
      </c>
      <c r="J5" s="47" t="s">
        <v>33</v>
      </c>
      <c r="K5" s="47" t="s">
        <v>35</v>
      </c>
      <c r="L5" s="143"/>
    </row>
    <row r="6" spans="1:14" ht="12.75" customHeight="1">
      <c r="A6" s="146">
        <f t="shared" ref="A6:A35" si="0">A5+1</f>
        <v>2</v>
      </c>
      <c r="B6" s="148" t="s">
        <v>0</v>
      </c>
      <c r="C6" s="149" t="s">
        <v>8</v>
      </c>
      <c r="D6" s="150" t="s">
        <v>46</v>
      </c>
      <c r="E6" s="151" t="s">
        <v>57</v>
      </c>
      <c r="F6" s="151" t="s">
        <v>58</v>
      </c>
      <c r="G6" s="151" t="s">
        <v>58</v>
      </c>
      <c r="H6" s="151" t="s">
        <v>34</v>
      </c>
      <c r="I6" s="150" t="s">
        <v>70</v>
      </c>
      <c r="J6" s="151" t="s">
        <v>71</v>
      </c>
      <c r="K6" s="150" t="s">
        <v>9</v>
      </c>
      <c r="L6" s="143"/>
    </row>
    <row r="7" spans="1:14" ht="12.75" customHeight="1">
      <c r="A7" s="146">
        <f t="shared" si="0"/>
        <v>3</v>
      </c>
      <c r="B7" s="152" t="s">
        <v>8</v>
      </c>
      <c r="C7" s="153" t="s">
        <v>47</v>
      </c>
      <c r="D7" s="153" t="s">
        <v>47</v>
      </c>
      <c r="E7" s="153" t="s">
        <v>47</v>
      </c>
      <c r="F7" s="153" t="s">
        <v>8</v>
      </c>
      <c r="G7" s="153" t="s">
        <v>47</v>
      </c>
      <c r="H7" s="153" t="s">
        <v>59</v>
      </c>
      <c r="I7" s="154" t="s">
        <v>56</v>
      </c>
      <c r="J7" s="153" t="s">
        <v>72</v>
      </c>
      <c r="K7" s="153" t="s">
        <v>56</v>
      </c>
      <c r="L7" s="143"/>
    </row>
    <row r="8" spans="1:14" ht="12.75" customHeight="1">
      <c r="A8" s="146">
        <f t="shared" si="0"/>
        <v>4</v>
      </c>
      <c r="B8" s="155"/>
      <c r="C8" s="156"/>
      <c r="D8" s="156"/>
      <c r="E8" s="156"/>
      <c r="F8" s="156"/>
      <c r="G8" s="156"/>
      <c r="H8" s="157"/>
      <c r="I8" s="157"/>
      <c r="J8" s="157"/>
      <c r="K8" s="158"/>
    </row>
    <row r="9" spans="1:14" ht="12.75" customHeight="1">
      <c r="A9" s="146">
        <f>A8+1</f>
        <v>5</v>
      </c>
      <c r="B9" s="155" t="s">
        <v>54</v>
      </c>
      <c r="C9" s="156">
        <v>33410</v>
      </c>
      <c r="D9" s="156">
        <v>37063</v>
      </c>
      <c r="E9" s="156">
        <v>35961</v>
      </c>
      <c r="F9" s="156" t="s">
        <v>50</v>
      </c>
      <c r="G9" s="156">
        <v>35961</v>
      </c>
      <c r="H9" s="157">
        <v>43266</v>
      </c>
      <c r="I9" s="159">
        <v>291.57</v>
      </c>
      <c r="J9" s="160">
        <v>6</v>
      </c>
      <c r="K9" s="159">
        <f>ROUND(I9*J9,2)</f>
        <v>1749.42</v>
      </c>
      <c r="M9" s="159"/>
      <c r="N9" s="41"/>
    </row>
    <row r="10" spans="1:14" ht="12.75" customHeight="1">
      <c r="A10" s="146">
        <f t="shared" si="0"/>
        <v>6</v>
      </c>
      <c r="B10" s="161" t="s">
        <v>24</v>
      </c>
      <c r="C10" s="156">
        <v>33616</v>
      </c>
      <c r="D10" s="156">
        <f>DATE(2022,1,12)</f>
        <v>44573</v>
      </c>
      <c r="E10" s="162">
        <v>37701</v>
      </c>
      <c r="F10" s="162"/>
      <c r="G10" s="162"/>
      <c r="H10" s="157">
        <f>DATE(2022,1,12)</f>
        <v>44573</v>
      </c>
      <c r="I10" s="159">
        <v>95.089999999999989</v>
      </c>
      <c r="J10" s="160">
        <v>12</v>
      </c>
      <c r="K10" s="159">
        <f t="shared" ref="K10:K26" si="1">ROUND(I10*J10,2)</f>
        <v>1141.08</v>
      </c>
      <c r="M10" s="159"/>
      <c r="N10" s="41"/>
    </row>
    <row r="11" spans="1:14" ht="12.75" customHeight="1">
      <c r="A11" s="146">
        <f t="shared" si="0"/>
        <v>7</v>
      </c>
      <c r="B11" s="161" t="s">
        <v>25</v>
      </c>
      <c r="C11" s="156">
        <v>33616</v>
      </c>
      <c r="D11" s="156">
        <f>DATE(2022,1,13)</f>
        <v>44574</v>
      </c>
      <c r="E11" s="162">
        <v>37701</v>
      </c>
      <c r="F11" s="162"/>
      <c r="G11" s="162"/>
      <c r="H11" s="157">
        <f>DATE(2022,1,13)</f>
        <v>44574</v>
      </c>
      <c r="I11" s="159">
        <v>221.88</v>
      </c>
      <c r="J11" s="160">
        <v>12</v>
      </c>
      <c r="K11" s="159">
        <f t="shared" si="1"/>
        <v>2662.56</v>
      </c>
      <c r="L11" s="163"/>
      <c r="M11" s="159"/>
    </row>
    <row r="12" spans="1:14" ht="12.75" customHeight="1">
      <c r="A12" s="146">
        <f t="shared" si="0"/>
        <v>8</v>
      </c>
      <c r="B12" s="161" t="s">
        <v>49</v>
      </c>
      <c r="C12" s="156">
        <v>33828</v>
      </c>
      <c r="D12" s="156">
        <v>44785</v>
      </c>
      <c r="E12" s="162">
        <v>37770</v>
      </c>
      <c r="F12" s="162"/>
      <c r="G12" s="162"/>
      <c r="H12" s="157">
        <v>44785</v>
      </c>
      <c r="I12" s="159">
        <v>5207.1400000000003</v>
      </c>
      <c r="J12" s="160">
        <v>12</v>
      </c>
      <c r="K12" s="159">
        <f t="shared" si="1"/>
        <v>62485.68</v>
      </c>
      <c r="M12" s="159"/>
    </row>
    <row r="13" spans="1:14" ht="12.75" customHeight="1">
      <c r="A13" s="146">
        <f t="shared" si="0"/>
        <v>9</v>
      </c>
      <c r="B13" s="161" t="s">
        <v>60</v>
      </c>
      <c r="C13" s="156">
        <v>34199</v>
      </c>
      <c r="D13" s="156">
        <v>45156</v>
      </c>
      <c r="E13" s="162">
        <v>37851</v>
      </c>
      <c r="H13" s="157">
        <v>45156</v>
      </c>
      <c r="I13" s="159">
        <v>887.99000000000012</v>
      </c>
      <c r="J13" s="160">
        <v>12</v>
      </c>
      <c r="K13" s="159">
        <f t="shared" si="1"/>
        <v>10655.88</v>
      </c>
      <c r="L13" s="163"/>
      <c r="M13" s="159"/>
    </row>
    <row r="14" spans="1:14" ht="12.75" customHeight="1">
      <c r="A14" s="146">
        <f t="shared" si="0"/>
        <v>10</v>
      </c>
      <c r="B14" s="155" t="s">
        <v>55</v>
      </c>
      <c r="C14" s="156">
        <v>33161</v>
      </c>
      <c r="D14" s="156">
        <v>35718</v>
      </c>
      <c r="E14" s="156">
        <v>34372</v>
      </c>
      <c r="F14" s="156" t="s">
        <v>51</v>
      </c>
      <c r="G14" s="156">
        <v>34366</v>
      </c>
      <c r="H14" s="157">
        <v>45323</v>
      </c>
      <c r="I14" s="159">
        <v>14073.339999999998</v>
      </c>
      <c r="J14" s="160">
        <v>12</v>
      </c>
      <c r="K14" s="159">
        <f t="shared" si="1"/>
        <v>168880.08</v>
      </c>
      <c r="M14" s="159"/>
    </row>
    <row r="15" spans="1:14" ht="12.75" customHeight="1">
      <c r="A15" s="146">
        <f t="shared" si="0"/>
        <v>11</v>
      </c>
      <c r="B15" s="155" t="s">
        <v>48</v>
      </c>
      <c r="C15" s="156">
        <v>35587</v>
      </c>
      <c r="D15" s="156">
        <v>46539</v>
      </c>
      <c r="E15" s="156">
        <v>38504</v>
      </c>
      <c r="F15" s="156"/>
      <c r="G15" s="156"/>
      <c r="H15" s="157">
        <v>46539</v>
      </c>
      <c r="I15" s="159">
        <v>19150.350000000002</v>
      </c>
      <c r="J15" s="160">
        <v>12</v>
      </c>
      <c r="K15" s="159">
        <f t="shared" si="1"/>
        <v>229804.2</v>
      </c>
      <c r="M15" s="159"/>
    </row>
    <row r="16" spans="1:14" ht="12.75" customHeight="1">
      <c r="A16" s="146">
        <f t="shared" si="0"/>
        <v>12</v>
      </c>
      <c r="B16" s="161" t="s">
        <v>20</v>
      </c>
      <c r="C16" s="156">
        <v>33457</v>
      </c>
      <c r="D16" s="156">
        <f>DATE(2021,8,1)</f>
        <v>44409</v>
      </c>
      <c r="E16" s="162">
        <v>37691</v>
      </c>
      <c r="F16" s="162" t="s">
        <v>52</v>
      </c>
      <c r="G16" s="162">
        <v>37691</v>
      </c>
      <c r="H16" s="157">
        <v>47908</v>
      </c>
      <c r="I16" s="159">
        <v>3790.0400000000004</v>
      </c>
      <c r="J16" s="160">
        <v>12</v>
      </c>
      <c r="K16" s="159">
        <f t="shared" si="1"/>
        <v>45480.480000000003</v>
      </c>
      <c r="M16" s="159"/>
    </row>
    <row r="17" spans="1:13" ht="12.75" customHeight="1">
      <c r="A17" s="146">
        <f t="shared" si="0"/>
        <v>13</v>
      </c>
      <c r="B17" s="161" t="s">
        <v>21</v>
      </c>
      <c r="C17" s="156">
        <v>33457</v>
      </c>
      <c r="D17" s="156">
        <f>DATE(2021,8,1)</f>
        <v>44409</v>
      </c>
      <c r="E17" s="162">
        <v>37691</v>
      </c>
      <c r="F17" s="162" t="s">
        <v>52</v>
      </c>
      <c r="G17" s="162">
        <v>37691</v>
      </c>
      <c r="H17" s="157">
        <v>47908</v>
      </c>
      <c r="I17" s="159">
        <v>2880.1200000000003</v>
      </c>
      <c r="J17" s="160">
        <v>12</v>
      </c>
      <c r="K17" s="159">
        <f t="shared" si="1"/>
        <v>34561.440000000002</v>
      </c>
      <c r="M17" s="159"/>
    </row>
    <row r="18" spans="1:13" ht="12.75" customHeight="1">
      <c r="A18" s="146">
        <f t="shared" si="0"/>
        <v>14</v>
      </c>
      <c r="B18" s="161" t="s">
        <v>22</v>
      </c>
      <c r="C18" s="156">
        <v>33664</v>
      </c>
      <c r="D18" s="156">
        <f>DATE(2022,3,1)</f>
        <v>44621</v>
      </c>
      <c r="E18" s="162">
        <v>37691</v>
      </c>
      <c r="F18" s="162" t="s">
        <v>52</v>
      </c>
      <c r="G18" s="162">
        <v>37691</v>
      </c>
      <c r="H18" s="157">
        <v>47908</v>
      </c>
      <c r="I18" s="159">
        <v>8818.7899999999991</v>
      </c>
      <c r="J18" s="160">
        <v>12</v>
      </c>
      <c r="K18" s="159">
        <f t="shared" si="1"/>
        <v>105825.48</v>
      </c>
      <c r="M18" s="159"/>
    </row>
    <row r="19" spans="1:13" ht="12.75" customHeight="1">
      <c r="A19" s="146">
        <f t="shared" si="0"/>
        <v>15</v>
      </c>
      <c r="B19" s="161" t="s">
        <v>23</v>
      </c>
      <c r="C19" s="156">
        <v>33664</v>
      </c>
      <c r="D19" s="156">
        <f>DATE(2022,3,1)</f>
        <v>44621</v>
      </c>
      <c r="E19" s="162">
        <v>37691</v>
      </c>
      <c r="F19" s="162" t="s">
        <v>52</v>
      </c>
      <c r="G19" s="162">
        <v>37691</v>
      </c>
      <c r="H19" s="157">
        <v>47908</v>
      </c>
      <c r="I19" s="159">
        <v>2691.48</v>
      </c>
      <c r="J19" s="160">
        <v>12</v>
      </c>
      <c r="K19" s="159">
        <f t="shared" si="1"/>
        <v>32297.759999999998</v>
      </c>
      <c r="M19" s="159"/>
    </row>
    <row r="20" spans="1:13" ht="12.75" customHeight="1">
      <c r="A20" s="146">
        <f t="shared" si="0"/>
        <v>16</v>
      </c>
      <c r="B20" s="161" t="s">
        <v>64</v>
      </c>
      <c r="C20" s="156">
        <v>37691</v>
      </c>
      <c r="D20" s="156">
        <v>47908</v>
      </c>
      <c r="E20" s="162">
        <v>41449</v>
      </c>
      <c r="F20" s="162" t="s">
        <v>65</v>
      </c>
      <c r="G20" s="162">
        <v>41417</v>
      </c>
      <c r="H20" s="157">
        <v>47908</v>
      </c>
      <c r="I20" s="159">
        <v>24927.39</v>
      </c>
      <c r="J20" s="160">
        <v>12</v>
      </c>
      <c r="K20" s="159">
        <f t="shared" si="1"/>
        <v>299128.68</v>
      </c>
      <c r="M20" s="159"/>
    </row>
    <row r="21" spans="1:13" ht="12.75" customHeight="1">
      <c r="A21" s="146">
        <f t="shared" si="0"/>
        <v>17</v>
      </c>
      <c r="B21" s="161" t="s">
        <v>64</v>
      </c>
      <c r="C21" s="156">
        <v>37691</v>
      </c>
      <c r="D21" s="156">
        <v>47908</v>
      </c>
      <c r="E21" s="162">
        <v>41449</v>
      </c>
      <c r="F21" s="162" t="s">
        <v>65</v>
      </c>
      <c r="G21" s="162">
        <v>41417</v>
      </c>
      <c r="H21" s="157">
        <v>47908</v>
      </c>
      <c r="I21" s="159">
        <v>4212.7700000000004</v>
      </c>
      <c r="J21" s="160">
        <v>12</v>
      </c>
      <c r="K21" s="159">
        <f t="shared" si="1"/>
        <v>50553.24</v>
      </c>
      <c r="M21" s="159"/>
    </row>
    <row r="22" spans="1:13" ht="12.75" customHeight="1">
      <c r="A22" s="146">
        <f>A21+1</f>
        <v>18</v>
      </c>
      <c r="B22" s="155" t="s">
        <v>44</v>
      </c>
      <c r="C22" s="156">
        <v>38183</v>
      </c>
      <c r="D22" s="156">
        <v>38913</v>
      </c>
      <c r="E22" s="156">
        <v>38499</v>
      </c>
      <c r="F22" s="156" t="s">
        <v>45</v>
      </c>
      <c r="G22" s="156">
        <v>38499</v>
      </c>
      <c r="H22" s="157">
        <v>49456</v>
      </c>
      <c r="I22" s="159">
        <v>1423.88</v>
      </c>
      <c r="J22" s="160">
        <v>12</v>
      </c>
      <c r="K22" s="159">
        <f t="shared" si="1"/>
        <v>17086.560000000001</v>
      </c>
      <c r="M22" s="159"/>
    </row>
    <row r="23" spans="1:13" ht="12.75" customHeight="1">
      <c r="A23" s="146">
        <f t="shared" si="0"/>
        <v>19</v>
      </c>
      <c r="B23" s="155" t="s">
        <v>18</v>
      </c>
      <c r="C23" s="156">
        <v>37035</v>
      </c>
      <c r="D23" s="156">
        <v>51682</v>
      </c>
      <c r="E23" s="156">
        <v>38898</v>
      </c>
      <c r="F23" s="156" t="s">
        <v>53</v>
      </c>
      <c r="G23" s="156">
        <v>38898</v>
      </c>
      <c r="H23" s="157">
        <v>49841</v>
      </c>
      <c r="I23" s="159">
        <v>16418.45</v>
      </c>
      <c r="J23" s="160">
        <v>12</v>
      </c>
      <c r="K23" s="159">
        <f t="shared" si="1"/>
        <v>197021.4</v>
      </c>
      <c r="M23" s="159"/>
    </row>
    <row r="24" spans="1:13" ht="12.75" customHeight="1">
      <c r="A24" s="146">
        <f t="shared" si="0"/>
        <v>20</v>
      </c>
      <c r="B24" s="155" t="s">
        <v>62</v>
      </c>
      <c r="C24" s="156">
        <v>33117</v>
      </c>
      <c r="D24" s="156">
        <v>44075</v>
      </c>
      <c r="E24" s="156">
        <v>40900</v>
      </c>
      <c r="F24" s="156" t="s">
        <v>63</v>
      </c>
      <c r="G24" s="156">
        <v>40869</v>
      </c>
      <c r="H24" s="157">
        <v>55472</v>
      </c>
      <c r="I24" s="159">
        <v>33376.57</v>
      </c>
      <c r="J24" s="160">
        <v>12</v>
      </c>
      <c r="K24" s="159">
        <f t="shared" si="1"/>
        <v>400518.84</v>
      </c>
      <c r="M24" s="159"/>
    </row>
    <row r="25" spans="1:13" ht="12.75" customHeight="1">
      <c r="A25" s="146">
        <f t="shared" si="0"/>
        <v>21</v>
      </c>
      <c r="B25" s="155" t="s">
        <v>66</v>
      </c>
      <c r="C25" s="156">
        <v>38637</v>
      </c>
      <c r="D25" s="156">
        <v>42278</v>
      </c>
      <c r="E25" s="156">
        <v>42160</v>
      </c>
      <c r="F25" s="156" t="s">
        <v>68</v>
      </c>
      <c r="G25" s="156">
        <v>42150</v>
      </c>
      <c r="H25" s="157">
        <v>53102</v>
      </c>
      <c r="I25" s="159">
        <v>6858.54</v>
      </c>
      <c r="J25" s="160">
        <v>12</v>
      </c>
      <c r="K25" s="159">
        <f t="shared" si="1"/>
        <v>82302.48</v>
      </c>
      <c r="M25" s="159"/>
    </row>
    <row r="26" spans="1:13" ht="12.75" customHeight="1">
      <c r="A26" s="146">
        <f t="shared" si="0"/>
        <v>22</v>
      </c>
      <c r="B26" s="155" t="s">
        <v>67</v>
      </c>
      <c r="C26" s="156">
        <v>39836</v>
      </c>
      <c r="D26" s="156">
        <v>42384</v>
      </c>
      <c r="E26" s="156">
        <v>42160</v>
      </c>
      <c r="F26" s="156" t="s">
        <v>68</v>
      </c>
      <c r="G26" s="156">
        <v>42150</v>
      </c>
      <c r="H26" s="157">
        <v>53102</v>
      </c>
      <c r="I26" s="159">
        <v>26387.48</v>
      </c>
      <c r="J26" s="160">
        <v>12</v>
      </c>
      <c r="K26" s="159">
        <f t="shared" si="1"/>
        <v>316649.76</v>
      </c>
      <c r="M26" s="159"/>
    </row>
    <row r="27" spans="1:13" ht="12.75" customHeight="1">
      <c r="A27" s="146">
        <f t="shared" si="0"/>
        <v>23</v>
      </c>
      <c r="B27" s="188" t="s">
        <v>147</v>
      </c>
      <c r="C27" s="189">
        <v>39237</v>
      </c>
      <c r="D27" s="189">
        <v>24624</v>
      </c>
      <c r="E27" s="189">
        <v>43217</v>
      </c>
      <c r="F27" s="189"/>
      <c r="G27" s="189"/>
      <c r="H27" s="190">
        <v>61149</v>
      </c>
      <c r="I27" s="190"/>
      <c r="J27" s="190"/>
      <c r="K27" s="191">
        <v>75166.02</v>
      </c>
    </row>
    <row r="28" spans="1:13" ht="12.75" customHeight="1">
      <c r="A28" s="146">
        <f t="shared" si="0"/>
        <v>24</v>
      </c>
      <c r="B28" s="155"/>
      <c r="C28" s="156"/>
      <c r="D28" s="156"/>
      <c r="E28" s="156"/>
      <c r="F28" s="156"/>
      <c r="G28" s="156"/>
      <c r="H28" s="157"/>
      <c r="I28" s="157"/>
      <c r="J28" s="157"/>
      <c r="K28" s="164"/>
    </row>
    <row r="29" spans="1:13" ht="15" customHeight="1" thickBot="1">
      <c r="A29" s="146">
        <f t="shared" si="0"/>
        <v>25</v>
      </c>
      <c r="B29" s="165" t="s">
        <v>17</v>
      </c>
      <c r="C29" s="31"/>
      <c r="D29" s="31"/>
      <c r="E29" s="31"/>
      <c r="F29" s="31"/>
      <c r="G29" s="31"/>
      <c r="H29" s="31"/>
      <c r="I29" s="31"/>
      <c r="J29" s="31"/>
      <c r="K29" s="166">
        <f>SUM(K8:K27)</f>
        <v>2133971.04</v>
      </c>
    </row>
    <row r="30" spans="1:13" ht="15" customHeight="1" thickTop="1">
      <c r="A30" s="146">
        <f t="shared" si="0"/>
        <v>26</v>
      </c>
      <c r="B30" s="165"/>
      <c r="C30" s="31"/>
      <c r="D30" s="31"/>
      <c r="E30" s="31"/>
      <c r="F30" s="31"/>
      <c r="G30" s="31"/>
      <c r="H30" s="31"/>
      <c r="I30" s="31"/>
      <c r="J30" s="31"/>
      <c r="K30" s="167"/>
    </row>
    <row r="31" spans="1:13" ht="15" customHeight="1">
      <c r="A31" s="146">
        <f t="shared" si="0"/>
        <v>27</v>
      </c>
      <c r="B31" s="165" t="s">
        <v>116</v>
      </c>
      <c r="C31" s="31"/>
      <c r="D31" s="31"/>
      <c r="E31" s="31"/>
      <c r="F31" s="31"/>
      <c r="G31" s="31"/>
      <c r="H31" s="31"/>
      <c r="I31" s="31"/>
      <c r="J31" s="31"/>
      <c r="K31" s="168">
        <f>'Pg 2 Cost of Total Debt'!H41</f>
        <v>7978568523.7901583</v>
      </c>
    </row>
    <row r="32" spans="1:13" ht="12.75" customHeight="1">
      <c r="A32" s="146">
        <f t="shared" si="0"/>
        <v>28</v>
      </c>
      <c r="B32" s="165"/>
      <c r="C32" s="32"/>
      <c r="D32" s="32"/>
      <c r="E32" s="32"/>
      <c r="F32" s="32"/>
      <c r="G32" s="32"/>
      <c r="H32" s="32"/>
      <c r="I32" s="32"/>
      <c r="J32" s="32"/>
      <c r="K32" s="158"/>
    </row>
    <row r="33" spans="1:11" ht="12.75" customHeight="1">
      <c r="A33" s="146">
        <f t="shared" si="0"/>
        <v>29</v>
      </c>
      <c r="B33" s="165" t="s">
        <v>73</v>
      </c>
      <c r="C33" s="143"/>
      <c r="D33" s="143"/>
      <c r="E33" s="143"/>
      <c r="F33" s="143"/>
      <c r="G33" s="143"/>
      <c r="H33" s="169"/>
      <c r="I33" s="169"/>
      <c r="J33" s="169"/>
      <c r="K33" s="170">
        <f>ROUND(K29/K31,4)</f>
        <v>2.9999999999999997E-4</v>
      </c>
    </row>
    <row r="34" spans="1:11" ht="12.75" customHeight="1">
      <c r="A34" s="146">
        <f t="shared" si="0"/>
        <v>30</v>
      </c>
      <c r="B34" s="171"/>
      <c r="C34" s="35"/>
      <c r="D34" s="35"/>
      <c r="E34" s="35"/>
      <c r="F34" s="35"/>
      <c r="H34" s="17"/>
      <c r="I34" s="17"/>
      <c r="J34" s="17"/>
      <c r="K34" s="158"/>
    </row>
    <row r="35" spans="1:11" ht="12.75" customHeight="1">
      <c r="A35" s="146">
        <f t="shared" si="0"/>
        <v>31</v>
      </c>
      <c r="B35" s="143" t="s">
        <v>74</v>
      </c>
      <c r="H35" s="17"/>
      <c r="I35" s="17"/>
      <c r="J35" s="17"/>
      <c r="K35" s="158"/>
    </row>
    <row r="36" spans="1:11" ht="12.75" customHeight="1">
      <c r="A36" s="146"/>
      <c r="B36" s="172"/>
      <c r="H36" s="17"/>
      <c r="I36" s="17"/>
      <c r="J36" s="17"/>
      <c r="K36" s="17"/>
    </row>
    <row r="37" spans="1:11" ht="12.75" customHeight="1">
      <c r="A37" s="36"/>
      <c r="H37" s="17"/>
      <c r="I37" s="17"/>
      <c r="J37" s="17"/>
      <c r="K37" s="17"/>
    </row>
    <row r="38" spans="1:11" ht="12.75" customHeight="1">
      <c r="H38" s="17"/>
      <c r="I38" s="17"/>
      <c r="J38" s="17"/>
      <c r="K38" s="17"/>
    </row>
    <row r="39" spans="1:11" ht="12.75" customHeight="1">
      <c r="H39" s="17"/>
      <c r="I39" s="17"/>
      <c r="J39" s="17"/>
      <c r="K39" s="34"/>
    </row>
    <row r="40" spans="1:11" ht="12.75" customHeight="1">
      <c r="H40" s="17"/>
      <c r="I40" s="17"/>
      <c r="J40" s="17"/>
      <c r="K40" s="17"/>
    </row>
    <row r="41" spans="1:11" ht="12.75" customHeight="1">
      <c r="H41" s="17"/>
      <c r="I41" s="17"/>
      <c r="J41" s="17"/>
      <c r="K41" s="17"/>
    </row>
    <row r="42" spans="1:11" ht="12.75" customHeight="1">
      <c r="H42" s="17"/>
      <c r="I42" s="17"/>
      <c r="J42" s="17"/>
      <c r="K42" s="17"/>
    </row>
    <row r="43" spans="1:11" ht="12.75" customHeight="1">
      <c r="H43" s="17"/>
      <c r="I43" s="17"/>
      <c r="J43" s="17"/>
      <c r="K43" s="17"/>
    </row>
    <row r="44" spans="1:11" ht="12.75" customHeight="1">
      <c r="H44" s="17"/>
      <c r="I44" s="17"/>
      <c r="J44" s="17"/>
      <c r="K44" s="17"/>
    </row>
    <row r="45" spans="1:11" ht="12.75" customHeight="1">
      <c r="H45" s="17"/>
      <c r="I45" s="17"/>
      <c r="J45" s="17"/>
      <c r="K45" s="17"/>
    </row>
    <row r="46" spans="1:11" ht="12.75" customHeight="1">
      <c r="H46" s="17"/>
      <c r="I46" s="17"/>
      <c r="J46" s="17"/>
      <c r="K46" s="17"/>
    </row>
    <row r="47" spans="1:11" ht="12.75" customHeight="1">
      <c r="H47" s="17"/>
      <c r="I47" s="17"/>
      <c r="J47" s="17"/>
      <c r="K47" s="17"/>
    </row>
    <row r="48" spans="1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printOptions horizontalCentered="1"/>
  <pageMargins left="0.2" right="0.2" top="0.75" bottom="0.4" header="0.36" footer="0.17"/>
  <pageSetup scale="98" orientation="landscape" r:id="rId1"/>
  <headerFooter alignWithMargins="0">
    <oddFooter>&amp;C&amp;A&amp;RExhibit No. ___(BJL-4)
Page 5 of 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8346BC-E8D1-4946-87EA-CC9C0800996D}"/>
</file>

<file path=customXml/itemProps2.xml><?xml version="1.0" encoding="utf-8"?>
<ds:datastoreItem xmlns:ds="http://schemas.openxmlformats.org/officeDocument/2006/customXml" ds:itemID="{B2F29367-C677-47A2-8A90-E40703517616}"/>
</file>

<file path=customXml/itemProps3.xml><?xml version="1.0" encoding="utf-8"?>
<ds:datastoreItem xmlns:ds="http://schemas.openxmlformats.org/officeDocument/2006/customXml" ds:itemID="{648D1805-E7AF-49B5-B23C-4B8E11FC7BD6}"/>
</file>

<file path=customXml/itemProps4.xml><?xml version="1.0" encoding="utf-8"?>
<ds:datastoreItem xmlns:ds="http://schemas.openxmlformats.org/officeDocument/2006/customXml" ds:itemID="{0D6A80E8-0537-48C0-B44C-CC06237A35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New Format</vt:lpstr>
      <vt:lpstr>Pg 1 CofCap </vt:lpstr>
      <vt:lpstr>Pg 2 Cost of Total Debt</vt:lpstr>
      <vt:lpstr>Pg 3 STD Int &amp; Fees-Details</vt:lpstr>
      <vt:lpstr>Pg 5 Reacquired Debt</vt:lpstr>
      <vt:lpstr>'New Format'!Print_Area</vt:lpstr>
      <vt:lpstr>'Pg 1 CofCap '!Print_Area</vt:lpstr>
      <vt:lpstr>'Pg 2 Cost of Total Debt'!Print_Area</vt:lpstr>
      <vt:lpstr>'Pg 3 STD Int &amp; Fees-Details'!Print_Area</vt:lpstr>
      <vt:lpstr>'Pg 5 Reacquired Debt'!Print_Area</vt:lpstr>
      <vt:lpstr>'Pg 5 Reacquired Debt'!Print_Titles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Kellogg, Anh</dc:creator>
  <cp:lastModifiedBy>NC</cp:lastModifiedBy>
  <dcterms:created xsi:type="dcterms:W3CDTF">2016-12-21T02:43:36Z</dcterms:created>
  <dcterms:modified xsi:type="dcterms:W3CDTF">2019-07-31T15:34:53Z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{EE447882-AAD8-40FF-A0E8-B315909BD512}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