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 CASES\1706 Puget Sound\GAW Work\CCOSS\Prob Dispatch\"/>
    </mc:Choice>
  </mc:AlternateContent>
  <bookViews>
    <workbookView xWindow="0" yWindow="0" windowWidth="20490" windowHeight="7455" activeTab="6"/>
  </bookViews>
  <sheets>
    <sheet name="Summary" sheetId="8" r:id="rId1"/>
    <sheet name="Rate Base" sheetId="2" r:id="rId2"/>
    <sheet name="Expenses" sheetId="3" r:id="rId3"/>
    <sheet name="Labor" sheetId="4" r:id="rId4"/>
    <sheet name="Revenue" sheetId="5" r:id="rId5"/>
    <sheet name="Alloc Amt" sheetId="6" r:id="rId6"/>
    <sheet name="Alloc Pct" sheetId="7" r:id="rId7"/>
  </sheets>
  <externalReferences>
    <externalReference r:id="rId8"/>
    <externalReference r:id="rId9"/>
  </externalReferences>
  <definedNames>
    <definedName name="Alloc">'Alloc Pct'!$B$8:$X$126</definedName>
    <definedName name="CASE">[1]INPUTS!$C$11</definedName>
    <definedName name="_xlnm.Print_Area" localSheetId="5">'Alloc Amt'!$B$1:$Q$124</definedName>
    <definedName name="_xlnm.Print_Area" localSheetId="6">'Alloc Pct'!$B$1:$Q$124</definedName>
    <definedName name="_xlnm.Print_Area" localSheetId="2">Expenses!$A$113:$R$153</definedName>
    <definedName name="_xlnm.Print_Area" localSheetId="3">Labor!$A$2:$R$42</definedName>
    <definedName name="_xlnm.Print_Area" localSheetId="1">'Rate Base'!$A$2:$R$72</definedName>
    <definedName name="_xlnm.Print_Area" localSheetId="4">Revenue!$A$2:$R$51</definedName>
    <definedName name="_xlnm.Print_Area" localSheetId="0">Summary!$A$2:$R$77</definedName>
    <definedName name="_xlnm.Print_Titles" localSheetId="5">'Alloc Amt'!$1:$5</definedName>
    <definedName name="_xlnm.Print_Titles" localSheetId="6">'Alloc Pct'!$1:$4</definedName>
    <definedName name="_xlnm.Print_Titles" localSheetId="2">Expenses!$2:$8</definedName>
    <definedName name="_xlnm.Print_Titles" localSheetId="1">'Rate Base'!$2:$6</definedName>
    <definedName name="ROR">[2]INPUTS!$F$29</definedName>
  </definedNames>
  <calcPr calcId="152511" iterate="1" calcOnSave="0"/>
</workbook>
</file>

<file path=xl/calcChain.xml><?xml version="1.0" encoding="utf-8"?>
<calcChain xmlns="http://schemas.openxmlformats.org/spreadsheetml/2006/main">
  <c r="D94" i="6" l="1"/>
  <c r="D95" i="6"/>
  <c r="D96" i="6"/>
  <c r="D97" i="6"/>
  <c r="D98" i="6" s="1"/>
  <c r="F68" i="8" l="1"/>
  <c r="R72" i="8"/>
  <c r="Q72" i="8"/>
  <c r="P72" i="8"/>
  <c r="O72" i="8"/>
  <c r="N72" i="8"/>
  <c r="M72" i="8"/>
  <c r="L72" i="8"/>
  <c r="K72" i="8"/>
  <c r="J72" i="8"/>
  <c r="I72" i="8"/>
  <c r="H72" i="8"/>
  <c r="G72" i="8"/>
  <c r="F72" i="8" s="1"/>
  <c r="M13" i="5" l="1"/>
  <c r="M8" i="8" s="1"/>
  <c r="M69" i="8" s="1"/>
  <c r="L13" i="5"/>
  <c r="L8" i="8" s="1"/>
  <c r="L69" i="8" s="1"/>
  <c r="L110" i="6"/>
  <c r="K110" i="6"/>
  <c r="M61" i="8" l="1"/>
  <c r="L61" i="8"/>
  <c r="E118" i="6"/>
  <c r="Q110" i="6"/>
  <c r="P110" i="6"/>
  <c r="O110" i="6"/>
  <c r="N110" i="6"/>
  <c r="M110" i="6"/>
  <c r="J110" i="6"/>
  <c r="I110" i="6"/>
  <c r="H110" i="6"/>
  <c r="G110" i="6"/>
  <c r="F110" i="6"/>
  <c r="L118" i="7" l="1"/>
  <c r="K118" i="7"/>
  <c r="E110" i="6"/>
  <c r="K110" i="7" l="1"/>
  <c r="L110" i="7"/>
  <c r="N111" i="6"/>
  <c r="N97" i="6" s="1"/>
  <c r="K111" i="6"/>
  <c r="L111" i="6"/>
  <c r="H111" i="6"/>
  <c r="H97" i="6" s="1"/>
  <c r="Q111" i="6"/>
  <c r="Q97" i="6" s="1"/>
  <c r="M111" i="6"/>
  <c r="M97" i="6" s="1"/>
  <c r="G111" i="6"/>
  <c r="G97" i="6" s="1"/>
  <c r="P111" i="6"/>
  <c r="P97" i="6" s="1"/>
  <c r="J111" i="6"/>
  <c r="J97" i="6" s="1"/>
  <c r="F111" i="6"/>
  <c r="F97" i="6" s="1"/>
  <c r="O111" i="6"/>
  <c r="O97" i="6" s="1"/>
  <c r="I111" i="6"/>
  <c r="I97" i="6" s="1"/>
  <c r="E95" i="6"/>
  <c r="L97" i="6" l="1"/>
  <c r="K95" i="7"/>
  <c r="L95" i="7"/>
  <c r="K97" i="6"/>
  <c r="T73" i="8"/>
  <c r="T59" i="8"/>
  <c r="T58" i="8"/>
  <c r="T53" i="8"/>
  <c r="T51" i="8"/>
  <c r="T46" i="8"/>
  <c r="T45" i="8"/>
  <c r="T42" i="8"/>
  <c r="T41" i="8"/>
  <c r="T40" i="8"/>
  <c r="T39" i="8"/>
  <c r="T36" i="8"/>
  <c r="T34" i="8"/>
  <c r="T31" i="8"/>
  <c r="T27" i="8"/>
  <c r="T26" i="8"/>
  <c r="T24" i="8"/>
  <c r="T22" i="8"/>
  <c r="T19" i="8"/>
  <c r="T17" i="8"/>
  <c r="T12" i="8"/>
  <c r="F60" i="8" l="1"/>
  <c r="T60" i="8" s="1"/>
  <c r="G1" i="8"/>
  <c r="H1" i="8" s="1"/>
  <c r="I1" i="8" s="1"/>
  <c r="J1" i="8" s="1"/>
  <c r="K1" i="8" s="1"/>
  <c r="L1" i="8" s="1"/>
  <c r="M1" i="8" l="1"/>
  <c r="R13" i="5"/>
  <c r="Q13" i="5"/>
  <c r="P13" i="5"/>
  <c r="O13" i="5"/>
  <c r="N13" i="5"/>
  <c r="M91" i="6" s="1"/>
  <c r="K13" i="5"/>
  <c r="J13" i="5"/>
  <c r="I13" i="5"/>
  <c r="H13" i="5"/>
  <c r="G13" i="5"/>
  <c r="T10" i="5"/>
  <c r="G1" i="5"/>
  <c r="H1" i="5" s="1"/>
  <c r="I1" i="5" s="1"/>
  <c r="J1" i="5" s="1"/>
  <c r="K1" i="5" s="1"/>
  <c r="L1" i="5" s="1"/>
  <c r="T19" i="5"/>
  <c r="T18" i="5"/>
  <c r="T15" i="5"/>
  <c r="T14" i="5"/>
  <c r="T12" i="5"/>
  <c r="T11" i="5"/>
  <c r="F44" i="3"/>
  <c r="M1" i="5" l="1"/>
  <c r="N1" i="8"/>
  <c r="O1" i="8" s="1"/>
  <c r="P1" i="8" s="1"/>
  <c r="Q1" i="8" s="1"/>
  <c r="R1" i="8" s="1"/>
  <c r="S1" i="8" s="1"/>
  <c r="T1" i="8" s="1"/>
  <c r="U1" i="8" s="1"/>
  <c r="V1" i="8" s="1"/>
  <c r="J8" i="8"/>
  <c r="I91" i="6"/>
  <c r="G8" i="8"/>
  <c r="F91" i="6"/>
  <c r="Q8" i="8"/>
  <c r="P91" i="6"/>
  <c r="H8" i="8"/>
  <c r="G91" i="6"/>
  <c r="R8" i="8"/>
  <c r="Q91" i="6"/>
  <c r="P8" i="8"/>
  <c r="O91" i="6"/>
  <c r="K8" i="8"/>
  <c r="J91" i="6"/>
  <c r="I8" i="8"/>
  <c r="H91" i="6"/>
  <c r="O8" i="8"/>
  <c r="N91" i="6"/>
  <c r="N8" i="8"/>
  <c r="T36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1" i="4"/>
  <c r="T40" i="4"/>
  <c r="T38" i="4"/>
  <c r="T34" i="4"/>
  <c r="T33" i="4"/>
  <c r="T32" i="4"/>
  <c r="T30" i="4"/>
  <c r="T27" i="4"/>
  <c r="T26" i="4"/>
  <c r="T23" i="4"/>
  <c r="T22" i="4"/>
  <c r="T19" i="4"/>
  <c r="T18" i="4"/>
  <c r="T15" i="4"/>
  <c r="T14" i="4"/>
  <c r="G1" i="4"/>
  <c r="H1" i="4" s="1"/>
  <c r="I1" i="4" s="1"/>
  <c r="J1" i="4" s="1"/>
  <c r="K1" i="4" s="1"/>
  <c r="L1" i="4" s="1"/>
  <c r="T127" i="3"/>
  <c r="T68" i="3"/>
  <c r="F39" i="3"/>
  <c r="F38" i="3"/>
  <c r="T158" i="3"/>
  <c r="T157" i="3"/>
  <c r="T156" i="3"/>
  <c r="T155" i="3"/>
  <c r="T154" i="3"/>
  <c r="T152" i="3"/>
  <c r="T148" i="3"/>
  <c r="T147" i="3"/>
  <c r="T143" i="3"/>
  <c r="T140" i="3"/>
  <c r="T139" i="3"/>
  <c r="T138" i="3"/>
  <c r="T113" i="3"/>
  <c r="T112" i="3"/>
  <c r="T110" i="3"/>
  <c r="T109" i="3"/>
  <c r="T107" i="3"/>
  <c r="T104" i="3"/>
  <c r="T103" i="3"/>
  <c r="T95" i="3"/>
  <c r="T94" i="3"/>
  <c r="T93" i="3"/>
  <c r="T92" i="3"/>
  <c r="T90" i="3"/>
  <c r="T78" i="3"/>
  <c r="T77" i="3"/>
  <c r="T67" i="3"/>
  <c r="T66" i="3"/>
  <c r="T59" i="3"/>
  <c r="T58" i="3"/>
  <c r="T46" i="3"/>
  <c r="T45" i="3"/>
  <c r="T42" i="3"/>
  <c r="T41" i="3"/>
  <c r="T37" i="3"/>
  <c r="T36" i="3"/>
  <c r="T32" i="3"/>
  <c r="T31" i="3"/>
  <c r="T30" i="3"/>
  <c r="T28" i="3"/>
  <c r="T27" i="3"/>
  <c r="T26" i="3"/>
  <c r="T23" i="3"/>
  <c r="T22" i="3"/>
  <c r="T21" i="3"/>
  <c r="T17" i="3"/>
  <c r="F34" i="3"/>
  <c r="F33" i="3"/>
  <c r="F25" i="3"/>
  <c r="F24" i="3"/>
  <c r="F19" i="3"/>
  <c r="F18" i="3"/>
  <c r="F16" i="3"/>
  <c r="F15" i="3"/>
  <c r="G1" i="3"/>
  <c r="D1" i="3"/>
  <c r="U108" i="2"/>
  <c r="U103" i="2"/>
  <c r="U97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6" i="2"/>
  <c r="U154" i="2"/>
  <c r="U132" i="2"/>
  <c r="U131" i="2"/>
  <c r="U128" i="2"/>
  <c r="U127" i="2"/>
  <c r="U126" i="2"/>
  <c r="U125" i="2"/>
  <c r="U124" i="2"/>
  <c r="U122" i="2"/>
  <c r="U118" i="2"/>
  <c r="U117" i="2"/>
  <c r="U94" i="2"/>
  <c r="U93" i="2"/>
  <c r="U88" i="2"/>
  <c r="U87" i="2"/>
  <c r="U82" i="2"/>
  <c r="U81" i="2"/>
  <c r="U76" i="2"/>
  <c r="U75" i="2"/>
  <c r="U74" i="2"/>
  <c r="U73" i="2"/>
  <c r="U71" i="2"/>
  <c r="U58" i="2"/>
  <c r="U57" i="2"/>
  <c r="U43" i="2"/>
  <c r="U34" i="2"/>
  <c r="U33" i="2"/>
  <c r="U29" i="2"/>
  <c r="U26" i="2"/>
  <c r="U23" i="2"/>
  <c r="U22" i="2"/>
  <c r="U21" i="2"/>
  <c r="U17" i="2"/>
  <c r="U16" i="2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15" i="6"/>
  <c r="E113" i="6"/>
  <c r="E112" i="6"/>
  <c r="E111" i="6"/>
  <c r="E108" i="6"/>
  <c r="E107" i="6"/>
  <c r="E106" i="6"/>
  <c r="E105" i="6"/>
  <c r="E104" i="6"/>
  <c r="E103" i="6"/>
  <c r="E102" i="6"/>
  <c r="E101" i="6"/>
  <c r="E100" i="6"/>
  <c r="E99" i="6"/>
  <c r="E96" i="6"/>
  <c r="E92" i="6"/>
  <c r="E79" i="6"/>
  <c r="E73" i="6"/>
  <c r="E68" i="6"/>
  <c r="E67" i="6"/>
  <c r="E61" i="6"/>
  <c r="E60" i="6"/>
  <c r="F31" i="2"/>
  <c r="F30" i="2"/>
  <c r="F28" i="2"/>
  <c r="F27" i="2"/>
  <c r="F25" i="2"/>
  <c r="F24" i="2"/>
  <c r="R61" i="8" l="1"/>
  <c r="R69" i="8"/>
  <c r="Q61" i="8"/>
  <c r="Q69" i="8"/>
  <c r="P61" i="8"/>
  <c r="P69" i="8"/>
  <c r="O61" i="8"/>
  <c r="O69" i="8"/>
  <c r="J61" i="8"/>
  <c r="J69" i="8"/>
  <c r="K61" i="8"/>
  <c r="K69" i="8"/>
  <c r="N61" i="8"/>
  <c r="N69" i="8"/>
  <c r="I61" i="8"/>
  <c r="I69" i="8"/>
  <c r="H61" i="8"/>
  <c r="H69" i="8"/>
  <c r="G61" i="8"/>
  <c r="G69" i="8"/>
  <c r="M1" i="4"/>
  <c r="L96" i="7"/>
  <c r="K96" i="7"/>
  <c r="L126" i="7"/>
  <c r="K126" i="7"/>
  <c r="K99" i="7"/>
  <c r="L99" i="7"/>
  <c r="K103" i="7"/>
  <c r="L103" i="7"/>
  <c r="L100" i="7"/>
  <c r="K100" i="7"/>
  <c r="L104" i="7"/>
  <c r="K104" i="7"/>
  <c r="L108" i="7"/>
  <c r="K108" i="7"/>
  <c r="L102" i="7"/>
  <c r="K102" i="7"/>
  <c r="K101" i="7"/>
  <c r="L101" i="7"/>
  <c r="K105" i="7"/>
  <c r="L105" i="7"/>
  <c r="E97" i="6"/>
  <c r="L111" i="7"/>
  <c r="K111" i="7"/>
  <c r="K125" i="7"/>
  <c r="L125" i="7"/>
  <c r="N1" i="5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E91" i="6"/>
  <c r="F40" i="3"/>
  <c r="H1" i="3"/>
  <c r="T123" i="3"/>
  <c r="T136" i="3"/>
  <c r="T121" i="3"/>
  <c r="F20" i="3"/>
  <c r="F35" i="3"/>
  <c r="T51" i="3"/>
  <c r="U105" i="2"/>
  <c r="U99" i="2"/>
  <c r="U95" i="2"/>
  <c r="F32" i="2"/>
  <c r="F19" i="2"/>
  <c r="F18" i="2"/>
  <c r="S153" i="2"/>
  <c r="S130" i="2"/>
  <c r="S121" i="2"/>
  <c r="S116" i="2"/>
  <c r="S92" i="2"/>
  <c r="S86" i="2"/>
  <c r="S80" i="2"/>
  <c r="F56" i="2"/>
  <c r="F69" i="8" l="1"/>
  <c r="F61" i="8"/>
  <c r="T61" i="8" s="1"/>
  <c r="K97" i="7"/>
  <c r="L97" i="7"/>
  <c r="N1" i="4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L91" i="7"/>
  <c r="K91" i="7"/>
  <c r="I1" i="3"/>
  <c r="F20" i="2"/>
  <c r="D9" i="6"/>
  <c r="D10" i="6" s="1"/>
  <c r="D1" i="2"/>
  <c r="F1" i="2" s="1"/>
  <c r="Q126" i="7"/>
  <c r="P126" i="7"/>
  <c r="O126" i="7"/>
  <c r="N126" i="7"/>
  <c r="M126" i="7"/>
  <c r="J126" i="7"/>
  <c r="I126" i="7"/>
  <c r="H126" i="7"/>
  <c r="G126" i="7"/>
  <c r="F126" i="7"/>
  <c r="E126" i="7" s="1"/>
  <c r="Q125" i="7"/>
  <c r="P125" i="7"/>
  <c r="O125" i="7"/>
  <c r="N125" i="7"/>
  <c r="M125" i="7"/>
  <c r="J125" i="7"/>
  <c r="I125" i="7"/>
  <c r="H125" i="7"/>
  <c r="G125" i="7"/>
  <c r="F125" i="7"/>
  <c r="E125" i="7" s="1"/>
  <c r="Q118" i="7"/>
  <c r="P118" i="7"/>
  <c r="O118" i="7"/>
  <c r="N118" i="7"/>
  <c r="M118" i="7"/>
  <c r="J118" i="7"/>
  <c r="I118" i="7"/>
  <c r="H118" i="7"/>
  <c r="G118" i="7"/>
  <c r="F118" i="7"/>
  <c r="Q111" i="7"/>
  <c r="P111" i="7"/>
  <c r="O111" i="7"/>
  <c r="N111" i="7"/>
  <c r="M111" i="7"/>
  <c r="J111" i="7"/>
  <c r="I111" i="7"/>
  <c r="H111" i="7"/>
  <c r="G111" i="7"/>
  <c r="F111" i="7"/>
  <c r="Q110" i="7"/>
  <c r="P110" i="7"/>
  <c r="O110" i="7"/>
  <c r="N110" i="7"/>
  <c r="M110" i="7"/>
  <c r="J110" i="7"/>
  <c r="I110" i="7"/>
  <c r="H110" i="7"/>
  <c r="G110" i="7"/>
  <c r="F110" i="7"/>
  <c r="Q108" i="7"/>
  <c r="P108" i="7"/>
  <c r="O108" i="7"/>
  <c r="N108" i="7"/>
  <c r="M108" i="7"/>
  <c r="J108" i="7"/>
  <c r="I108" i="7"/>
  <c r="H108" i="7"/>
  <c r="G108" i="7"/>
  <c r="F108" i="7"/>
  <c r="Q105" i="7"/>
  <c r="P105" i="7"/>
  <c r="O105" i="7"/>
  <c r="N105" i="7"/>
  <c r="M105" i="7"/>
  <c r="J105" i="7"/>
  <c r="I105" i="7"/>
  <c r="H105" i="7"/>
  <c r="G105" i="7"/>
  <c r="F105" i="7"/>
  <c r="E105" i="7" s="1"/>
  <c r="Q104" i="7"/>
  <c r="P104" i="7"/>
  <c r="O104" i="7"/>
  <c r="N104" i="7"/>
  <c r="M104" i="7"/>
  <c r="J104" i="7"/>
  <c r="I104" i="7"/>
  <c r="H104" i="7"/>
  <c r="G104" i="7"/>
  <c r="F104" i="7"/>
  <c r="E104" i="7" s="1"/>
  <c r="Q103" i="7"/>
  <c r="P103" i="7"/>
  <c r="O103" i="7"/>
  <c r="N103" i="7"/>
  <c r="M103" i="7"/>
  <c r="J103" i="7"/>
  <c r="I103" i="7"/>
  <c r="H103" i="7"/>
  <c r="G103" i="7"/>
  <c r="F103" i="7"/>
  <c r="E103" i="7" s="1"/>
  <c r="Q102" i="7"/>
  <c r="P102" i="7"/>
  <c r="O102" i="7"/>
  <c r="N102" i="7"/>
  <c r="M102" i="7"/>
  <c r="J102" i="7"/>
  <c r="I102" i="7"/>
  <c r="H102" i="7"/>
  <c r="G102" i="7"/>
  <c r="F102" i="7"/>
  <c r="E102" i="7" s="1"/>
  <c r="Q101" i="7"/>
  <c r="P101" i="7"/>
  <c r="O101" i="7"/>
  <c r="N101" i="7"/>
  <c r="M101" i="7"/>
  <c r="J101" i="7"/>
  <c r="I101" i="7"/>
  <c r="H101" i="7"/>
  <c r="G101" i="7"/>
  <c r="F101" i="7"/>
  <c r="E101" i="7" s="1"/>
  <c r="Q100" i="7"/>
  <c r="P100" i="7"/>
  <c r="O100" i="7"/>
  <c r="N100" i="7"/>
  <c r="M100" i="7"/>
  <c r="J100" i="7"/>
  <c r="I100" i="7"/>
  <c r="H100" i="7"/>
  <c r="G100" i="7"/>
  <c r="F100" i="7"/>
  <c r="E100" i="7" s="1"/>
  <c r="Q99" i="7"/>
  <c r="P99" i="7"/>
  <c r="O99" i="7"/>
  <c r="N99" i="7"/>
  <c r="M99" i="7"/>
  <c r="J99" i="7"/>
  <c r="I99" i="7"/>
  <c r="H99" i="7"/>
  <c r="G99" i="7"/>
  <c r="F99" i="7"/>
  <c r="E99" i="7" s="1"/>
  <c r="Q97" i="7"/>
  <c r="P97" i="7"/>
  <c r="O97" i="7"/>
  <c r="N97" i="7"/>
  <c r="M97" i="7"/>
  <c r="J97" i="7"/>
  <c r="I97" i="7"/>
  <c r="H97" i="7"/>
  <c r="G97" i="7"/>
  <c r="F97" i="7"/>
  <c r="Q96" i="7"/>
  <c r="P96" i="7"/>
  <c r="O96" i="7"/>
  <c r="N96" i="7"/>
  <c r="M96" i="7"/>
  <c r="J96" i="7"/>
  <c r="I96" i="7"/>
  <c r="H96" i="7"/>
  <c r="G96" i="7"/>
  <c r="F96" i="7"/>
  <c r="Q91" i="7"/>
  <c r="P91" i="7"/>
  <c r="O91" i="7"/>
  <c r="N91" i="7"/>
  <c r="M91" i="7"/>
  <c r="J91" i="7"/>
  <c r="I91" i="7"/>
  <c r="H91" i="7"/>
  <c r="G91" i="7"/>
  <c r="F91" i="7"/>
  <c r="Q79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D8" i="7"/>
  <c r="C8" i="7"/>
  <c r="B8" i="7"/>
  <c r="E97" i="7" l="1"/>
  <c r="E118" i="7"/>
  <c r="E111" i="7"/>
  <c r="E110" i="7"/>
  <c r="E108" i="7"/>
  <c r="E96" i="7"/>
  <c r="E91" i="7"/>
  <c r="D9" i="7"/>
  <c r="J1" i="3"/>
  <c r="D11" i="6"/>
  <c r="D10" i="7"/>
  <c r="G1" i="2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E10" i="6" l="1"/>
  <c r="E18" i="6"/>
  <c r="E24" i="6"/>
  <c r="E30" i="6"/>
  <c r="E36" i="6"/>
  <c r="E42" i="6"/>
  <c r="E46" i="6"/>
  <c r="E50" i="6"/>
  <c r="E54" i="6"/>
  <c r="E58" i="6"/>
  <c r="O24" i="7"/>
  <c r="O46" i="7"/>
  <c r="E8" i="6"/>
  <c r="E12" i="6"/>
  <c r="E16" i="6"/>
  <c r="E20" i="6"/>
  <c r="E26" i="6"/>
  <c r="E32" i="6"/>
  <c r="E34" i="6"/>
  <c r="E40" i="6"/>
  <c r="E44" i="6"/>
  <c r="E52" i="6"/>
  <c r="O26" i="7"/>
  <c r="E9" i="6"/>
  <c r="E11" i="6"/>
  <c r="E13" i="6"/>
  <c r="E15" i="6"/>
  <c r="E17" i="6"/>
  <c r="E19" i="6"/>
  <c r="E21" i="6"/>
  <c r="E23" i="6"/>
  <c r="E25" i="6"/>
  <c r="E27" i="6"/>
  <c r="E29" i="6"/>
  <c r="E31" i="6"/>
  <c r="E33" i="6"/>
  <c r="E35" i="6"/>
  <c r="E37" i="6"/>
  <c r="E39" i="6"/>
  <c r="E41" i="6"/>
  <c r="E43" i="6"/>
  <c r="E45" i="6"/>
  <c r="E47" i="6"/>
  <c r="E49" i="6"/>
  <c r="E51" i="6"/>
  <c r="E53" i="6"/>
  <c r="E55" i="6"/>
  <c r="E57" i="6"/>
  <c r="E59" i="6"/>
  <c r="O53" i="7"/>
  <c r="E14" i="6"/>
  <c r="E22" i="6"/>
  <c r="E28" i="6"/>
  <c r="E38" i="6"/>
  <c r="E48" i="6"/>
  <c r="E56" i="6"/>
  <c r="K1" i="3"/>
  <c r="L1" i="3" s="1"/>
  <c r="H1" i="2"/>
  <c r="D12" i="6"/>
  <c r="D11" i="7"/>
  <c r="F50" i="5"/>
  <c r="F10" i="8" s="1"/>
  <c r="F17" i="5"/>
  <c r="F9" i="8" s="1"/>
  <c r="F13" i="5"/>
  <c r="F151" i="3"/>
  <c r="F23" i="8" s="1"/>
  <c r="F146" i="3"/>
  <c r="F15" i="8" s="1"/>
  <c r="F137" i="3"/>
  <c r="F14" i="8" s="1"/>
  <c r="F37" i="4"/>
  <c r="F39" i="4" s="1"/>
  <c r="F29" i="4"/>
  <c r="F25" i="4"/>
  <c r="F21" i="4"/>
  <c r="F17" i="4"/>
  <c r="F13" i="4"/>
  <c r="F106" i="3"/>
  <c r="F102" i="3"/>
  <c r="F89" i="3"/>
  <c r="F76" i="3"/>
  <c r="F65" i="3"/>
  <c r="F57" i="3"/>
  <c r="F29" i="3"/>
  <c r="F153" i="2"/>
  <c r="F33" i="8" s="1"/>
  <c r="F130" i="2"/>
  <c r="F32" i="8" s="1"/>
  <c r="F121" i="2"/>
  <c r="F116" i="2"/>
  <c r="F92" i="2"/>
  <c r="F86" i="2"/>
  <c r="F80" i="2"/>
  <c r="F70" i="2"/>
  <c r="F15" i="2"/>
  <c r="O38" i="7" l="1"/>
  <c r="L38" i="7"/>
  <c r="K38" i="7"/>
  <c r="J14" i="7"/>
  <c r="L14" i="7"/>
  <c r="K14" i="7"/>
  <c r="O55" i="7"/>
  <c r="K55" i="7"/>
  <c r="L55" i="7"/>
  <c r="O47" i="7"/>
  <c r="K47" i="7"/>
  <c r="L47" i="7"/>
  <c r="O39" i="7"/>
  <c r="K39" i="7"/>
  <c r="L39" i="7"/>
  <c r="O31" i="7"/>
  <c r="K31" i="7"/>
  <c r="L31" i="7"/>
  <c r="K23" i="7"/>
  <c r="L26" i="5" s="1"/>
  <c r="L23" i="7"/>
  <c r="M26" i="5" s="1"/>
  <c r="K15" i="7"/>
  <c r="L15" i="7"/>
  <c r="O34" i="7"/>
  <c r="L34" i="7"/>
  <c r="K34" i="7"/>
  <c r="O16" i="7"/>
  <c r="L16" i="7"/>
  <c r="K16" i="7"/>
  <c r="J50" i="7"/>
  <c r="L50" i="7"/>
  <c r="K50" i="7"/>
  <c r="J30" i="7"/>
  <c r="L30" i="7"/>
  <c r="K30" i="7"/>
  <c r="M1" i="3"/>
  <c r="L39" i="3"/>
  <c r="L34" i="3"/>
  <c r="L25" i="3"/>
  <c r="L19" i="3"/>
  <c r="L16" i="3"/>
  <c r="L38" i="3"/>
  <c r="L142" i="3"/>
  <c r="L86" i="3"/>
  <c r="J38" i="7"/>
  <c r="K53" i="7"/>
  <c r="L53" i="7"/>
  <c r="O45" i="7"/>
  <c r="K45" i="7"/>
  <c r="L45" i="7"/>
  <c r="L37" i="7"/>
  <c r="K37" i="7"/>
  <c r="K29" i="7"/>
  <c r="L29" i="7"/>
  <c r="L21" i="7"/>
  <c r="M21" i="5" s="1"/>
  <c r="K21" i="7"/>
  <c r="L21" i="5" s="1"/>
  <c r="L13" i="7"/>
  <c r="K13" i="7"/>
  <c r="L52" i="7"/>
  <c r="K52" i="7"/>
  <c r="L32" i="7"/>
  <c r="K32" i="7"/>
  <c r="L12" i="7"/>
  <c r="K12" i="7"/>
  <c r="J46" i="7"/>
  <c r="L46" i="7"/>
  <c r="M45" i="5" s="1"/>
  <c r="K46" i="7"/>
  <c r="L45" i="5" s="1"/>
  <c r="J24" i="7"/>
  <c r="K27" i="5" s="1"/>
  <c r="L24" i="7"/>
  <c r="M27" i="5" s="1"/>
  <c r="K24" i="7"/>
  <c r="L27" i="5" s="1"/>
  <c r="O56" i="7"/>
  <c r="L56" i="7"/>
  <c r="M34" i="5" s="1"/>
  <c r="K56" i="7"/>
  <c r="L34" i="5" s="1"/>
  <c r="J28" i="7"/>
  <c r="L28" i="7"/>
  <c r="K28" i="7"/>
  <c r="K59" i="7"/>
  <c r="L145" i="3" s="1"/>
  <c r="L59" i="7"/>
  <c r="K51" i="7"/>
  <c r="L51" i="7"/>
  <c r="L43" i="7"/>
  <c r="K43" i="7"/>
  <c r="L35" i="7"/>
  <c r="K35" i="7"/>
  <c r="L27" i="7"/>
  <c r="K27" i="7"/>
  <c r="O19" i="7"/>
  <c r="L19" i="7"/>
  <c r="K19" i="7"/>
  <c r="O11" i="7"/>
  <c r="L11" i="7"/>
  <c r="K11" i="7"/>
  <c r="L61" i="3" s="1"/>
  <c r="L44" i="7"/>
  <c r="M43" i="5" s="1"/>
  <c r="K44" i="7"/>
  <c r="L43" i="5" s="1"/>
  <c r="L26" i="7"/>
  <c r="K26" i="7"/>
  <c r="L101" i="3" s="1"/>
  <c r="O8" i="7"/>
  <c r="L8" i="7"/>
  <c r="M28" i="4" s="1"/>
  <c r="M29" i="4" s="1"/>
  <c r="K8" i="7"/>
  <c r="L28" i="4" s="1"/>
  <c r="L29" i="4" s="1"/>
  <c r="L58" i="7"/>
  <c r="K58" i="7"/>
  <c r="O42" i="7"/>
  <c r="L42" i="7"/>
  <c r="K42" i="7"/>
  <c r="J18" i="7"/>
  <c r="L18" i="7"/>
  <c r="K18" i="7"/>
  <c r="J48" i="7"/>
  <c r="L48" i="7"/>
  <c r="K48" i="7"/>
  <c r="J22" i="7"/>
  <c r="K23" i="5" s="1"/>
  <c r="L22" i="7"/>
  <c r="M23" i="5" s="1"/>
  <c r="K22" i="7"/>
  <c r="L23" i="5" s="1"/>
  <c r="O57" i="7"/>
  <c r="K57" i="7"/>
  <c r="L57" i="7"/>
  <c r="O49" i="7"/>
  <c r="K49" i="7"/>
  <c r="L49" i="7"/>
  <c r="O41" i="7"/>
  <c r="L41" i="7"/>
  <c r="K41" i="7"/>
  <c r="O33" i="7"/>
  <c r="L33" i="7"/>
  <c r="K33" i="7"/>
  <c r="L33" i="3" s="1"/>
  <c r="O25" i="7"/>
  <c r="L25" i="7"/>
  <c r="M47" i="8" s="1"/>
  <c r="K25" i="7"/>
  <c r="L47" i="8" s="1"/>
  <c r="O17" i="7"/>
  <c r="L17" i="7"/>
  <c r="M28" i="5" s="1"/>
  <c r="K17" i="7"/>
  <c r="L28" i="5" s="1"/>
  <c r="L9" i="7"/>
  <c r="K9" i="7"/>
  <c r="L40" i="7"/>
  <c r="K40" i="7"/>
  <c r="L20" i="7"/>
  <c r="M20" i="5" s="1"/>
  <c r="K20" i="7"/>
  <c r="L20" i="5" s="1"/>
  <c r="O50" i="7"/>
  <c r="J54" i="7"/>
  <c r="L54" i="7"/>
  <c r="K54" i="7"/>
  <c r="L36" i="7"/>
  <c r="K36" i="7"/>
  <c r="J10" i="7"/>
  <c r="K62" i="3" s="1"/>
  <c r="L10" i="7"/>
  <c r="K10" i="7"/>
  <c r="L62" i="3" s="1"/>
  <c r="J36" i="7"/>
  <c r="O58" i="7"/>
  <c r="E114" i="6"/>
  <c r="P49" i="5"/>
  <c r="O36" i="7"/>
  <c r="J56" i="7"/>
  <c r="K34" i="5" s="1"/>
  <c r="O18" i="7"/>
  <c r="O30" i="7"/>
  <c r="J58" i="7"/>
  <c r="J42" i="7"/>
  <c r="O54" i="7"/>
  <c r="O10" i="7"/>
  <c r="P59" i="7"/>
  <c r="H59" i="7"/>
  <c r="M59" i="7"/>
  <c r="F59" i="7"/>
  <c r="I59" i="7"/>
  <c r="N59" i="7"/>
  <c r="Q59" i="7"/>
  <c r="G59" i="7"/>
  <c r="P39" i="7"/>
  <c r="H39" i="7"/>
  <c r="N39" i="7"/>
  <c r="M39" i="7"/>
  <c r="F39" i="7"/>
  <c r="I39" i="7"/>
  <c r="G39" i="7"/>
  <c r="Q39" i="7"/>
  <c r="P23" i="7"/>
  <c r="Q26" i="5" s="1"/>
  <c r="H23" i="7"/>
  <c r="I26" i="5" s="1"/>
  <c r="N23" i="7"/>
  <c r="O26" i="5" s="1"/>
  <c r="M23" i="7"/>
  <c r="N26" i="5" s="1"/>
  <c r="F23" i="7"/>
  <c r="I23" i="7"/>
  <c r="J26" i="5" s="1"/>
  <c r="G23" i="7"/>
  <c r="H26" i="5" s="1"/>
  <c r="Q23" i="7"/>
  <c r="R26" i="5" s="1"/>
  <c r="P26" i="7"/>
  <c r="H26" i="7"/>
  <c r="N26" i="7"/>
  <c r="M26" i="7"/>
  <c r="F26" i="7"/>
  <c r="Q26" i="7"/>
  <c r="I26" i="7"/>
  <c r="G26" i="7"/>
  <c r="H53" i="2" s="1"/>
  <c r="P57" i="7"/>
  <c r="H57" i="7"/>
  <c r="N57" i="7"/>
  <c r="M57" i="7"/>
  <c r="F57" i="7"/>
  <c r="Q57" i="7"/>
  <c r="I57" i="7"/>
  <c r="G57" i="7"/>
  <c r="P53" i="7"/>
  <c r="H53" i="7"/>
  <c r="M53" i="7"/>
  <c r="F53" i="7"/>
  <c r="I53" i="7"/>
  <c r="N53" i="7"/>
  <c r="Q53" i="7"/>
  <c r="G53" i="7"/>
  <c r="P49" i="7"/>
  <c r="H49" i="7"/>
  <c r="G49" i="7"/>
  <c r="H96" i="2" s="1"/>
  <c r="N49" i="7"/>
  <c r="M49" i="7"/>
  <c r="F49" i="7"/>
  <c r="G96" i="2" s="1"/>
  <c r="Q49" i="7"/>
  <c r="I49" i="7"/>
  <c r="P45" i="7"/>
  <c r="H45" i="7"/>
  <c r="G45" i="7"/>
  <c r="H39" i="2" s="1"/>
  <c r="M45" i="7"/>
  <c r="F45" i="7"/>
  <c r="I45" i="7"/>
  <c r="N45" i="7"/>
  <c r="Q45" i="7"/>
  <c r="P41" i="7"/>
  <c r="H41" i="7"/>
  <c r="G41" i="7"/>
  <c r="M41" i="7"/>
  <c r="F41" i="7"/>
  <c r="I41" i="7"/>
  <c r="N41" i="7"/>
  <c r="Q41" i="7"/>
  <c r="R40" i="5" s="1"/>
  <c r="P37" i="7"/>
  <c r="H37" i="7"/>
  <c r="N37" i="7"/>
  <c r="M37" i="7"/>
  <c r="F37" i="7"/>
  <c r="I37" i="7"/>
  <c r="G37" i="7"/>
  <c r="Q37" i="7"/>
  <c r="P33" i="7"/>
  <c r="H33" i="7"/>
  <c r="N33" i="7"/>
  <c r="M33" i="7"/>
  <c r="F33" i="7"/>
  <c r="Q33" i="7"/>
  <c r="G33" i="7"/>
  <c r="I33" i="7"/>
  <c r="P29" i="7"/>
  <c r="H29" i="7"/>
  <c r="N29" i="7"/>
  <c r="M29" i="7"/>
  <c r="F29" i="7"/>
  <c r="I29" i="7"/>
  <c r="G29" i="7"/>
  <c r="Q29" i="7"/>
  <c r="P25" i="7"/>
  <c r="H25" i="7"/>
  <c r="I63" i="3" s="1"/>
  <c r="N25" i="7"/>
  <c r="M25" i="7"/>
  <c r="F25" i="7"/>
  <c r="Q25" i="7"/>
  <c r="I25" i="7"/>
  <c r="J63" i="3" s="1"/>
  <c r="G25" i="7"/>
  <c r="H63" i="3" s="1"/>
  <c r="P21" i="7"/>
  <c r="Q21" i="5" s="1"/>
  <c r="H21" i="7"/>
  <c r="I21" i="5" s="1"/>
  <c r="G21" i="7"/>
  <c r="H21" i="5" s="1"/>
  <c r="M21" i="7"/>
  <c r="F21" i="7"/>
  <c r="I21" i="7"/>
  <c r="J21" i="5" s="1"/>
  <c r="N21" i="7"/>
  <c r="O21" i="5" s="1"/>
  <c r="Q21" i="7"/>
  <c r="R21" i="5" s="1"/>
  <c r="P17" i="7"/>
  <c r="Q28" i="5" s="1"/>
  <c r="H17" i="7"/>
  <c r="I28" i="5" s="1"/>
  <c r="G17" i="7"/>
  <c r="H28" i="5" s="1"/>
  <c r="M17" i="7"/>
  <c r="N28" i="5" s="1"/>
  <c r="F17" i="7"/>
  <c r="Q17" i="7"/>
  <c r="R28" i="5" s="1"/>
  <c r="I17" i="7"/>
  <c r="J28" i="5" s="1"/>
  <c r="N17" i="7"/>
  <c r="O28" i="5" s="1"/>
  <c r="P13" i="7"/>
  <c r="H13" i="7"/>
  <c r="G13" i="7"/>
  <c r="H30" i="2" s="1"/>
  <c r="M13" i="7"/>
  <c r="F13" i="7"/>
  <c r="Q13" i="7"/>
  <c r="N13" i="7"/>
  <c r="I13" i="7"/>
  <c r="P9" i="7"/>
  <c r="H9" i="7"/>
  <c r="M9" i="7"/>
  <c r="F9" i="7"/>
  <c r="Q9" i="7"/>
  <c r="G9" i="7"/>
  <c r="I9" i="7"/>
  <c r="N9" i="7"/>
  <c r="P52" i="7"/>
  <c r="H52" i="7"/>
  <c r="N52" i="7"/>
  <c r="G52" i="7"/>
  <c r="H42" i="2" s="1"/>
  <c r="M52" i="7"/>
  <c r="F52" i="7"/>
  <c r="I52" i="7"/>
  <c r="Q52" i="7"/>
  <c r="P40" i="7"/>
  <c r="H40" i="7"/>
  <c r="N40" i="7"/>
  <c r="M40" i="7"/>
  <c r="F40" i="7"/>
  <c r="I40" i="7"/>
  <c r="Q40" i="7"/>
  <c r="G40" i="7"/>
  <c r="P32" i="7"/>
  <c r="H32" i="7"/>
  <c r="N32" i="7"/>
  <c r="M32" i="7"/>
  <c r="F32" i="7"/>
  <c r="Q32" i="7"/>
  <c r="I32" i="7"/>
  <c r="G32" i="7"/>
  <c r="H110" i="2" s="1"/>
  <c r="P20" i="7"/>
  <c r="Q20" i="5" s="1"/>
  <c r="H20" i="7"/>
  <c r="I20" i="5" s="1"/>
  <c r="G20" i="7"/>
  <c r="H20" i="5" s="1"/>
  <c r="M20" i="7"/>
  <c r="F20" i="7"/>
  <c r="I20" i="7"/>
  <c r="J20" i="5" s="1"/>
  <c r="Q20" i="7"/>
  <c r="R20" i="5" s="1"/>
  <c r="N20" i="7"/>
  <c r="O20" i="5" s="1"/>
  <c r="P12" i="7"/>
  <c r="H12" i="7"/>
  <c r="N12" i="7"/>
  <c r="M12" i="7"/>
  <c r="F12" i="7"/>
  <c r="Q12" i="7"/>
  <c r="I12" i="7"/>
  <c r="G12" i="7"/>
  <c r="O29" i="7"/>
  <c r="O37" i="7"/>
  <c r="P51" i="7"/>
  <c r="H51" i="7"/>
  <c r="M51" i="7"/>
  <c r="F51" i="7"/>
  <c r="Q51" i="7"/>
  <c r="N51" i="7"/>
  <c r="I51" i="7"/>
  <c r="G51" i="7"/>
  <c r="H101" i="2" s="1"/>
  <c r="P35" i="7"/>
  <c r="H35" i="7"/>
  <c r="N35" i="7"/>
  <c r="M35" i="7"/>
  <c r="F35" i="7"/>
  <c r="I35" i="7"/>
  <c r="G35" i="7"/>
  <c r="Q35" i="7"/>
  <c r="P15" i="7"/>
  <c r="H15" i="7"/>
  <c r="G15" i="7"/>
  <c r="M15" i="7"/>
  <c r="F15" i="7"/>
  <c r="Q15" i="7"/>
  <c r="N15" i="7"/>
  <c r="I15" i="7"/>
  <c r="P44" i="7"/>
  <c r="H44" i="7"/>
  <c r="I43" i="5" s="1"/>
  <c r="G44" i="7"/>
  <c r="H43" i="5" s="1"/>
  <c r="M44" i="7"/>
  <c r="F44" i="7"/>
  <c r="Q44" i="7"/>
  <c r="R43" i="5" s="1"/>
  <c r="I44" i="7"/>
  <c r="N44" i="7"/>
  <c r="O23" i="7"/>
  <c r="P48" i="7"/>
  <c r="H48" i="7"/>
  <c r="M48" i="7"/>
  <c r="F48" i="7"/>
  <c r="Q48" i="7"/>
  <c r="I48" i="7"/>
  <c r="G48" i="7"/>
  <c r="H50" i="2" s="1"/>
  <c r="N48" i="7"/>
  <c r="P28" i="7"/>
  <c r="H28" i="7"/>
  <c r="N28" i="7"/>
  <c r="M28" i="7"/>
  <c r="F28" i="7"/>
  <c r="I28" i="7"/>
  <c r="Q28" i="7"/>
  <c r="G28" i="7"/>
  <c r="H109" i="2" s="1"/>
  <c r="P14" i="7"/>
  <c r="H14" i="7"/>
  <c r="N14" i="7"/>
  <c r="M14" i="7"/>
  <c r="F14" i="7"/>
  <c r="Q14" i="7"/>
  <c r="I14" i="7"/>
  <c r="G14" i="7"/>
  <c r="J57" i="7"/>
  <c r="J53" i="7"/>
  <c r="J49" i="7"/>
  <c r="J45" i="7"/>
  <c r="J41" i="7"/>
  <c r="K40" i="5" s="1"/>
  <c r="J37" i="7"/>
  <c r="J33" i="7"/>
  <c r="J29" i="7"/>
  <c r="J25" i="7"/>
  <c r="K63" i="3" s="1"/>
  <c r="J21" i="7"/>
  <c r="K21" i="5" s="1"/>
  <c r="J17" i="7"/>
  <c r="K28" i="5" s="1"/>
  <c r="J13" i="7"/>
  <c r="J9" i="7"/>
  <c r="O14" i="7"/>
  <c r="J52" i="7"/>
  <c r="J40" i="7"/>
  <c r="J32" i="7"/>
  <c r="J20" i="7"/>
  <c r="K20" i="5" s="1"/>
  <c r="J12" i="7"/>
  <c r="O51" i="7"/>
  <c r="O21" i="7"/>
  <c r="P21" i="5" s="1"/>
  <c r="O48" i="7"/>
  <c r="O40" i="7"/>
  <c r="O32" i="7"/>
  <c r="O20" i="7"/>
  <c r="P20" i="5" s="1"/>
  <c r="P58" i="7"/>
  <c r="H58" i="7"/>
  <c r="N58" i="7"/>
  <c r="M58" i="7"/>
  <c r="F58" i="7"/>
  <c r="I58" i="7"/>
  <c r="G58" i="7"/>
  <c r="Q58" i="7"/>
  <c r="P50" i="7"/>
  <c r="Q49" i="5" s="1"/>
  <c r="H50" i="7"/>
  <c r="I49" i="5" s="1"/>
  <c r="N50" i="7"/>
  <c r="M50" i="7"/>
  <c r="F50" i="7"/>
  <c r="Q50" i="7"/>
  <c r="R49" i="5" s="1"/>
  <c r="G50" i="7"/>
  <c r="H49" i="5" s="1"/>
  <c r="I50" i="7"/>
  <c r="J49" i="5" s="1"/>
  <c r="P42" i="7"/>
  <c r="H42" i="7"/>
  <c r="N42" i="7"/>
  <c r="M42" i="7"/>
  <c r="F42" i="7"/>
  <c r="Q42" i="7"/>
  <c r="I42" i="7"/>
  <c r="G42" i="7"/>
  <c r="P30" i="7"/>
  <c r="H30" i="7"/>
  <c r="N30" i="7"/>
  <c r="M30" i="7"/>
  <c r="F30" i="7"/>
  <c r="I30" i="7"/>
  <c r="Q30" i="7"/>
  <c r="G30" i="7"/>
  <c r="P18" i="7"/>
  <c r="H18" i="7"/>
  <c r="N18" i="7"/>
  <c r="M18" i="7"/>
  <c r="F18" i="7"/>
  <c r="Q18" i="7"/>
  <c r="I18" i="7"/>
  <c r="G18" i="7"/>
  <c r="O59" i="7"/>
  <c r="P47" i="7"/>
  <c r="H47" i="7"/>
  <c r="N47" i="7"/>
  <c r="M47" i="7"/>
  <c r="F47" i="7"/>
  <c r="I47" i="7"/>
  <c r="Q47" i="7"/>
  <c r="G47" i="7"/>
  <c r="P27" i="7"/>
  <c r="H27" i="7"/>
  <c r="N27" i="7"/>
  <c r="M27" i="7"/>
  <c r="F27" i="7"/>
  <c r="I27" i="7"/>
  <c r="G27" i="7"/>
  <c r="H111" i="2" s="1"/>
  <c r="Q27" i="7"/>
  <c r="P11" i="7"/>
  <c r="H11" i="7"/>
  <c r="I61" i="3" s="1"/>
  <c r="N11" i="7"/>
  <c r="M11" i="7"/>
  <c r="F11" i="7"/>
  <c r="Q11" i="7"/>
  <c r="I11" i="7"/>
  <c r="J61" i="3" s="1"/>
  <c r="G11" i="7"/>
  <c r="H61" i="3" s="1"/>
  <c r="P16" i="7"/>
  <c r="H16" i="7"/>
  <c r="N16" i="7"/>
  <c r="M16" i="7"/>
  <c r="F16" i="7"/>
  <c r="I16" i="7"/>
  <c r="Q16" i="7"/>
  <c r="G16" i="7"/>
  <c r="H139" i="2" s="1"/>
  <c r="P8" i="7"/>
  <c r="Q28" i="4" s="1"/>
  <c r="Q29" i="4" s="1"/>
  <c r="H8" i="7"/>
  <c r="G8" i="7"/>
  <c r="N8" i="7"/>
  <c r="O28" i="4" s="1"/>
  <c r="O29" i="4" s="1"/>
  <c r="M8" i="7"/>
  <c r="N28" i="4" s="1"/>
  <c r="N29" i="4" s="1"/>
  <c r="F8" i="7"/>
  <c r="Q8" i="7"/>
  <c r="R28" i="4" s="1"/>
  <c r="R29" i="4" s="1"/>
  <c r="I8" i="7"/>
  <c r="P55" i="7"/>
  <c r="H55" i="7"/>
  <c r="N55" i="7"/>
  <c r="M55" i="7"/>
  <c r="F55" i="7"/>
  <c r="Q55" i="7"/>
  <c r="I55" i="7"/>
  <c r="G55" i="7"/>
  <c r="P43" i="7"/>
  <c r="H43" i="7"/>
  <c r="G43" i="7"/>
  <c r="H42" i="5" s="1"/>
  <c r="M43" i="7"/>
  <c r="F43" i="7"/>
  <c r="Q43" i="7"/>
  <c r="N43" i="7"/>
  <c r="I43" i="7"/>
  <c r="J42" i="5" s="1"/>
  <c r="P31" i="7"/>
  <c r="H31" i="7"/>
  <c r="G31" i="7"/>
  <c r="H112" i="2" s="1"/>
  <c r="M31" i="7"/>
  <c r="F31" i="7"/>
  <c r="I31" i="7"/>
  <c r="N31" i="7"/>
  <c r="Q31" i="7"/>
  <c r="P19" i="7"/>
  <c r="H19" i="7"/>
  <c r="G19" i="7"/>
  <c r="H114" i="2" s="1"/>
  <c r="M19" i="7"/>
  <c r="F19" i="7"/>
  <c r="Q19" i="7"/>
  <c r="N19" i="7"/>
  <c r="I19" i="7"/>
  <c r="P34" i="7"/>
  <c r="H34" i="7"/>
  <c r="N34" i="7"/>
  <c r="M34" i="7"/>
  <c r="F34" i="7"/>
  <c r="Q34" i="7"/>
  <c r="I34" i="7"/>
  <c r="G34" i="7"/>
  <c r="H31" i="2" s="1"/>
  <c r="O15" i="7"/>
  <c r="T13" i="5"/>
  <c r="F8" i="8"/>
  <c r="P56" i="7"/>
  <c r="Q34" i="5" s="1"/>
  <c r="H56" i="7"/>
  <c r="I34" i="5" s="1"/>
  <c r="N56" i="7"/>
  <c r="M56" i="7"/>
  <c r="N34" i="5" s="1"/>
  <c r="F56" i="7"/>
  <c r="Q56" i="7"/>
  <c r="R34" i="5" s="1"/>
  <c r="G56" i="7"/>
  <c r="H34" i="5" s="1"/>
  <c r="I56" i="7"/>
  <c r="J34" i="5" s="1"/>
  <c r="P38" i="7"/>
  <c r="H38" i="7"/>
  <c r="G38" i="7"/>
  <c r="M38" i="7"/>
  <c r="F38" i="7"/>
  <c r="I38" i="7"/>
  <c r="Q38" i="7"/>
  <c r="N38" i="7"/>
  <c r="P22" i="7"/>
  <c r="Q23" i="5" s="1"/>
  <c r="H22" i="7"/>
  <c r="I23" i="5" s="1"/>
  <c r="G22" i="7"/>
  <c r="H23" i="5" s="1"/>
  <c r="M22" i="7"/>
  <c r="F22" i="7"/>
  <c r="I22" i="7"/>
  <c r="J23" i="5" s="1"/>
  <c r="Q22" i="7"/>
  <c r="R23" i="5" s="1"/>
  <c r="N22" i="7"/>
  <c r="O27" i="7"/>
  <c r="J59" i="7"/>
  <c r="K144" i="3" s="1"/>
  <c r="J55" i="7"/>
  <c r="J51" i="7"/>
  <c r="J47" i="7"/>
  <c r="J43" i="7"/>
  <c r="K42" i="5" s="1"/>
  <c r="J39" i="7"/>
  <c r="J35" i="7"/>
  <c r="J31" i="7"/>
  <c r="J27" i="7"/>
  <c r="J23" i="7"/>
  <c r="K26" i="5" s="1"/>
  <c r="J19" i="7"/>
  <c r="K18" i="3" s="1"/>
  <c r="J15" i="7"/>
  <c r="J11" i="7"/>
  <c r="K61" i="3" s="1"/>
  <c r="O22" i="7"/>
  <c r="P23" i="5" s="1"/>
  <c r="J44" i="7"/>
  <c r="J34" i="7"/>
  <c r="J26" i="7"/>
  <c r="K101" i="3" s="1"/>
  <c r="J16" i="7"/>
  <c r="J8" i="7"/>
  <c r="K28" i="4" s="1"/>
  <c r="K29" i="4" s="1"/>
  <c r="O35" i="7"/>
  <c r="O9" i="7"/>
  <c r="O52" i="7"/>
  <c r="O44" i="7"/>
  <c r="O28" i="7"/>
  <c r="O12" i="7"/>
  <c r="P54" i="7"/>
  <c r="H54" i="7"/>
  <c r="G54" i="7"/>
  <c r="H107" i="2" s="1"/>
  <c r="N54" i="7"/>
  <c r="M54" i="7"/>
  <c r="F54" i="7"/>
  <c r="Q54" i="7"/>
  <c r="I54" i="7"/>
  <c r="P46" i="7"/>
  <c r="H46" i="7"/>
  <c r="G46" i="7"/>
  <c r="H45" i="5" s="1"/>
  <c r="N46" i="7"/>
  <c r="O45" i="5" s="1"/>
  <c r="M46" i="7"/>
  <c r="F46" i="7"/>
  <c r="I46" i="7"/>
  <c r="Q46" i="7"/>
  <c r="R45" i="5" s="1"/>
  <c r="P36" i="7"/>
  <c r="H36" i="7"/>
  <c r="N36" i="7"/>
  <c r="M36" i="7"/>
  <c r="F36" i="7"/>
  <c r="I36" i="7"/>
  <c r="Q36" i="7"/>
  <c r="G36" i="7"/>
  <c r="H27" i="2" s="1"/>
  <c r="P24" i="7"/>
  <c r="Q27" i="5" s="1"/>
  <c r="H24" i="7"/>
  <c r="I27" i="5" s="1"/>
  <c r="G24" i="7"/>
  <c r="H27" i="5" s="1"/>
  <c r="M24" i="7"/>
  <c r="N27" i="5" s="1"/>
  <c r="F24" i="7"/>
  <c r="I24" i="7"/>
  <c r="J27" i="5" s="1"/>
  <c r="Q24" i="7"/>
  <c r="R27" i="5" s="1"/>
  <c r="N24" i="7"/>
  <c r="O27" i="5" s="1"/>
  <c r="P10" i="7"/>
  <c r="H10" i="7"/>
  <c r="I62" i="3" s="1"/>
  <c r="G10" i="7"/>
  <c r="H62" i="3" s="1"/>
  <c r="N10" i="7"/>
  <c r="M10" i="7"/>
  <c r="F10" i="7"/>
  <c r="I10" i="7"/>
  <c r="J62" i="3" s="1"/>
  <c r="Q10" i="7"/>
  <c r="O43" i="7"/>
  <c r="O13" i="7"/>
  <c r="D13" i="6"/>
  <c r="D12" i="7"/>
  <c r="I1" i="2"/>
  <c r="F123" i="2"/>
  <c r="F29" i="8" s="1"/>
  <c r="F51" i="5"/>
  <c r="F31" i="4"/>
  <c r="F42" i="4" s="1"/>
  <c r="F108" i="3"/>
  <c r="F91" i="3"/>
  <c r="F72" i="2"/>
  <c r="F28" i="8" s="1"/>
  <c r="F155" i="2"/>
  <c r="J40" i="5" l="1"/>
  <c r="I40" i="5"/>
  <c r="L63" i="3"/>
  <c r="K49" i="5"/>
  <c r="J45" i="5"/>
  <c r="J43" i="5"/>
  <c r="Q40" i="5"/>
  <c r="L15" i="3"/>
  <c r="I45" i="5"/>
  <c r="K43" i="5"/>
  <c r="N49" i="5"/>
  <c r="N40" i="5"/>
  <c r="L40" i="5"/>
  <c r="L42" i="5"/>
  <c r="L49" i="5"/>
  <c r="N45" i="5"/>
  <c r="Q45" i="5"/>
  <c r="K15" i="3"/>
  <c r="R42" i="5"/>
  <c r="I42" i="5"/>
  <c r="O49" i="5"/>
  <c r="Q43" i="5"/>
  <c r="O40" i="5"/>
  <c r="H40" i="5"/>
  <c r="M40" i="5"/>
  <c r="L18" i="3"/>
  <c r="M42" i="5"/>
  <c r="K45" i="5"/>
  <c r="M49" i="5"/>
  <c r="L70" i="3"/>
  <c r="L64" i="3"/>
  <c r="L73" i="3"/>
  <c r="H51" i="2"/>
  <c r="L35" i="3"/>
  <c r="K71" i="3"/>
  <c r="L114" i="7"/>
  <c r="K114" i="7"/>
  <c r="L22" i="5"/>
  <c r="L24" i="5"/>
  <c r="L25" i="5"/>
  <c r="L29" i="5"/>
  <c r="L144" i="3"/>
  <c r="M25" i="5"/>
  <c r="M24" i="5"/>
  <c r="M22" i="5"/>
  <c r="M29" i="5"/>
  <c r="N1" i="3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M144" i="3"/>
  <c r="M73" i="3"/>
  <c r="M70" i="3"/>
  <c r="M63" i="3"/>
  <c r="M61" i="3"/>
  <c r="M52" i="3"/>
  <c r="M38" i="3"/>
  <c r="M33" i="3"/>
  <c r="M24" i="3"/>
  <c r="M18" i="3"/>
  <c r="M15" i="3"/>
  <c r="M145" i="3"/>
  <c r="M71" i="3"/>
  <c r="M62" i="3"/>
  <c r="M39" i="3"/>
  <c r="M40" i="3" s="1"/>
  <c r="M25" i="3"/>
  <c r="M16" i="3"/>
  <c r="M101" i="3"/>
  <c r="M53" i="3"/>
  <c r="M19" i="3"/>
  <c r="M64" i="3"/>
  <c r="M34" i="3"/>
  <c r="M142" i="3"/>
  <c r="M86" i="3"/>
  <c r="K64" i="3"/>
  <c r="J71" i="6" s="1"/>
  <c r="L24" i="3"/>
  <c r="L29" i="3" s="1"/>
  <c r="L40" i="3"/>
  <c r="L71" i="3"/>
  <c r="L52" i="3"/>
  <c r="L53" i="3"/>
  <c r="E116" i="6"/>
  <c r="P114" i="7"/>
  <c r="J114" i="7"/>
  <c r="F114" i="7"/>
  <c r="O114" i="7"/>
  <c r="I114" i="7"/>
  <c r="N114" i="7"/>
  <c r="H114" i="7"/>
  <c r="Q114" i="7"/>
  <c r="M114" i="7"/>
  <c r="G114" i="7"/>
  <c r="H41" i="2"/>
  <c r="H40" i="2"/>
  <c r="G63" i="6" s="1"/>
  <c r="P34" i="5"/>
  <c r="K145" i="3"/>
  <c r="P26" i="5"/>
  <c r="H24" i="2"/>
  <c r="P42" i="5"/>
  <c r="O34" i="5"/>
  <c r="H102" i="2"/>
  <c r="K38" i="3"/>
  <c r="P45" i="5"/>
  <c r="N20" i="5"/>
  <c r="N21" i="5"/>
  <c r="P28" i="4"/>
  <c r="P29" i="4" s="1"/>
  <c r="H35" i="2"/>
  <c r="H18" i="2"/>
  <c r="P27" i="5"/>
  <c r="H49" i="2"/>
  <c r="H44" i="2"/>
  <c r="G64" i="6" s="1"/>
  <c r="P43" i="5"/>
  <c r="O23" i="5"/>
  <c r="N23" i="5"/>
  <c r="H141" i="2"/>
  <c r="O43" i="5"/>
  <c r="N43" i="5"/>
  <c r="P28" i="5"/>
  <c r="P40" i="5"/>
  <c r="K19" i="3"/>
  <c r="K16" i="3"/>
  <c r="K33" i="3"/>
  <c r="K52" i="3"/>
  <c r="E38" i="7"/>
  <c r="F11" i="8"/>
  <c r="T8" i="8"/>
  <c r="H37" i="2"/>
  <c r="H52" i="2"/>
  <c r="H104" i="2"/>
  <c r="H54" i="2"/>
  <c r="K24" i="3"/>
  <c r="K53" i="3"/>
  <c r="K70" i="3"/>
  <c r="H38" i="2"/>
  <c r="H46" i="2"/>
  <c r="K73" i="3"/>
  <c r="H100" i="2"/>
  <c r="H36" i="2"/>
  <c r="H47" i="2"/>
  <c r="H48" i="2"/>
  <c r="H98" i="2"/>
  <c r="P29" i="5"/>
  <c r="P24" i="5"/>
  <c r="P25" i="5"/>
  <c r="P22" i="5"/>
  <c r="H28" i="4"/>
  <c r="H29" i="4" s="1"/>
  <c r="H70" i="3"/>
  <c r="H64" i="3"/>
  <c r="G71" i="6" s="1"/>
  <c r="H71" i="3"/>
  <c r="H73" i="3"/>
  <c r="G101" i="2"/>
  <c r="E51" i="7"/>
  <c r="G41" i="2"/>
  <c r="G100" i="2"/>
  <c r="G40" i="2"/>
  <c r="J22" i="5"/>
  <c r="J29" i="5"/>
  <c r="J25" i="5"/>
  <c r="J24" i="5"/>
  <c r="N24" i="5"/>
  <c r="N22" i="5"/>
  <c r="N29" i="5"/>
  <c r="N25" i="5"/>
  <c r="H15" i="3"/>
  <c r="H38" i="3"/>
  <c r="H24" i="3"/>
  <c r="H18" i="3"/>
  <c r="H33" i="3"/>
  <c r="J52" i="3"/>
  <c r="J101" i="3"/>
  <c r="J53" i="3"/>
  <c r="G23" i="5"/>
  <c r="E22" i="7"/>
  <c r="G34" i="5"/>
  <c r="E56" i="7"/>
  <c r="G64" i="3"/>
  <c r="G28" i="4"/>
  <c r="G70" i="3"/>
  <c r="G71" i="3"/>
  <c r="G73" i="3"/>
  <c r="E8" i="7"/>
  <c r="I28" i="4"/>
  <c r="I29" i="4" s="1"/>
  <c r="I70" i="3"/>
  <c r="I73" i="3"/>
  <c r="I64" i="3"/>
  <c r="H71" i="6" s="1"/>
  <c r="I71" i="3"/>
  <c r="I139" i="2"/>
  <c r="I111" i="2"/>
  <c r="E18" i="7"/>
  <c r="E30" i="7"/>
  <c r="E42" i="7"/>
  <c r="G49" i="5"/>
  <c r="G98" i="2"/>
  <c r="G38" i="2"/>
  <c r="E50" i="7"/>
  <c r="E58" i="7"/>
  <c r="I109" i="2"/>
  <c r="I110" i="2"/>
  <c r="G42" i="2"/>
  <c r="G102" i="2"/>
  <c r="E52" i="7"/>
  <c r="G104" i="2"/>
  <c r="G44" i="2"/>
  <c r="F64" i="6" s="1"/>
  <c r="H22" i="5"/>
  <c r="H29" i="5"/>
  <c r="H25" i="5"/>
  <c r="H24" i="5"/>
  <c r="I24" i="5"/>
  <c r="I22" i="5"/>
  <c r="I29" i="5"/>
  <c r="I25" i="5"/>
  <c r="J33" i="3"/>
  <c r="J24" i="3"/>
  <c r="J18" i="3"/>
  <c r="J38" i="3"/>
  <c r="J15" i="3"/>
  <c r="I38" i="3"/>
  <c r="I33" i="3"/>
  <c r="I18" i="3"/>
  <c r="I24" i="3"/>
  <c r="I15" i="3"/>
  <c r="G36" i="2"/>
  <c r="E49" i="7"/>
  <c r="I96" i="2"/>
  <c r="I113" i="2"/>
  <c r="I53" i="3"/>
  <c r="I101" i="3"/>
  <c r="I52" i="3"/>
  <c r="I144" i="3"/>
  <c r="I145" i="3"/>
  <c r="I16" i="3"/>
  <c r="I19" i="3"/>
  <c r="F30" i="8"/>
  <c r="G62" i="3"/>
  <c r="E10" i="7"/>
  <c r="G45" i="5"/>
  <c r="E46" i="7"/>
  <c r="G107" i="2"/>
  <c r="G47" i="2"/>
  <c r="G106" i="2"/>
  <c r="G46" i="2"/>
  <c r="E54" i="7"/>
  <c r="H106" i="2"/>
  <c r="I114" i="2"/>
  <c r="I112" i="2"/>
  <c r="G139" i="2"/>
  <c r="E16" i="7"/>
  <c r="G61" i="3"/>
  <c r="E11" i="7"/>
  <c r="G111" i="2"/>
  <c r="E27" i="7"/>
  <c r="G51" i="2"/>
  <c r="E47" i="7"/>
  <c r="E14" i="7"/>
  <c r="G109" i="2"/>
  <c r="E28" i="7"/>
  <c r="G48" i="2"/>
  <c r="E12" i="7"/>
  <c r="G20" i="5"/>
  <c r="E20" i="7"/>
  <c r="G110" i="2"/>
  <c r="G49" i="2"/>
  <c r="E32" i="7"/>
  <c r="E40" i="7"/>
  <c r="R22" i="5"/>
  <c r="R29" i="5"/>
  <c r="R25" i="5"/>
  <c r="R24" i="5"/>
  <c r="Q24" i="5"/>
  <c r="Q22" i="5"/>
  <c r="Q29" i="5"/>
  <c r="Q25" i="5"/>
  <c r="E13" i="7"/>
  <c r="G30" i="2"/>
  <c r="G28" i="5"/>
  <c r="E17" i="7"/>
  <c r="G141" i="2"/>
  <c r="G21" i="5"/>
  <c r="E21" i="7"/>
  <c r="G63" i="3"/>
  <c r="E25" i="7"/>
  <c r="E29" i="7"/>
  <c r="E33" i="7"/>
  <c r="G15" i="3"/>
  <c r="G33" i="3"/>
  <c r="G38" i="3"/>
  <c r="G24" i="3"/>
  <c r="G18" i="3"/>
  <c r="E37" i="7"/>
  <c r="G18" i="2"/>
  <c r="G24" i="2"/>
  <c r="G40" i="5"/>
  <c r="E41" i="7"/>
  <c r="E45" i="7"/>
  <c r="G39" i="2"/>
  <c r="F63" i="6" s="1"/>
  <c r="E57" i="7"/>
  <c r="G52" i="3"/>
  <c r="G53" i="3"/>
  <c r="G101" i="3"/>
  <c r="G53" i="2"/>
  <c r="G113" i="2"/>
  <c r="E26" i="7"/>
  <c r="G26" i="5"/>
  <c r="E23" i="7"/>
  <c r="E39" i="7"/>
  <c r="J144" i="3"/>
  <c r="J16" i="3"/>
  <c r="J145" i="3"/>
  <c r="J19" i="3"/>
  <c r="I141" i="2"/>
  <c r="I101" i="2"/>
  <c r="I104" i="2"/>
  <c r="I107" i="2"/>
  <c r="I98" i="2"/>
  <c r="I100" i="2"/>
  <c r="I102" i="2"/>
  <c r="I106" i="2"/>
  <c r="G27" i="5"/>
  <c r="E24" i="7"/>
  <c r="G27" i="2"/>
  <c r="E36" i="7"/>
  <c r="G31" i="2"/>
  <c r="E34" i="7"/>
  <c r="G114" i="2"/>
  <c r="E19" i="7"/>
  <c r="G54" i="2"/>
  <c r="G112" i="2"/>
  <c r="G52" i="2"/>
  <c r="E31" i="7"/>
  <c r="G42" i="5"/>
  <c r="E43" i="7"/>
  <c r="G35" i="2"/>
  <c r="E55" i="7"/>
  <c r="J28" i="4"/>
  <c r="J29" i="4" s="1"/>
  <c r="J70" i="3"/>
  <c r="J64" i="3"/>
  <c r="I71" i="6" s="1"/>
  <c r="J71" i="3"/>
  <c r="J73" i="3"/>
  <c r="K24" i="5"/>
  <c r="K29" i="5"/>
  <c r="K25" i="5"/>
  <c r="K22" i="5"/>
  <c r="G50" i="2"/>
  <c r="E48" i="7"/>
  <c r="G43" i="5"/>
  <c r="E44" i="7"/>
  <c r="G37" i="2"/>
  <c r="E15" i="7"/>
  <c r="E35" i="7"/>
  <c r="O22" i="5"/>
  <c r="O29" i="5"/>
  <c r="O25" i="5"/>
  <c r="O24" i="5"/>
  <c r="G24" i="5"/>
  <c r="G22" i="5"/>
  <c r="G29" i="5"/>
  <c r="G25" i="5"/>
  <c r="E9" i="7"/>
  <c r="E53" i="7"/>
  <c r="H113" i="2"/>
  <c r="H52" i="3"/>
  <c r="H101" i="3"/>
  <c r="H53" i="3"/>
  <c r="H16" i="3"/>
  <c r="H144" i="3"/>
  <c r="H145" i="3"/>
  <c r="H19" i="3"/>
  <c r="G16" i="3"/>
  <c r="G19" i="3"/>
  <c r="G144" i="3"/>
  <c r="G145" i="3"/>
  <c r="E59" i="7"/>
  <c r="N144" i="3"/>
  <c r="N145" i="3"/>
  <c r="N101" i="3"/>
  <c r="N70" i="3"/>
  <c r="N64" i="3"/>
  <c r="N62" i="3"/>
  <c r="N63" i="3"/>
  <c r="N61" i="3"/>
  <c r="N53" i="3"/>
  <c r="N15" i="3"/>
  <c r="N19" i="3"/>
  <c r="N18" i="3"/>
  <c r="N38" i="3"/>
  <c r="N33" i="3"/>
  <c r="N24" i="3"/>
  <c r="I30" i="2"/>
  <c r="I27" i="2"/>
  <c r="I31" i="2"/>
  <c r="I24" i="2"/>
  <c r="I53" i="2"/>
  <c r="I51" i="2"/>
  <c r="I49" i="2"/>
  <c r="I47" i="2"/>
  <c r="I41" i="2"/>
  <c r="I38" i="2"/>
  <c r="I36" i="2"/>
  <c r="I40" i="2"/>
  <c r="I54" i="2"/>
  <c r="I50" i="2"/>
  <c r="I46" i="2"/>
  <c r="I42" i="2"/>
  <c r="I37" i="2"/>
  <c r="I18" i="2"/>
  <c r="I48" i="2"/>
  <c r="I39" i="2"/>
  <c r="H63" i="6" s="1"/>
  <c r="I52" i="2"/>
  <c r="I44" i="2"/>
  <c r="I35" i="2"/>
  <c r="J1" i="2"/>
  <c r="J139" i="2" s="1"/>
  <c r="D14" i="6"/>
  <c r="D13" i="7"/>
  <c r="F111" i="3"/>
  <c r="F13" i="8" s="1"/>
  <c r="F157" i="2"/>
  <c r="L20" i="3" l="1"/>
  <c r="K71" i="6"/>
  <c r="T49" i="5"/>
  <c r="M29" i="3"/>
  <c r="L71" i="6"/>
  <c r="L116" i="7"/>
  <c r="K116" i="7"/>
  <c r="M20" i="3"/>
  <c r="N16" i="3"/>
  <c r="N52" i="3"/>
  <c r="N71" i="3"/>
  <c r="N73" i="3"/>
  <c r="M35" i="3"/>
  <c r="T28" i="5"/>
  <c r="T42" i="5"/>
  <c r="T45" i="5"/>
  <c r="G66" i="6"/>
  <c r="E114" i="7"/>
  <c r="T23" i="5"/>
  <c r="T27" i="5"/>
  <c r="T21" i="5"/>
  <c r="T34" i="5"/>
  <c r="E117" i="6"/>
  <c r="P116" i="7"/>
  <c r="J116" i="7"/>
  <c r="F116" i="7"/>
  <c r="O116" i="7"/>
  <c r="I116" i="7"/>
  <c r="N116" i="7"/>
  <c r="H116" i="7"/>
  <c r="M116" i="7"/>
  <c r="G116" i="7"/>
  <c r="Q116" i="7"/>
  <c r="O120" i="6"/>
  <c r="T43" i="5"/>
  <c r="T40" i="5"/>
  <c r="T26" i="5"/>
  <c r="T20" i="5"/>
  <c r="K20" i="3"/>
  <c r="G62" i="6"/>
  <c r="F16" i="8"/>
  <c r="F35" i="8"/>
  <c r="F43" i="8" s="1"/>
  <c r="G65" i="6"/>
  <c r="G78" i="6"/>
  <c r="F62" i="6"/>
  <c r="T25" i="5"/>
  <c r="F65" i="6"/>
  <c r="T24" i="5"/>
  <c r="J96" i="2"/>
  <c r="T22" i="5"/>
  <c r="G29" i="4"/>
  <c r="T29" i="4" s="1"/>
  <c r="T28" i="4"/>
  <c r="J113" i="2"/>
  <c r="T29" i="5"/>
  <c r="G20" i="3"/>
  <c r="I20" i="3"/>
  <c r="F71" i="6"/>
  <c r="J110" i="2"/>
  <c r="J114" i="2"/>
  <c r="F66" i="6"/>
  <c r="J20" i="3"/>
  <c r="J109" i="2"/>
  <c r="J141" i="2"/>
  <c r="J98" i="2"/>
  <c r="J100" i="2"/>
  <c r="J104" i="2"/>
  <c r="J106" i="2"/>
  <c r="J101" i="2"/>
  <c r="J102" i="2"/>
  <c r="J107" i="2"/>
  <c r="J112" i="2"/>
  <c r="F78" i="6"/>
  <c r="J111" i="2"/>
  <c r="H20" i="3"/>
  <c r="M71" i="6"/>
  <c r="H66" i="6"/>
  <c r="N20" i="3"/>
  <c r="O145" i="3"/>
  <c r="O144" i="3"/>
  <c r="O64" i="3"/>
  <c r="O62" i="3"/>
  <c r="O61" i="3"/>
  <c r="O53" i="3"/>
  <c r="O71" i="3"/>
  <c r="O63" i="3"/>
  <c r="O52" i="3"/>
  <c r="O70" i="3"/>
  <c r="O101" i="3"/>
  <c r="O73" i="3"/>
  <c r="O24" i="3"/>
  <c r="O18" i="3"/>
  <c r="O16" i="3"/>
  <c r="O33" i="3"/>
  <c r="O15" i="3"/>
  <c r="O38" i="3"/>
  <c r="O19" i="3"/>
  <c r="H62" i="6"/>
  <c r="H65" i="6"/>
  <c r="H64" i="6"/>
  <c r="F153" i="3"/>
  <c r="J30" i="2"/>
  <c r="J27" i="2"/>
  <c r="J31" i="2"/>
  <c r="J24" i="2"/>
  <c r="E88" i="6"/>
  <c r="H78" i="6"/>
  <c r="K1" i="2"/>
  <c r="L1" i="2" s="1"/>
  <c r="J53" i="2"/>
  <c r="J51" i="2"/>
  <c r="J49" i="2"/>
  <c r="J47" i="2"/>
  <c r="J41" i="2"/>
  <c r="J38" i="2"/>
  <c r="J36" i="2"/>
  <c r="J40" i="2"/>
  <c r="J54" i="2"/>
  <c r="J50" i="2"/>
  <c r="J46" i="2"/>
  <c r="J42" i="2"/>
  <c r="J37" i="2"/>
  <c r="J18" i="2"/>
  <c r="J48" i="2"/>
  <c r="J39" i="2"/>
  <c r="I63" i="6" s="1"/>
  <c r="J52" i="2"/>
  <c r="J44" i="2"/>
  <c r="J35" i="2"/>
  <c r="D15" i="6"/>
  <c r="D14" i="7"/>
  <c r="M1" i="2" l="1"/>
  <c r="L141" i="2"/>
  <c r="L114" i="2"/>
  <c r="L112" i="2"/>
  <c r="L110" i="2"/>
  <c r="L107" i="2"/>
  <c r="L104" i="2"/>
  <c r="L101" i="2"/>
  <c r="L98" i="2"/>
  <c r="L85" i="2"/>
  <c r="L83" i="2"/>
  <c r="L53" i="2"/>
  <c r="L51" i="2"/>
  <c r="L49" i="2"/>
  <c r="L47" i="2"/>
  <c r="L44" i="2"/>
  <c r="L41" i="2"/>
  <c r="L39" i="2"/>
  <c r="L37" i="2"/>
  <c r="L35" i="2"/>
  <c r="L30" i="2"/>
  <c r="L27" i="2"/>
  <c r="L24" i="2"/>
  <c r="L18" i="2"/>
  <c r="L139" i="2"/>
  <c r="L111" i="2"/>
  <c r="L106" i="2"/>
  <c r="L100" i="2"/>
  <c r="L89" i="2"/>
  <c r="L54" i="2"/>
  <c r="L50" i="2"/>
  <c r="L46" i="2"/>
  <c r="L40" i="2"/>
  <c r="L36" i="2"/>
  <c r="L19" i="2"/>
  <c r="L113" i="2"/>
  <c r="L102" i="2"/>
  <c r="L52" i="2"/>
  <c r="L31" i="2"/>
  <c r="L84" i="2"/>
  <c r="L38" i="2"/>
  <c r="L109" i="2"/>
  <c r="L42" i="2"/>
  <c r="L48" i="2"/>
  <c r="L25" i="2"/>
  <c r="L96" i="2"/>
  <c r="K117" i="7"/>
  <c r="L117" i="7"/>
  <c r="E120" i="6"/>
  <c r="E116" i="7"/>
  <c r="N117" i="7"/>
  <c r="H117" i="7"/>
  <c r="Q117" i="7"/>
  <c r="M117" i="7"/>
  <c r="G117" i="7"/>
  <c r="P117" i="7"/>
  <c r="J117" i="7"/>
  <c r="F117" i="7"/>
  <c r="O117" i="7"/>
  <c r="I117" i="7"/>
  <c r="O119" i="6"/>
  <c r="F20" i="8"/>
  <c r="F18" i="8"/>
  <c r="K101" i="2"/>
  <c r="K107" i="2"/>
  <c r="K141" i="2"/>
  <c r="K106" i="2"/>
  <c r="K104" i="2"/>
  <c r="K98" i="2"/>
  <c r="K102" i="2"/>
  <c r="K100" i="2"/>
  <c r="K109" i="2"/>
  <c r="K113" i="2"/>
  <c r="K96" i="2"/>
  <c r="K111" i="2"/>
  <c r="K112" i="2"/>
  <c r="K139" i="2"/>
  <c r="K114" i="2"/>
  <c r="K110" i="2"/>
  <c r="N71" i="6"/>
  <c r="I66" i="6"/>
  <c r="P145" i="3"/>
  <c r="P101" i="3"/>
  <c r="P144" i="3"/>
  <c r="P71" i="3"/>
  <c r="P63" i="3"/>
  <c r="P73" i="3"/>
  <c r="P70" i="3"/>
  <c r="P61" i="3"/>
  <c r="P53" i="3"/>
  <c r="P64" i="3"/>
  <c r="P52" i="3"/>
  <c r="P62" i="3"/>
  <c r="P15" i="3"/>
  <c r="P16" i="3"/>
  <c r="P38" i="3"/>
  <c r="P33" i="3"/>
  <c r="P18" i="3"/>
  <c r="P24" i="3"/>
  <c r="P19" i="3"/>
  <c r="O20" i="3"/>
  <c r="I62" i="6"/>
  <c r="I65" i="6"/>
  <c r="I64" i="6"/>
  <c r="K31" i="2"/>
  <c r="K27" i="2"/>
  <c r="K30" i="2"/>
  <c r="K24" i="2"/>
  <c r="I78" i="6"/>
  <c r="D16" i="6"/>
  <c r="D15" i="7"/>
  <c r="K18" i="2"/>
  <c r="K54" i="2"/>
  <c r="K52" i="2"/>
  <c r="K50" i="2"/>
  <c r="K48" i="2"/>
  <c r="K46" i="2"/>
  <c r="K44" i="2"/>
  <c r="K42" i="2"/>
  <c r="K39" i="2"/>
  <c r="K37" i="2"/>
  <c r="K35" i="2"/>
  <c r="K53" i="2"/>
  <c r="K49" i="2"/>
  <c r="K41" i="2"/>
  <c r="K36" i="2"/>
  <c r="K51" i="2"/>
  <c r="K47" i="2"/>
  <c r="K38" i="2"/>
  <c r="K40" i="2"/>
  <c r="K78" i="6" l="1"/>
  <c r="K65" i="6"/>
  <c r="L20" i="2"/>
  <c r="K80" i="6" s="1"/>
  <c r="K62" i="6"/>
  <c r="L86" i="2"/>
  <c r="K64" i="6"/>
  <c r="L120" i="7"/>
  <c r="K120" i="7"/>
  <c r="K63" i="6"/>
  <c r="N1" i="2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M139" i="2"/>
  <c r="M113" i="2"/>
  <c r="M111" i="2"/>
  <c r="M109" i="2"/>
  <c r="M106" i="2"/>
  <c r="M102" i="2"/>
  <c r="M100" i="2"/>
  <c r="M96" i="2"/>
  <c r="M89" i="2"/>
  <c r="M84" i="2"/>
  <c r="M54" i="2"/>
  <c r="M52" i="2"/>
  <c r="M50" i="2"/>
  <c r="M48" i="2"/>
  <c r="M46" i="2"/>
  <c r="M42" i="2"/>
  <c r="M40" i="2"/>
  <c r="M38" i="2"/>
  <c r="M36" i="2"/>
  <c r="M31" i="2"/>
  <c r="M25" i="2"/>
  <c r="M19" i="2"/>
  <c r="M114" i="2"/>
  <c r="M110" i="2"/>
  <c r="M104" i="2"/>
  <c r="M98" i="2"/>
  <c r="M85" i="2"/>
  <c r="M47" i="2"/>
  <c r="M39" i="2"/>
  <c r="L63" i="6" s="1"/>
  <c r="M24" i="2"/>
  <c r="M112" i="2"/>
  <c r="M51" i="2"/>
  <c r="M44" i="2"/>
  <c r="M30" i="2"/>
  <c r="M18" i="2"/>
  <c r="M83" i="2"/>
  <c r="M141" i="2"/>
  <c r="M107" i="2"/>
  <c r="M53" i="2"/>
  <c r="M41" i="2"/>
  <c r="M101" i="2"/>
  <c r="M49" i="2"/>
  <c r="M37" i="2"/>
  <c r="M27" i="2"/>
  <c r="M35" i="2"/>
  <c r="K66" i="6"/>
  <c r="P120" i="7"/>
  <c r="J120" i="7"/>
  <c r="F120" i="7"/>
  <c r="I120" i="7"/>
  <c r="N120" i="7"/>
  <c r="H120" i="7"/>
  <c r="Q120" i="7"/>
  <c r="G120" i="7"/>
  <c r="M120" i="7"/>
  <c r="E117" i="7"/>
  <c r="E119" i="6"/>
  <c r="O119" i="7"/>
  <c r="O120" i="7"/>
  <c r="O121" i="6"/>
  <c r="F21" i="8"/>
  <c r="F25" i="8"/>
  <c r="N100" i="2"/>
  <c r="N101" i="2"/>
  <c r="N112" i="2"/>
  <c r="N114" i="2"/>
  <c r="O71" i="6"/>
  <c r="P20" i="3"/>
  <c r="Q144" i="3"/>
  <c r="Q63" i="3"/>
  <c r="Q52" i="3"/>
  <c r="Q73" i="3"/>
  <c r="Q70" i="3"/>
  <c r="Q145" i="3"/>
  <c r="Q101" i="3"/>
  <c r="Q64" i="3"/>
  <c r="Q62" i="3"/>
  <c r="Q61" i="3"/>
  <c r="Q53" i="3"/>
  <c r="Q71" i="3"/>
  <c r="Q33" i="3"/>
  <c r="Q38" i="3"/>
  <c r="Q19" i="3"/>
  <c r="Q15" i="3"/>
  <c r="Q18" i="3"/>
  <c r="Q16" i="3"/>
  <c r="Q24" i="3"/>
  <c r="J66" i="6"/>
  <c r="J62" i="6"/>
  <c r="J65" i="6"/>
  <c r="J64" i="6"/>
  <c r="J63" i="6"/>
  <c r="N24" i="2"/>
  <c r="J78" i="6"/>
  <c r="N52" i="2"/>
  <c r="N44" i="2"/>
  <c r="N35" i="2"/>
  <c r="N41" i="2"/>
  <c r="N47" i="2"/>
  <c r="D17" i="6"/>
  <c r="D16" i="7"/>
  <c r="M20" i="2" l="1"/>
  <c r="L80" i="6" s="1"/>
  <c r="N40" i="2"/>
  <c r="N45" i="2"/>
  <c r="N37" i="2"/>
  <c r="N46" i="2"/>
  <c r="N54" i="2"/>
  <c r="N31" i="2"/>
  <c r="N109" i="2"/>
  <c r="N111" i="2"/>
  <c r="N141" i="2"/>
  <c r="N98" i="2"/>
  <c r="N51" i="2"/>
  <c r="N49" i="2"/>
  <c r="N39" i="2"/>
  <c r="M63" i="6" s="1"/>
  <c r="N48" i="2"/>
  <c r="N18" i="2"/>
  <c r="N27" i="2"/>
  <c r="N110" i="2"/>
  <c r="N139" i="2"/>
  <c r="N107" i="2"/>
  <c r="N106" i="2"/>
  <c r="L66" i="6"/>
  <c r="N38" i="2"/>
  <c r="N36" i="2"/>
  <c r="N53" i="2"/>
  <c r="N42" i="2"/>
  <c r="N50" i="2"/>
  <c r="N30" i="2"/>
  <c r="N113" i="2"/>
  <c r="N96" i="2"/>
  <c r="N102" i="2"/>
  <c r="N104" i="2"/>
  <c r="L64" i="6"/>
  <c r="L62" i="6"/>
  <c r="M86" i="2"/>
  <c r="K119" i="7"/>
  <c r="L119" i="7"/>
  <c r="L78" i="6"/>
  <c r="L65" i="6"/>
  <c r="N119" i="7"/>
  <c r="H119" i="7"/>
  <c r="Q119" i="7"/>
  <c r="M119" i="7"/>
  <c r="G119" i="7"/>
  <c r="P119" i="7"/>
  <c r="J119" i="7"/>
  <c r="F119" i="7"/>
  <c r="I119" i="7"/>
  <c r="E120" i="7"/>
  <c r="E121" i="6"/>
  <c r="F37" i="8"/>
  <c r="F44" i="8"/>
  <c r="O101" i="2"/>
  <c r="O104" i="2"/>
  <c r="O107" i="2"/>
  <c r="O141" i="2"/>
  <c r="O98" i="2"/>
  <c r="O100" i="2"/>
  <c r="O102" i="2"/>
  <c r="O106" i="2"/>
  <c r="O112" i="2"/>
  <c r="O139" i="2"/>
  <c r="O109" i="2"/>
  <c r="O111" i="2"/>
  <c r="O110" i="2"/>
  <c r="O113" i="2"/>
  <c r="O114" i="2"/>
  <c r="O96" i="2"/>
  <c r="P71" i="6"/>
  <c r="Q20" i="3"/>
  <c r="R144" i="3"/>
  <c r="R145" i="3"/>
  <c r="T145" i="3" s="1"/>
  <c r="R73" i="3"/>
  <c r="T73" i="3" s="1"/>
  <c r="R70" i="3"/>
  <c r="T70" i="3" s="1"/>
  <c r="R101" i="3"/>
  <c r="T101" i="3" s="1"/>
  <c r="R64" i="3"/>
  <c r="T64" i="3" s="1"/>
  <c r="R62" i="3"/>
  <c r="T62" i="3" s="1"/>
  <c r="R71" i="3"/>
  <c r="T71" i="3" s="1"/>
  <c r="R52" i="3"/>
  <c r="T52" i="3" s="1"/>
  <c r="T100" i="3"/>
  <c r="R63" i="3"/>
  <c r="R61" i="3"/>
  <c r="R53" i="3"/>
  <c r="T53" i="3" s="1"/>
  <c r="R16" i="3"/>
  <c r="T16" i="3" s="1"/>
  <c r="R19" i="3"/>
  <c r="T19" i="3" s="1"/>
  <c r="R18" i="3"/>
  <c r="T18" i="3" s="1"/>
  <c r="R15" i="3"/>
  <c r="R33" i="3"/>
  <c r="T33" i="3" s="1"/>
  <c r="R38" i="3"/>
  <c r="T38" i="3" s="1"/>
  <c r="R24" i="3"/>
  <c r="O31" i="2"/>
  <c r="O24" i="2"/>
  <c r="O30" i="2"/>
  <c r="O27" i="2"/>
  <c r="O53" i="2"/>
  <c r="O51" i="2"/>
  <c r="O49" i="2"/>
  <c r="O47" i="2"/>
  <c r="O45" i="2"/>
  <c r="O41" i="2"/>
  <c r="O38" i="2"/>
  <c r="O36" i="2"/>
  <c r="O40" i="2"/>
  <c r="O18" i="2"/>
  <c r="O52" i="2"/>
  <c r="O48" i="2"/>
  <c r="O44" i="2"/>
  <c r="O39" i="2"/>
  <c r="O35" i="2"/>
  <c r="O54" i="2"/>
  <c r="O46" i="2"/>
  <c r="O37" i="2"/>
  <c r="O50" i="2"/>
  <c r="O42" i="2"/>
  <c r="D18" i="6"/>
  <c r="D17" i="7"/>
  <c r="M78" i="6" l="1"/>
  <c r="M64" i="6"/>
  <c r="M62" i="6"/>
  <c r="M66" i="6"/>
  <c r="M65" i="6"/>
  <c r="K121" i="7"/>
  <c r="L121" i="7"/>
  <c r="E122" i="6"/>
  <c r="N121" i="7"/>
  <c r="H121" i="7"/>
  <c r="Q121" i="7"/>
  <c r="M121" i="7"/>
  <c r="G121" i="7"/>
  <c r="P121" i="7"/>
  <c r="J121" i="7"/>
  <c r="F121" i="7"/>
  <c r="I121" i="7"/>
  <c r="O121" i="7"/>
  <c r="E119" i="7"/>
  <c r="F52" i="8"/>
  <c r="F38" i="8"/>
  <c r="T63" i="3"/>
  <c r="P100" i="2"/>
  <c r="P106" i="2"/>
  <c r="P139" i="2"/>
  <c r="P104" i="2"/>
  <c r="P141" i="2"/>
  <c r="P101" i="2"/>
  <c r="P98" i="2"/>
  <c r="P102" i="2"/>
  <c r="P113" i="2"/>
  <c r="P107" i="2"/>
  <c r="P114" i="2"/>
  <c r="P109" i="2"/>
  <c r="P112" i="2"/>
  <c r="P96" i="2"/>
  <c r="P111" i="2"/>
  <c r="P110" i="2"/>
  <c r="T61" i="3"/>
  <c r="Q71" i="6"/>
  <c r="E71" i="6" s="1"/>
  <c r="N66" i="6"/>
  <c r="R20" i="3"/>
  <c r="T24" i="3"/>
  <c r="T15" i="3"/>
  <c r="T144" i="3"/>
  <c r="N62" i="6"/>
  <c r="N64" i="6"/>
  <c r="N65" i="6"/>
  <c r="N63" i="6"/>
  <c r="P31" i="2"/>
  <c r="P30" i="2"/>
  <c r="P24" i="2"/>
  <c r="P27" i="2"/>
  <c r="N78" i="6"/>
  <c r="D19" i="6"/>
  <c r="D18" i="7"/>
  <c r="P53" i="2"/>
  <c r="P51" i="2"/>
  <c r="P49" i="2"/>
  <c r="P47" i="2"/>
  <c r="P45" i="2"/>
  <c r="P41" i="2"/>
  <c r="P38" i="2"/>
  <c r="P36" i="2"/>
  <c r="P40" i="2"/>
  <c r="P18" i="2"/>
  <c r="P52" i="2"/>
  <c r="P48" i="2"/>
  <c r="P44" i="2"/>
  <c r="P39" i="2"/>
  <c r="P35" i="2"/>
  <c r="P54" i="2"/>
  <c r="P46" i="2"/>
  <c r="P37" i="2"/>
  <c r="P50" i="2"/>
  <c r="P42" i="2"/>
  <c r="L122" i="7" l="1"/>
  <c r="K123" i="6"/>
  <c r="K122" i="7"/>
  <c r="L123" i="6"/>
  <c r="P71" i="7"/>
  <c r="Q60" i="3" s="1"/>
  <c r="Q65" i="3" s="1"/>
  <c r="P70" i="6" s="1"/>
  <c r="L71" i="7"/>
  <c r="M60" i="3" s="1"/>
  <c r="M65" i="3" s="1"/>
  <c r="L70" i="6" s="1"/>
  <c r="K71" i="7"/>
  <c r="L60" i="3" s="1"/>
  <c r="L65" i="3" s="1"/>
  <c r="K70" i="6" s="1"/>
  <c r="E121" i="7"/>
  <c r="H123" i="6"/>
  <c r="P123" i="6"/>
  <c r="I123" i="6"/>
  <c r="Q123" i="6"/>
  <c r="J123" i="6"/>
  <c r="M123" i="6"/>
  <c r="F123" i="6"/>
  <c r="N123" i="6"/>
  <c r="G123" i="6"/>
  <c r="O123" i="6"/>
  <c r="P122" i="7"/>
  <c r="J122" i="7"/>
  <c r="F122" i="7"/>
  <c r="O122" i="7"/>
  <c r="I122" i="7"/>
  <c r="N122" i="7"/>
  <c r="H122" i="7"/>
  <c r="Q122" i="7"/>
  <c r="M122" i="7"/>
  <c r="G122" i="7"/>
  <c r="Q141" i="2"/>
  <c r="Q101" i="2"/>
  <c r="Q104" i="2"/>
  <c r="Q107" i="2"/>
  <c r="Q98" i="2"/>
  <c r="Q100" i="2"/>
  <c r="Q102" i="2"/>
  <c r="Q106" i="2"/>
  <c r="Q113" i="2"/>
  <c r="Q114" i="2"/>
  <c r="Q112" i="2"/>
  <c r="Q139" i="2"/>
  <c r="Q110" i="2"/>
  <c r="Q109" i="2"/>
  <c r="Q111" i="2"/>
  <c r="Q96" i="2"/>
  <c r="O62" i="6"/>
  <c r="T20" i="3"/>
  <c r="Q71" i="7"/>
  <c r="R60" i="3" s="1"/>
  <c r="R65" i="3" s="1"/>
  <c r="Q70" i="6" s="1"/>
  <c r="F71" i="7"/>
  <c r="G71" i="7"/>
  <c r="I71" i="7"/>
  <c r="H71" i="7"/>
  <c r="J71" i="7"/>
  <c r="N71" i="7"/>
  <c r="M71" i="7"/>
  <c r="O71" i="7"/>
  <c r="O66" i="6"/>
  <c r="O65" i="6"/>
  <c r="O64" i="6"/>
  <c r="O63" i="6"/>
  <c r="Q31" i="2"/>
  <c r="Q24" i="2"/>
  <c r="Q30" i="2"/>
  <c r="Q27" i="2"/>
  <c r="O78" i="6"/>
  <c r="Q18" i="2"/>
  <c r="Q54" i="2"/>
  <c r="Q52" i="2"/>
  <c r="Q50" i="2"/>
  <c r="Q48" i="2"/>
  <c r="Q46" i="2"/>
  <c r="Q44" i="2"/>
  <c r="Q42" i="2"/>
  <c r="Q39" i="2"/>
  <c r="Q37" i="2"/>
  <c r="Q35" i="2"/>
  <c r="Q51" i="2"/>
  <c r="Q47" i="2"/>
  <c r="Q38" i="2"/>
  <c r="Q40" i="2"/>
  <c r="Q49" i="2"/>
  <c r="Q41" i="2"/>
  <c r="Q53" i="2"/>
  <c r="Q45" i="2"/>
  <c r="Q36" i="2"/>
  <c r="D20" i="6"/>
  <c r="D19" i="7"/>
  <c r="K124" i="6" l="1"/>
  <c r="L124" i="6"/>
  <c r="F124" i="6"/>
  <c r="E123" i="6"/>
  <c r="M123" i="7" s="1"/>
  <c r="M124" i="6"/>
  <c r="E122" i="7"/>
  <c r="G124" i="6"/>
  <c r="J124" i="6"/>
  <c r="H124" i="6"/>
  <c r="H123" i="7"/>
  <c r="I124" i="6"/>
  <c r="O124" i="6"/>
  <c r="P124" i="6"/>
  <c r="N124" i="6"/>
  <c r="Q124" i="6"/>
  <c r="R141" i="2"/>
  <c r="U141" i="2" s="1"/>
  <c r="R98" i="2"/>
  <c r="U98" i="2" s="1"/>
  <c r="R100" i="2"/>
  <c r="U100" i="2" s="1"/>
  <c r="R104" i="2"/>
  <c r="U104" i="2" s="1"/>
  <c r="R106" i="2"/>
  <c r="U106" i="2" s="1"/>
  <c r="R101" i="2"/>
  <c r="U101" i="2" s="1"/>
  <c r="R102" i="2"/>
  <c r="U102" i="2" s="1"/>
  <c r="R107" i="2"/>
  <c r="U107" i="2" s="1"/>
  <c r="R112" i="2"/>
  <c r="U112" i="2" s="1"/>
  <c r="R139" i="2"/>
  <c r="U139" i="2" s="1"/>
  <c r="R109" i="2"/>
  <c r="U109" i="2" s="1"/>
  <c r="R96" i="2"/>
  <c r="U96" i="2" s="1"/>
  <c r="R113" i="2"/>
  <c r="U113" i="2" s="1"/>
  <c r="R110" i="2"/>
  <c r="U110" i="2" s="1"/>
  <c r="R114" i="2"/>
  <c r="U114" i="2" s="1"/>
  <c r="R111" i="2"/>
  <c r="U111" i="2" s="1"/>
  <c r="N60" i="3"/>
  <c r="N65" i="3" s="1"/>
  <c r="M70" i="6" s="1"/>
  <c r="J60" i="3"/>
  <c r="J65" i="3" s="1"/>
  <c r="I70" i="6" s="1"/>
  <c r="O60" i="3"/>
  <c r="O65" i="3" s="1"/>
  <c r="N70" i="6" s="1"/>
  <c r="H60" i="3"/>
  <c r="H65" i="3" s="1"/>
  <c r="G70" i="6" s="1"/>
  <c r="K60" i="3"/>
  <c r="K65" i="3" s="1"/>
  <c r="J70" i="6" s="1"/>
  <c r="G60" i="3"/>
  <c r="E71" i="7"/>
  <c r="P60" i="3"/>
  <c r="P65" i="3" s="1"/>
  <c r="O70" i="6" s="1"/>
  <c r="I60" i="3"/>
  <c r="I65" i="3" s="1"/>
  <c r="H70" i="6" s="1"/>
  <c r="P66" i="6"/>
  <c r="P62" i="6"/>
  <c r="P65" i="6"/>
  <c r="P64" i="6"/>
  <c r="P63" i="6"/>
  <c r="R30" i="2"/>
  <c r="R27" i="2"/>
  <c r="R31" i="2"/>
  <c r="U31" i="2" s="1"/>
  <c r="R24" i="2"/>
  <c r="P78" i="6"/>
  <c r="D21" i="6"/>
  <c r="D20" i="7"/>
  <c r="R18" i="2"/>
  <c r="U18" i="2" s="1"/>
  <c r="R54" i="2"/>
  <c r="U54" i="2" s="1"/>
  <c r="R52" i="2"/>
  <c r="U52" i="2" s="1"/>
  <c r="R50" i="2"/>
  <c r="U50" i="2" s="1"/>
  <c r="R48" i="2"/>
  <c r="R46" i="2"/>
  <c r="U46" i="2" s="1"/>
  <c r="R44" i="2"/>
  <c r="R42" i="2"/>
  <c r="U42" i="2" s="1"/>
  <c r="R39" i="2"/>
  <c r="R37" i="2"/>
  <c r="R35" i="2"/>
  <c r="U35" i="2" s="1"/>
  <c r="R51" i="2"/>
  <c r="U51" i="2" s="1"/>
  <c r="R47" i="2"/>
  <c r="U47" i="2" s="1"/>
  <c r="R38" i="2"/>
  <c r="U38" i="2" s="1"/>
  <c r="R40" i="2"/>
  <c r="U40" i="2" s="1"/>
  <c r="R49" i="2"/>
  <c r="U49" i="2" s="1"/>
  <c r="R41" i="2"/>
  <c r="U41" i="2" s="1"/>
  <c r="R53" i="2"/>
  <c r="U53" i="2" s="1"/>
  <c r="R45" i="2"/>
  <c r="R36" i="2"/>
  <c r="U36" i="2" s="1"/>
  <c r="N123" i="7" l="1"/>
  <c r="O123" i="7"/>
  <c r="G123" i="7"/>
  <c r="F123" i="7"/>
  <c r="Q123" i="7"/>
  <c r="P123" i="7"/>
  <c r="I123" i="7"/>
  <c r="J123" i="7"/>
  <c r="L123" i="7"/>
  <c r="L98" i="6"/>
  <c r="K123" i="7"/>
  <c r="K98" i="6"/>
  <c r="M98" i="6"/>
  <c r="O98" i="6"/>
  <c r="G98" i="6"/>
  <c r="N98" i="6"/>
  <c r="H98" i="6"/>
  <c r="Q98" i="6"/>
  <c r="P98" i="6"/>
  <c r="I98" i="6"/>
  <c r="J98" i="6"/>
  <c r="F98" i="6"/>
  <c r="E124" i="6"/>
  <c r="E98" i="6" s="1"/>
  <c r="T60" i="3"/>
  <c r="G65" i="3"/>
  <c r="U48" i="2"/>
  <c r="Q66" i="6"/>
  <c r="U37" i="2"/>
  <c r="Q62" i="6"/>
  <c r="U45" i="2"/>
  <c r="Q65" i="6"/>
  <c r="Q64" i="6"/>
  <c r="U44" i="2"/>
  <c r="U39" i="2"/>
  <c r="Q63" i="6"/>
  <c r="U27" i="2"/>
  <c r="U24" i="2"/>
  <c r="U30" i="2"/>
  <c r="Q78" i="6"/>
  <c r="E78" i="6" s="1"/>
  <c r="D22" i="6"/>
  <c r="D21" i="7"/>
  <c r="E123" i="7" l="1"/>
  <c r="P98" i="7"/>
  <c r="Q28" i="2" s="1"/>
  <c r="P94" i="6" s="1"/>
  <c r="K98" i="7"/>
  <c r="L90" i="2" s="1"/>
  <c r="L92" i="2" s="1"/>
  <c r="J124" i="7"/>
  <c r="L124" i="7"/>
  <c r="K124" i="7"/>
  <c r="L98" i="7"/>
  <c r="L78" i="7"/>
  <c r="M36" i="5" s="1"/>
  <c r="K78" i="7"/>
  <c r="L36" i="5" s="1"/>
  <c r="F124" i="7"/>
  <c r="J98" i="7"/>
  <c r="K28" i="2" s="1"/>
  <c r="J94" i="6" s="1"/>
  <c r="Q98" i="7"/>
  <c r="R28" i="2" s="1"/>
  <c r="Q94" i="6" s="1"/>
  <c r="N124" i="7"/>
  <c r="O124" i="7"/>
  <c r="I98" i="7"/>
  <c r="J28" i="2" s="1"/>
  <c r="I94" i="6" s="1"/>
  <c r="N98" i="7"/>
  <c r="O28" i="2" s="1"/>
  <c r="N94" i="6" s="1"/>
  <c r="O98" i="7"/>
  <c r="P28" i="2" s="1"/>
  <c r="O94" i="6" s="1"/>
  <c r="F98" i="7"/>
  <c r="G28" i="2" s="1"/>
  <c r="F94" i="6" s="1"/>
  <c r="P124" i="7"/>
  <c r="H124" i="7"/>
  <c r="G124" i="7"/>
  <c r="M124" i="7"/>
  <c r="I124" i="7"/>
  <c r="Q124" i="7"/>
  <c r="H98" i="7"/>
  <c r="I28" i="2" s="1"/>
  <c r="H94" i="6" s="1"/>
  <c r="G98" i="7"/>
  <c r="H28" i="2" s="1"/>
  <c r="G94" i="6" s="1"/>
  <c r="M98" i="7"/>
  <c r="N28" i="2" s="1"/>
  <c r="M94" i="6" s="1"/>
  <c r="T65" i="3"/>
  <c r="F70" i="6"/>
  <c r="E66" i="6"/>
  <c r="E62" i="6"/>
  <c r="E65" i="6"/>
  <c r="E64" i="6"/>
  <c r="E63" i="6"/>
  <c r="F95" i="7"/>
  <c r="G95" i="7"/>
  <c r="H95" i="7"/>
  <c r="J95" i="7"/>
  <c r="I95" i="7"/>
  <c r="M95" i="7"/>
  <c r="O95" i="7"/>
  <c r="N95" i="7"/>
  <c r="P95" i="7"/>
  <c r="Q95" i="7"/>
  <c r="Q78" i="7"/>
  <c r="R36" i="5" s="1"/>
  <c r="D23" i="6"/>
  <c r="D22" i="7"/>
  <c r="L28" i="2" l="1"/>
  <c r="K94" i="6" s="1"/>
  <c r="M90" i="2"/>
  <c r="M92" i="2" s="1"/>
  <c r="M28" i="2"/>
  <c r="L115" i="2"/>
  <c r="L116" i="2" s="1"/>
  <c r="L55" i="2"/>
  <c r="L56" i="2" s="1"/>
  <c r="M115" i="2"/>
  <c r="M116" i="2" s="1"/>
  <c r="M55" i="2"/>
  <c r="M56" i="2" s="1"/>
  <c r="L62" i="7"/>
  <c r="K62" i="7"/>
  <c r="L63" i="7"/>
  <c r="K63" i="7"/>
  <c r="L66" i="7"/>
  <c r="M99" i="3" s="1"/>
  <c r="K66" i="7"/>
  <c r="L99" i="3" s="1"/>
  <c r="L64" i="7"/>
  <c r="K64" i="7"/>
  <c r="L65" i="7"/>
  <c r="K65" i="7"/>
  <c r="E124" i="7"/>
  <c r="E98" i="7"/>
  <c r="Q34" i="3"/>
  <c r="Q35" i="3" s="1"/>
  <c r="Q39" i="3"/>
  <c r="Q40" i="3" s="1"/>
  <c r="Q25" i="3"/>
  <c r="Q29" i="3" s="1"/>
  <c r="Q19" i="2"/>
  <c r="Q20" i="2" s="1"/>
  <c r="P80" i="6" s="1"/>
  <c r="Q25" i="2"/>
  <c r="Q32" i="2" s="1"/>
  <c r="P89" i="6" s="1"/>
  <c r="R34" i="3"/>
  <c r="R35" i="3" s="1"/>
  <c r="R39" i="3"/>
  <c r="R40" i="3" s="1"/>
  <c r="R25" i="3"/>
  <c r="R29" i="3" s="1"/>
  <c r="R19" i="2"/>
  <c r="R20" i="2" s="1"/>
  <c r="Q80" i="6" s="1"/>
  <c r="R25" i="2"/>
  <c r="R32" i="2" s="1"/>
  <c r="Q89" i="6" s="1"/>
  <c r="O25" i="3"/>
  <c r="O29" i="3" s="1"/>
  <c r="O39" i="3"/>
  <c r="O40" i="3" s="1"/>
  <c r="O34" i="3"/>
  <c r="O35" i="3" s="1"/>
  <c r="O19" i="2"/>
  <c r="O20" i="2" s="1"/>
  <c r="N80" i="6" s="1"/>
  <c r="O25" i="2"/>
  <c r="O32" i="2" s="1"/>
  <c r="N89" i="6" s="1"/>
  <c r="G25" i="3"/>
  <c r="G25" i="2"/>
  <c r="G34" i="3"/>
  <c r="G19" i="2"/>
  <c r="G39" i="3"/>
  <c r="N25" i="3"/>
  <c r="N29" i="3" s="1"/>
  <c r="N34" i="3"/>
  <c r="N35" i="3" s="1"/>
  <c r="N39" i="3"/>
  <c r="N40" i="3" s="1"/>
  <c r="N25" i="2"/>
  <c r="N32" i="2" s="1"/>
  <c r="M89" i="6" s="1"/>
  <c r="N19" i="2"/>
  <c r="N20" i="2" s="1"/>
  <c r="M80" i="6" s="1"/>
  <c r="I34" i="3"/>
  <c r="I35" i="3" s="1"/>
  <c r="I19" i="2"/>
  <c r="I20" i="2" s="1"/>
  <c r="H80" i="6" s="1"/>
  <c r="I25" i="2"/>
  <c r="I32" i="2" s="1"/>
  <c r="H89" i="6" s="1"/>
  <c r="I39" i="3"/>
  <c r="I40" i="3" s="1"/>
  <c r="I25" i="3"/>
  <c r="I29" i="3" s="1"/>
  <c r="J34" i="3"/>
  <c r="J35" i="3" s="1"/>
  <c r="J39" i="3"/>
  <c r="J40" i="3" s="1"/>
  <c r="J25" i="3"/>
  <c r="J29" i="3" s="1"/>
  <c r="J25" i="2"/>
  <c r="J32" i="2" s="1"/>
  <c r="I89" i="6" s="1"/>
  <c r="J19" i="2"/>
  <c r="J20" i="2" s="1"/>
  <c r="I80" i="6" s="1"/>
  <c r="K34" i="3"/>
  <c r="K35" i="3" s="1"/>
  <c r="K25" i="3"/>
  <c r="K29" i="3" s="1"/>
  <c r="K39" i="3"/>
  <c r="K40" i="3" s="1"/>
  <c r="K25" i="2"/>
  <c r="K32" i="2" s="1"/>
  <c r="J89" i="6" s="1"/>
  <c r="K19" i="2"/>
  <c r="K20" i="2" s="1"/>
  <c r="J80" i="6" s="1"/>
  <c r="P34" i="3"/>
  <c r="P35" i="3" s="1"/>
  <c r="P39" i="3"/>
  <c r="P40" i="3" s="1"/>
  <c r="P25" i="3"/>
  <c r="P29" i="3" s="1"/>
  <c r="P19" i="2"/>
  <c r="P20" i="2" s="1"/>
  <c r="O80" i="6" s="1"/>
  <c r="P25" i="2"/>
  <c r="P32" i="2" s="1"/>
  <c r="O89" i="6" s="1"/>
  <c r="H19" i="2"/>
  <c r="H20" i="2" s="1"/>
  <c r="G80" i="6" s="1"/>
  <c r="H25" i="2"/>
  <c r="H32" i="2" s="1"/>
  <c r="G89" i="6" s="1"/>
  <c r="H39" i="3"/>
  <c r="H40" i="3" s="1"/>
  <c r="H25" i="3"/>
  <c r="H29" i="3" s="1"/>
  <c r="H34" i="3"/>
  <c r="H35" i="3" s="1"/>
  <c r="E70" i="6"/>
  <c r="G66" i="7"/>
  <c r="F66" i="7"/>
  <c r="H66" i="7"/>
  <c r="I66" i="7"/>
  <c r="M66" i="7"/>
  <c r="J66" i="7"/>
  <c r="N66" i="7"/>
  <c r="O66" i="7"/>
  <c r="P66" i="7"/>
  <c r="Q66" i="7"/>
  <c r="F62" i="7"/>
  <c r="G62" i="7"/>
  <c r="H62" i="7"/>
  <c r="I62" i="7"/>
  <c r="M62" i="7"/>
  <c r="J62" i="7"/>
  <c r="O62" i="7"/>
  <c r="N62" i="7"/>
  <c r="P62" i="7"/>
  <c r="Q62" i="7"/>
  <c r="R115" i="2"/>
  <c r="R116" i="2" s="1"/>
  <c r="G65" i="7"/>
  <c r="H98" i="3" s="1"/>
  <c r="H65" i="7"/>
  <c r="I98" i="3" s="1"/>
  <c r="F65" i="7"/>
  <c r="I65" i="7"/>
  <c r="J98" i="3" s="1"/>
  <c r="J65" i="7"/>
  <c r="K98" i="3" s="1"/>
  <c r="M65" i="7"/>
  <c r="N65" i="7"/>
  <c r="O65" i="7"/>
  <c r="P65" i="7"/>
  <c r="Q98" i="3" s="1"/>
  <c r="Q65" i="7"/>
  <c r="R98" i="3" s="1"/>
  <c r="F64" i="7"/>
  <c r="G64" i="7"/>
  <c r="H64" i="7"/>
  <c r="I64" i="7"/>
  <c r="J64" i="7"/>
  <c r="M64" i="7"/>
  <c r="N64" i="7"/>
  <c r="O64" i="7"/>
  <c r="P64" i="7"/>
  <c r="Q64" i="7"/>
  <c r="G63" i="7"/>
  <c r="H96" i="3" s="1"/>
  <c r="H63" i="7"/>
  <c r="I96" i="3" s="1"/>
  <c r="F63" i="7"/>
  <c r="G96" i="3" s="1"/>
  <c r="I63" i="7"/>
  <c r="J96" i="3" s="1"/>
  <c r="M63" i="7"/>
  <c r="J63" i="7"/>
  <c r="K96" i="3" s="1"/>
  <c r="N63" i="7"/>
  <c r="O63" i="7"/>
  <c r="P63" i="7"/>
  <c r="Q96" i="3" s="1"/>
  <c r="Q63" i="7"/>
  <c r="R96" i="3" s="1"/>
  <c r="E95" i="7"/>
  <c r="F78" i="7"/>
  <c r="G36" i="5" s="1"/>
  <c r="G78" i="7"/>
  <c r="H36" i="5" s="1"/>
  <c r="H78" i="7"/>
  <c r="I36" i="5" s="1"/>
  <c r="I78" i="7"/>
  <c r="J36" i="5" s="1"/>
  <c r="J78" i="7"/>
  <c r="K36" i="5" s="1"/>
  <c r="N78" i="7"/>
  <c r="M78" i="7"/>
  <c r="O78" i="7"/>
  <c r="P36" i="5" s="1"/>
  <c r="P78" i="7"/>
  <c r="Q36" i="5" s="1"/>
  <c r="D24" i="6"/>
  <c r="D23" i="7"/>
  <c r="L32" i="2" l="1"/>
  <c r="K89" i="6" s="1"/>
  <c r="U28" i="2"/>
  <c r="L31" i="5"/>
  <c r="L38" i="5"/>
  <c r="L32" i="5"/>
  <c r="M32" i="5"/>
  <c r="M31" i="5"/>
  <c r="M38" i="5"/>
  <c r="L94" i="6"/>
  <c r="E94" i="6" s="1"/>
  <c r="K94" i="7" s="1"/>
  <c r="M32" i="2"/>
  <c r="L89" i="6" s="1"/>
  <c r="M97" i="3"/>
  <c r="M49" i="3"/>
  <c r="M48" i="3"/>
  <c r="M96" i="3"/>
  <c r="L98" i="3"/>
  <c r="L50" i="3"/>
  <c r="L97" i="3"/>
  <c r="L49" i="3"/>
  <c r="L48" i="3"/>
  <c r="L96" i="3"/>
  <c r="M50" i="3"/>
  <c r="M98" i="3"/>
  <c r="L75" i="6"/>
  <c r="K75" i="6"/>
  <c r="K82" i="6"/>
  <c r="F70" i="7"/>
  <c r="G24" i="4" s="1"/>
  <c r="L70" i="7"/>
  <c r="M24" i="4" s="1"/>
  <c r="M25" i="4" s="1"/>
  <c r="K70" i="7"/>
  <c r="L24" i="4" s="1"/>
  <c r="L25" i="4" s="1"/>
  <c r="G32" i="2"/>
  <c r="U25" i="2"/>
  <c r="G40" i="3"/>
  <c r="T40" i="3" s="1"/>
  <c r="T39" i="3"/>
  <c r="G29" i="3"/>
  <c r="T29" i="3" s="1"/>
  <c r="T25" i="3"/>
  <c r="N36" i="5"/>
  <c r="G20" i="2"/>
  <c r="U19" i="2"/>
  <c r="O36" i="5"/>
  <c r="N96" i="3"/>
  <c r="G35" i="3"/>
  <c r="T35" i="3" s="1"/>
  <c r="T34" i="3"/>
  <c r="N98" i="3"/>
  <c r="O96" i="3"/>
  <c r="O98" i="3"/>
  <c r="P96" i="3"/>
  <c r="P98" i="3"/>
  <c r="Q97" i="3"/>
  <c r="Q38" i="5"/>
  <c r="Q32" i="5"/>
  <c r="Q31" i="5"/>
  <c r="O97" i="3"/>
  <c r="O38" i="5"/>
  <c r="O32" i="5"/>
  <c r="O31" i="5"/>
  <c r="K97" i="3"/>
  <c r="K38" i="5"/>
  <c r="K32" i="5"/>
  <c r="K31" i="5"/>
  <c r="I97" i="3"/>
  <c r="I38" i="5"/>
  <c r="I32" i="5"/>
  <c r="I31" i="5"/>
  <c r="G38" i="5"/>
  <c r="G32" i="5"/>
  <c r="G31" i="5"/>
  <c r="R97" i="3"/>
  <c r="R38" i="5"/>
  <c r="R32" i="5"/>
  <c r="R31" i="5"/>
  <c r="P97" i="3"/>
  <c r="P38" i="5"/>
  <c r="P32" i="5"/>
  <c r="P31" i="5"/>
  <c r="N97" i="3"/>
  <c r="N38" i="5"/>
  <c r="N32" i="5"/>
  <c r="N31" i="5"/>
  <c r="J97" i="3"/>
  <c r="J38" i="5"/>
  <c r="J32" i="5"/>
  <c r="J31" i="5"/>
  <c r="H97" i="3"/>
  <c r="H38" i="5"/>
  <c r="H32" i="5"/>
  <c r="H31" i="5"/>
  <c r="N70" i="7"/>
  <c r="H70" i="7"/>
  <c r="Q70" i="7"/>
  <c r="M70" i="7"/>
  <c r="G70" i="7"/>
  <c r="P70" i="7"/>
  <c r="J70" i="7"/>
  <c r="O70" i="7"/>
  <c r="I70" i="7"/>
  <c r="R99" i="3"/>
  <c r="K99" i="3"/>
  <c r="G99" i="3"/>
  <c r="E66" i="7"/>
  <c r="Q99" i="3"/>
  <c r="N99" i="3"/>
  <c r="H99" i="3"/>
  <c r="P99" i="3"/>
  <c r="J99" i="3"/>
  <c r="O99" i="3"/>
  <c r="I99" i="3"/>
  <c r="G49" i="3"/>
  <c r="G97" i="3"/>
  <c r="G50" i="3"/>
  <c r="G98" i="3"/>
  <c r="E62" i="7"/>
  <c r="N115" i="2"/>
  <c r="N116" i="2" s="1"/>
  <c r="I115" i="2"/>
  <c r="I116" i="2" s="1"/>
  <c r="R50" i="3"/>
  <c r="N50" i="3"/>
  <c r="I50" i="3"/>
  <c r="O115" i="2"/>
  <c r="O116" i="2" s="1"/>
  <c r="H115" i="2"/>
  <c r="H116" i="2" s="1"/>
  <c r="Q50" i="3"/>
  <c r="K50" i="3"/>
  <c r="H50" i="3"/>
  <c r="Q115" i="2"/>
  <c r="Q116" i="2" s="1"/>
  <c r="K115" i="2"/>
  <c r="K116" i="2" s="1"/>
  <c r="G115" i="2"/>
  <c r="P50" i="3"/>
  <c r="J50" i="3"/>
  <c r="P115" i="2"/>
  <c r="P116" i="2" s="1"/>
  <c r="J115" i="2"/>
  <c r="J116" i="2" s="1"/>
  <c r="O50" i="3"/>
  <c r="E65" i="7"/>
  <c r="J49" i="3"/>
  <c r="O49" i="3"/>
  <c r="R49" i="3"/>
  <c r="N49" i="3"/>
  <c r="H49" i="3"/>
  <c r="P49" i="3"/>
  <c r="I49" i="3"/>
  <c r="Q49" i="3"/>
  <c r="K49" i="3"/>
  <c r="E64" i="7"/>
  <c r="P48" i="3"/>
  <c r="J48" i="3"/>
  <c r="O48" i="3"/>
  <c r="G48" i="3"/>
  <c r="E63" i="7"/>
  <c r="R48" i="3"/>
  <c r="K48" i="3"/>
  <c r="I48" i="3"/>
  <c r="Q48" i="3"/>
  <c r="N48" i="3"/>
  <c r="H48" i="3"/>
  <c r="P89" i="2"/>
  <c r="J89" i="2"/>
  <c r="O89" i="2"/>
  <c r="H89" i="2"/>
  <c r="R55" i="2"/>
  <c r="R56" i="2" s="1"/>
  <c r="R89" i="2"/>
  <c r="N55" i="2"/>
  <c r="N56" i="2" s="1"/>
  <c r="N89" i="2"/>
  <c r="I55" i="2"/>
  <c r="I56" i="2" s="1"/>
  <c r="I89" i="2"/>
  <c r="Q89" i="2"/>
  <c r="K89" i="2"/>
  <c r="G89" i="2"/>
  <c r="Q55" i="2"/>
  <c r="Q56" i="2" s="1"/>
  <c r="K55" i="2"/>
  <c r="K56" i="2" s="1"/>
  <c r="G55" i="2"/>
  <c r="G56" i="2" s="1"/>
  <c r="R84" i="2"/>
  <c r="R85" i="2"/>
  <c r="R83" i="2"/>
  <c r="N84" i="2"/>
  <c r="N85" i="2"/>
  <c r="N83" i="2"/>
  <c r="H84" i="2"/>
  <c r="H85" i="2"/>
  <c r="H83" i="2"/>
  <c r="Q84" i="2"/>
  <c r="Q85" i="2"/>
  <c r="Q83" i="2"/>
  <c r="K84" i="2"/>
  <c r="K85" i="2"/>
  <c r="K83" i="2"/>
  <c r="G84" i="2"/>
  <c r="G85" i="2"/>
  <c r="G83" i="2"/>
  <c r="P85" i="2"/>
  <c r="P83" i="2"/>
  <c r="P84" i="2"/>
  <c r="J85" i="2"/>
  <c r="J83" i="2"/>
  <c r="J84" i="2"/>
  <c r="O85" i="2"/>
  <c r="O83" i="2"/>
  <c r="O84" i="2"/>
  <c r="I85" i="2"/>
  <c r="I83" i="2"/>
  <c r="I84" i="2"/>
  <c r="O55" i="2"/>
  <c r="O56" i="2" s="1"/>
  <c r="H55" i="2"/>
  <c r="H56" i="2" s="1"/>
  <c r="P55" i="2"/>
  <c r="P56" i="2" s="1"/>
  <c r="J55" i="2"/>
  <c r="J56" i="2" s="1"/>
  <c r="E78" i="7"/>
  <c r="D25" i="6"/>
  <c r="D24" i="7"/>
  <c r="L94" i="7" l="1"/>
  <c r="K87" i="6"/>
  <c r="L82" i="6"/>
  <c r="L87" i="6"/>
  <c r="L74" i="6"/>
  <c r="M102" i="3"/>
  <c r="L102" i="3"/>
  <c r="K74" i="6"/>
  <c r="T36" i="5"/>
  <c r="T96" i="3"/>
  <c r="F89" i="6"/>
  <c r="U32" i="2"/>
  <c r="F80" i="6"/>
  <c r="U20" i="2"/>
  <c r="T98" i="3"/>
  <c r="P102" i="3"/>
  <c r="Q102" i="3"/>
  <c r="J102" i="3"/>
  <c r="R102" i="3"/>
  <c r="H102" i="3"/>
  <c r="I102" i="3"/>
  <c r="N102" i="3"/>
  <c r="T97" i="3"/>
  <c r="O102" i="3"/>
  <c r="K102" i="3"/>
  <c r="T32" i="5"/>
  <c r="T31" i="5"/>
  <c r="T38" i="5"/>
  <c r="N82" i="6"/>
  <c r="N87" i="6"/>
  <c r="I82" i="6"/>
  <c r="I87" i="6"/>
  <c r="J82" i="6"/>
  <c r="J87" i="6"/>
  <c r="M82" i="6"/>
  <c r="M87" i="6"/>
  <c r="O82" i="6"/>
  <c r="O87" i="6"/>
  <c r="P82" i="6"/>
  <c r="P87" i="6"/>
  <c r="G82" i="6"/>
  <c r="G87" i="6"/>
  <c r="H82" i="6"/>
  <c r="H87" i="6"/>
  <c r="Q82" i="6"/>
  <c r="Q87" i="6"/>
  <c r="F82" i="6"/>
  <c r="F87" i="6"/>
  <c r="J24" i="4"/>
  <c r="J25" i="4" s="1"/>
  <c r="H24" i="4"/>
  <c r="H25" i="4" s="1"/>
  <c r="O24" i="4"/>
  <c r="O25" i="4" s="1"/>
  <c r="P24" i="4"/>
  <c r="P25" i="4" s="1"/>
  <c r="N24" i="4"/>
  <c r="N25" i="4" s="1"/>
  <c r="K24" i="4"/>
  <c r="K25" i="4" s="1"/>
  <c r="R24" i="4"/>
  <c r="R25" i="4" s="1"/>
  <c r="E70" i="7"/>
  <c r="Q24" i="4"/>
  <c r="Q25" i="4" s="1"/>
  <c r="I24" i="4"/>
  <c r="I25" i="4" s="1"/>
  <c r="G25" i="4"/>
  <c r="I75" i="6"/>
  <c r="O75" i="6"/>
  <c r="J75" i="6"/>
  <c r="M75" i="6"/>
  <c r="P75" i="6"/>
  <c r="G75" i="6"/>
  <c r="H75" i="6"/>
  <c r="Q75" i="6"/>
  <c r="N75" i="6"/>
  <c r="F75" i="6"/>
  <c r="N74" i="6"/>
  <c r="O74" i="6"/>
  <c r="G74" i="6"/>
  <c r="P74" i="6"/>
  <c r="J74" i="6"/>
  <c r="H74" i="6"/>
  <c r="I74" i="6"/>
  <c r="M74" i="6"/>
  <c r="Q74" i="6"/>
  <c r="F74" i="6"/>
  <c r="T99" i="3"/>
  <c r="G102" i="3"/>
  <c r="U115" i="2"/>
  <c r="G116" i="2"/>
  <c r="U116" i="2" s="1"/>
  <c r="T50" i="3"/>
  <c r="T75" i="3"/>
  <c r="T49" i="3"/>
  <c r="T48" i="3"/>
  <c r="U89" i="2"/>
  <c r="P86" i="2"/>
  <c r="Q86" i="2"/>
  <c r="K86" i="2"/>
  <c r="R86" i="2"/>
  <c r="U84" i="2"/>
  <c r="J86" i="2"/>
  <c r="O86" i="2"/>
  <c r="U83" i="2"/>
  <c r="G86" i="2"/>
  <c r="N86" i="2"/>
  <c r="I86" i="2"/>
  <c r="U85" i="2"/>
  <c r="H86" i="2"/>
  <c r="U55" i="2"/>
  <c r="I94" i="7"/>
  <c r="J90" i="2" s="1"/>
  <c r="U56" i="2"/>
  <c r="D26" i="6"/>
  <c r="D25" i="7"/>
  <c r="E89" i="6" l="1"/>
  <c r="E80" i="6"/>
  <c r="E82" i="6"/>
  <c r="E87" i="6"/>
  <c r="E75" i="6"/>
  <c r="T24" i="4"/>
  <c r="T25" i="4"/>
  <c r="E74" i="6"/>
  <c r="T102" i="3"/>
  <c r="J92" i="2"/>
  <c r="U86" i="2"/>
  <c r="O94" i="7"/>
  <c r="P90" i="2" s="1"/>
  <c r="N94" i="7"/>
  <c r="O90" i="2" s="1"/>
  <c r="M94" i="7"/>
  <c r="N90" i="2" s="1"/>
  <c r="F94" i="7"/>
  <c r="G90" i="2" s="1"/>
  <c r="H94" i="7"/>
  <c r="I90" i="2" s="1"/>
  <c r="P94" i="7"/>
  <c r="Q90" i="2" s="1"/>
  <c r="Q94" i="7"/>
  <c r="R90" i="2" s="1"/>
  <c r="J94" i="7"/>
  <c r="K90" i="2" s="1"/>
  <c r="G94" i="7"/>
  <c r="H90" i="2" s="1"/>
  <c r="D27" i="6"/>
  <c r="D26" i="7"/>
  <c r="F74" i="7" l="1"/>
  <c r="G54" i="3" s="1"/>
  <c r="L74" i="7"/>
  <c r="K74" i="7"/>
  <c r="F87" i="7"/>
  <c r="G131" i="3" s="1"/>
  <c r="L87" i="7"/>
  <c r="M131" i="3" s="1"/>
  <c r="K87" i="7"/>
  <c r="L131" i="3" s="1"/>
  <c r="F82" i="7"/>
  <c r="G35" i="4" s="1"/>
  <c r="G37" i="4" s="1"/>
  <c r="L82" i="7"/>
  <c r="K82" i="7"/>
  <c r="F80" i="7"/>
  <c r="G116" i="3" s="1"/>
  <c r="L80" i="7"/>
  <c r="K80" i="7"/>
  <c r="F75" i="7"/>
  <c r="G48" i="5" s="1"/>
  <c r="L75" i="7"/>
  <c r="K75" i="7"/>
  <c r="L89" i="7"/>
  <c r="M16" i="4" s="1"/>
  <c r="M17" i="4" s="1"/>
  <c r="K89" i="7"/>
  <c r="L16" i="4" s="1"/>
  <c r="L17" i="4" s="1"/>
  <c r="G12" i="4"/>
  <c r="I80" i="7"/>
  <c r="N80" i="7"/>
  <c r="P80" i="7"/>
  <c r="G80" i="7"/>
  <c r="Q80" i="7"/>
  <c r="H80" i="7"/>
  <c r="M80" i="7"/>
  <c r="O80" i="7"/>
  <c r="J80" i="7"/>
  <c r="Q89" i="7"/>
  <c r="N89" i="7"/>
  <c r="I89" i="7"/>
  <c r="O89" i="7"/>
  <c r="G89" i="7"/>
  <c r="J89" i="7"/>
  <c r="P89" i="7"/>
  <c r="H89" i="7"/>
  <c r="M89" i="7"/>
  <c r="F89" i="7"/>
  <c r="H82" i="7"/>
  <c r="P82" i="7"/>
  <c r="G82" i="7"/>
  <c r="H33" i="5" s="1"/>
  <c r="N82" i="7"/>
  <c r="M82" i="7"/>
  <c r="I82" i="7"/>
  <c r="J82" i="7"/>
  <c r="K33" i="5" s="1"/>
  <c r="Q82" i="7"/>
  <c r="R35" i="4" s="1"/>
  <c r="R37" i="4" s="1"/>
  <c r="R39" i="4" s="1"/>
  <c r="O82" i="7"/>
  <c r="Q87" i="7"/>
  <c r="R131" i="3" s="1"/>
  <c r="M87" i="7"/>
  <c r="G87" i="7"/>
  <c r="H131" i="3" s="1"/>
  <c r="P87" i="7"/>
  <c r="Q131" i="3" s="1"/>
  <c r="J87" i="7"/>
  <c r="K131" i="3" s="1"/>
  <c r="O87" i="7"/>
  <c r="I87" i="7"/>
  <c r="J131" i="3" s="1"/>
  <c r="N87" i="7"/>
  <c r="O131" i="3" s="1"/>
  <c r="H87" i="7"/>
  <c r="I131" i="3" s="1"/>
  <c r="O75" i="7"/>
  <c r="J75" i="7"/>
  <c r="M75" i="7"/>
  <c r="Q75" i="7"/>
  <c r="I75" i="7"/>
  <c r="P75" i="7"/>
  <c r="H75" i="7"/>
  <c r="G75" i="7"/>
  <c r="N75" i="7"/>
  <c r="Q74" i="7"/>
  <c r="M74" i="7"/>
  <c r="G74" i="7"/>
  <c r="P74" i="7"/>
  <c r="J74" i="7"/>
  <c r="O74" i="7"/>
  <c r="I74" i="7"/>
  <c r="N74" i="7"/>
  <c r="H74" i="7"/>
  <c r="T72" i="3"/>
  <c r="U90" i="2"/>
  <c r="H92" i="2"/>
  <c r="I92" i="2"/>
  <c r="P92" i="2"/>
  <c r="K92" i="2"/>
  <c r="R92" i="2"/>
  <c r="N92" i="2"/>
  <c r="Q92" i="2"/>
  <c r="O92" i="2"/>
  <c r="E94" i="7"/>
  <c r="D28" i="6"/>
  <c r="D27" i="7"/>
  <c r="G151" i="2" l="1"/>
  <c r="G74" i="3"/>
  <c r="G77" i="2"/>
  <c r="L12" i="4"/>
  <c r="L13" i="4" s="1"/>
  <c r="L41" i="5"/>
  <c r="L46" i="5"/>
  <c r="L30" i="5"/>
  <c r="L39" i="5"/>
  <c r="L44" i="5"/>
  <c r="L35" i="5"/>
  <c r="L16" i="5"/>
  <c r="L17" i="5" s="1"/>
  <c r="L9" i="8" s="1"/>
  <c r="M35" i="4"/>
  <c r="M37" i="4" s="1"/>
  <c r="M39" i="4" s="1"/>
  <c r="M33" i="5"/>
  <c r="L20" i="4"/>
  <c r="L21" i="4" s="1"/>
  <c r="L47" i="5"/>
  <c r="L48" i="5"/>
  <c r="M12" i="4"/>
  <c r="M13" i="4" s="1"/>
  <c r="M41" i="5"/>
  <c r="M46" i="5"/>
  <c r="M30" i="5"/>
  <c r="M35" i="5"/>
  <c r="M16" i="5"/>
  <c r="M17" i="5" s="1"/>
  <c r="M9" i="8" s="1"/>
  <c r="M39" i="5"/>
  <c r="M44" i="5"/>
  <c r="M20" i="4"/>
  <c r="M21" i="4" s="1"/>
  <c r="M48" i="5"/>
  <c r="M47" i="5"/>
  <c r="L35" i="4"/>
  <c r="L37" i="4" s="1"/>
  <c r="L39" i="4" s="1"/>
  <c r="L33" i="5"/>
  <c r="M54" i="3"/>
  <c r="M47" i="3"/>
  <c r="M117" i="3"/>
  <c r="M126" i="3"/>
  <c r="M43" i="3"/>
  <c r="M44" i="3" s="1"/>
  <c r="L132" i="3"/>
  <c r="L130" i="3"/>
  <c r="L128" i="3"/>
  <c r="L122" i="3"/>
  <c r="L115" i="3"/>
  <c r="L133" i="3"/>
  <c r="L129" i="3"/>
  <c r="L120" i="3"/>
  <c r="L116" i="3"/>
  <c r="L114" i="3"/>
  <c r="L69" i="3"/>
  <c r="M134" i="3"/>
  <c r="M125" i="3"/>
  <c r="M135" i="3"/>
  <c r="L118" i="3"/>
  <c r="L74" i="3"/>
  <c r="M132" i="3"/>
  <c r="M130" i="3"/>
  <c r="M128" i="3"/>
  <c r="M122" i="3"/>
  <c r="M115" i="3"/>
  <c r="M133" i="3"/>
  <c r="M129" i="3"/>
  <c r="M120" i="3"/>
  <c r="M116" i="3"/>
  <c r="M114" i="3"/>
  <c r="M69" i="3"/>
  <c r="L54" i="3"/>
  <c r="L47" i="3"/>
  <c r="M74" i="3"/>
  <c r="M118" i="3"/>
  <c r="L117" i="3"/>
  <c r="L126" i="3"/>
  <c r="L43" i="3"/>
  <c r="L44" i="3" s="1"/>
  <c r="L134" i="3"/>
  <c r="L125" i="3"/>
  <c r="L135" i="3"/>
  <c r="G135" i="2"/>
  <c r="G135" i="3"/>
  <c r="G115" i="3"/>
  <c r="G39" i="5"/>
  <c r="G46" i="5"/>
  <c r="G41" i="5"/>
  <c r="G128" i="3"/>
  <c r="G30" i="5"/>
  <c r="G118" i="3"/>
  <c r="G148" i="2"/>
  <c r="G47" i="5"/>
  <c r="G47" i="3"/>
  <c r="F72" i="6" s="1"/>
  <c r="G145" i="2"/>
  <c r="G20" i="4"/>
  <c r="G21" i="4" s="1"/>
  <c r="G149" i="2"/>
  <c r="G16" i="5"/>
  <c r="G17" i="5" s="1"/>
  <c r="G63" i="2"/>
  <c r="G134" i="3"/>
  <c r="G33" i="5"/>
  <c r="G44" i="5"/>
  <c r="G35" i="5"/>
  <c r="G130" i="3"/>
  <c r="G129" i="3"/>
  <c r="G120" i="3"/>
  <c r="G114" i="3"/>
  <c r="G146" i="2"/>
  <c r="G12" i="2"/>
  <c r="G143" i="2"/>
  <c r="G136" i="2"/>
  <c r="M147" i="2"/>
  <c r="M137" i="2"/>
  <c r="M150" i="2"/>
  <c r="M144" i="2"/>
  <c r="M140" i="2"/>
  <c r="M134" i="2"/>
  <c r="M78" i="2"/>
  <c r="M13" i="2"/>
  <c r="L149" i="2"/>
  <c r="L143" i="2"/>
  <c r="L133" i="2"/>
  <c r="L77" i="2"/>
  <c r="L146" i="2"/>
  <c r="L136" i="2"/>
  <c r="L12" i="2"/>
  <c r="L151" i="2"/>
  <c r="L145" i="2"/>
  <c r="L135" i="2"/>
  <c r="L148" i="2"/>
  <c r="M149" i="2"/>
  <c r="M143" i="2"/>
  <c r="M133" i="2"/>
  <c r="M146" i="2"/>
  <c r="M136" i="2"/>
  <c r="M12" i="2"/>
  <c r="M77" i="2"/>
  <c r="M151" i="2"/>
  <c r="M145" i="2"/>
  <c r="M135" i="2"/>
  <c r="M148" i="2"/>
  <c r="M138" i="2"/>
  <c r="M63" i="2"/>
  <c r="L147" i="2"/>
  <c r="L137" i="2"/>
  <c r="L13" i="2"/>
  <c r="L150" i="2"/>
  <c r="L144" i="2"/>
  <c r="L140" i="2"/>
  <c r="L134" i="2"/>
  <c r="L78" i="2"/>
  <c r="L138" i="2"/>
  <c r="L63" i="2"/>
  <c r="G125" i="3"/>
  <c r="G133" i="2"/>
  <c r="G132" i="3"/>
  <c r="G69" i="3"/>
  <c r="G76" i="3" s="1"/>
  <c r="G122" i="3"/>
  <c r="G133" i="3"/>
  <c r="R126" i="3"/>
  <c r="R140" i="2"/>
  <c r="R13" i="2"/>
  <c r="R16" i="4"/>
  <c r="R17" i="4" s="1"/>
  <c r="R134" i="2"/>
  <c r="R147" i="2"/>
  <c r="R78" i="2"/>
  <c r="R144" i="2"/>
  <c r="R137" i="2"/>
  <c r="R43" i="3"/>
  <c r="R44" i="3" s="1"/>
  <c r="R150" i="2"/>
  <c r="R41" i="5"/>
  <c r="R16" i="5"/>
  <c r="R17" i="5" s="1"/>
  <c r="R9" i="8" s="1"/>
  <c r="R133" i="3"/>
  <c r="R115" i="3"/>
  <c r="R122" i="3"/>
  <c r="R143" i="2"/>
  <c r="R77" i="2"/>
  <c r="R39" i="5"/>
  <c r="R128" i="3"/>
  <c r="R120" i="3"/>
  <c r="R136" i="2"/>
  <c r="R46" i="5"/>
  <c r="R114" i="3"/>
  <c r="R149" i="2"/>
  <c r="R44" i="5"/>
  <c r="R30" i="5"/>
  <c r="R69" i="3"/>
  <c r="R12" i="4"/>
  <c r="R13" i="4" s="1"/>
  <c r="R116" i="3"/>
  <c r="R130" i="3"/>
  <c r="R146" i="2"/>
  <c r="R12" i="2"/>
  <c r="R132" i="3"/>
  <c r="R35" i="5"/>
  <c r="R129" i="3"/>
  <c r="R133" i="2"/>
  <c r="Q147" i="2"/>
  <c r="Q140" i="2"/>
  <c r="Q137" i="2"/>
  <c r="Q78" i="2"/>
  <c r="Q144" i="2"/>
  <c r="Q126" i="3"/>
  <c r="Q13" i="2"/>
  <c r="Q134" i="2"/>
  <c r="Q16" i="4"/>
  <c r="Q17" i="4" s="1"/>
  <c r="Q43" i="3"/>
  <c r="Q44" i="3" s="1"/>
  <c r="Q150" i="2"/>
  <c r="Q41" i="5"/>
  <c r="Q16" i="5"/>
  <c r="Q17" i="5" s="1"/>
  <c r="Q9" i="8" s="1"/>
  <c r="Q133" i="3"/>
  <c r="Q122" i="3"/>
  <c r="Q116" i="3"/>
  <c r="Q39" i="5"/>
  <c r="Q120" i="3"/>
  <c r="Q133" i="2"/>
  <c r="Q44" i="5"/>
  <c r="Q12" i="4"/>
  <c r="Q13" i="4" s="1"/>
  <c r="Q114" i="3"/>
  <c r="Q136" i="2"/>
  <c r="Q77" i="2"/>
  <c r="Q30" i="5"/>
  <c r="Q130" i="3"/>
  <c r="Q132" i="3"/>
  <c r="Q128" i="3"/>
  <c r="Q149" i="2"/>
  <c r="Q146" i="2"/>
  <c r="Q46" i="5"/>
  <c r="Q69" i="3"/>
  <c r="Q129" i="3"/>
  <c r="Q143" i="2"/>
  <c r="Q12" i="2"/>
  <c r="Q35" i="5"/>
  <c r="Q115" i="3"/>
  <c r="I117" i="3"/>
  <c r="I126" i="3"/>
  <c r="I147" i="2"/>
  <c r="I13" i="2"/>
  <c r="I144" i="2"/>
  <c r="I137" i="2"/>
  <c r="I16" i="4"/>
  <c r="I17" i="4" s="1"/>
  <c r="I43" i="3"/>
  <c r="I44" i="3" s="1"/>
  <c r="I150" i="2"/>
  <c r="I134" i="2"/>
  <c r="I140" i="2"/>
  <c r="I78" i="2"/>
  <c r="K35" i="5"/>
  <c r="K44" i="5"/>
  <c r="K128" i="3"/>
  <c r="K114" i="3"/>
  <c r="K122" i="3"/>
  <c r="K146" i="2"/>
  <c r="K30" i="5"/>
  <c r="K69" i="3"/>
  <c r="K115" i="3"/>
  <c r="K120" i="3"/>
  <c r="K133" i="3"/>
  <c r="K143" i="2"/>
  <c r="K133" i="2"/>
  <c r="K12" i="2"/>
  <c r="K41" i="5"/>
  <c r="K116" i="3"/>
  <c r="K77" i="2"/>
  <c r="K39" i="5"/>
  <c r="K12" i="4"/>
  <c r="K13" i="4" s="1"/>
  <c r="K129" i="3"/>
  <c r="K16" i="5"/>
  <c r="K17" i="5" s="1"/>
  <c r="K9" i="8" s="1"/>
  <c r="K132" i="3"/>
  <c r="K46" i="5"/>
  <c r="K130" i="3"/>
  <c r="K149" i="2"/>
  <c r="K136" i="2"/>
  <c r="P39" i="5"/>
  <c r="P12" i="4"/>
  <c r="P13" i="4" s="1"/>
  <c r="P132" i="3"/>
  <c r="P114" i="3"/>
  <c r="P143" i="2"/>
  <c r="P46" i="5"/>
  <c r="P35" i="5"/>
  <c r="P69" i="3"/>
  <c r="P128" i="3"/>
  <c r="P116" i="3"/>
  <c r="P133" i="3"/>
  <c r="P133" i="2"/>
  <c r="P77" i="2"/>
  <c r="P44" i="5"/>
  <c r="P30" i="5"/>
  <c r="P16" i="5"/>
  <c r="P17" i="5" s="1"/>
  <c r="P9" i="8" s="1"/>
  <c r="P130" i="3"/>
  <c r="P149" i="2"/>
  <c r="P129" i="3"/>
  <c r="P122" i="3"/>
  <c r="P136" i="2"/>
  <c r="P12" i="2"/>
  <c r="P120" i="3"/>
  <c r="P41" i="5"/>
  <c r="P115" i="3"/>
  <c r="P146" i="2"/>
  <c r="Q117" i="3"/>
  <c r="O16" i="4"/>
  <c r="O17" i="4" s="1"/>
  <c r="O150" i="2"/>
  <c r="O147" i="2"/>
  <c r="O134" i="2"/>
  <c r="O43" i="3"/>
  <c r="O44" i="3" s="1"/>
  <c r="O78" i="2"/>
  <c r="O117" i="3"/>
  <c r="O137" i="2"/>
  <c r="O144" i="2"/>
  <c r="O140" i="2"/>
  <c r="O126" i="3"/>
  <c r="O13" i="2"/>
  <c r="J117" i="3"/>
  <c r="J126" i="3"/>
  <c r="J140" i="2"/>
  <c r="J150" i="2"/>
  <c r="J147" i="2"/>
  <c r="J13" i="2"/>
  <c r="J134" i="2"/>
  <c r="J16" i="4"/>
  <c r="J17" i="4" s="1"/>
  <c r="J43" i="3"/>
  <c r="J44" i="3" s="1"/>
  <c r="J78" i="2"/>
  <c r="J144" i="2"/>
  <c r="J137" i="2"/>
  <c r="N46" i="5"/>
  <c r="N35" i="5"/>
  <c r="N132" i="3"/>
  <c r="N122" i="3"/>
  <c r="N114" i="3"/>
  <c r="N44" i="5"/>
  <c r="N30" i="5"/>
  <c r="N130" i="3"/>
  <c r="N116" i="3"/>
  <c r="N149" i="2"/>
  <c r="N146" i="2"/>
  <c r="N136" i="2"/>
  <c r="N41" i="5"/>
  <c r="N16" i="5"/>
  <c r="N17" i="5" s="1"/>
  <c r="N9" i="8" s="1"/>
  <c r="N12" i="4"/>
  <c r="N13" i="4" s="1"/>
  <c r="N128" i="3"/>
  <c r="N143" i="2"/>
  <c r="N133" i="2"/>
  <c r="N133" i="3"/>
  <c r="N39" i="5"/>
  <c r="N129" i="3"/>
  <c r="N115" i="3"/>
  <c r="N69" i="3"/>
  <c r="N120" i="3"/>
  <c r="N12" i="2"/>
  <c r="N77" i="2"/>
  <c r="H41" i="5"/>
  <c r="H16" i="5"/>
  <c r="H17" i="5" s="1"/>
  <c r="H9" i="8" s="1"/>
  <c r="H122" i="3"/>
  <c r="H116" i="3"/>
  <c r="H149" i="2"/>
  <c r="H133" i="2"/>
  <c r="H39" i="5"/>
  <c r="H69" i="3"/>
  <c r="H12" i="4"/>
  <c r="H13" i="4" s="1"/>
  <c r="H128" i="3"/>
  <c r="H129" i="3"/>
  <c r="H146" i="2"/>
  <c r="H12" i="2"/>
  <c r="H46" i="5"/>
  <c r="H44" i="5"/>
  <c r="H133" i="3"/>
  <c r="H77" i="2"/>
  <c r="H130" i="3"/>
  <c r="H120" i="3"/>
  <c r="H35" i="5"/>
  <c r="H115" i="3"/>
  <c r="H136" i="2"/>
  <c r="H30" i="5"/>
  <c r="H132" i="3"/>
  <c r="H114" i="3"/>
  <c r="H143" i="2"/>
  <c r="E80" i="7"/>
  <c r="G117" i="3"/>
  <c r="G126" i="3"/>
  <c r="G147" i="2"/>
  <c r="G140" i="2"/>
  <c r="G144" i="2"/>
  <c r="G13" i="2"/>
  <c r="G134" i="2"/>
  <c r="G150" i="2"/>
  <c r="G78" i="2"/>
  <c r="E89" i="7"/>
  <c r="G137" i="2"/>
  <c r="G16" i="4"/>
  <c r="G43" i="3"/>
  <c r="K117" i="3"/>
  <c r="K43" i="3"/>
  <c r="K44" i="3" s="1"/>
  <c r="K147" i="2"/>
  <c r="K137" i="2"/>
  <c r="K78" i="2"/>
  <c r="K140" i="2"/>
  <c r="K144" i="2"/>
  <c r="K134" i="2"/>
  <c r="K13" i="2"/>
  <c r="K150" i="2"/>
  <c r="K126" i="3"/>
  <c r="K16" i="4"/>
  <c r="K17" i="4" s="1"/>
  <c r="O39" i="5"/>
  <c r="O46" i="5"/>
  <c r="O122" i="3"/>
  <c r="O120" i="3"/>
  <c r="O115" i="3"/>
  <c r="O133" i="2"/>
  <c r="O35" i="5"/>
  <c r="O44" i="5"/>
  <c r="O69" i="3"/>
  <c r="O129" i="3"/>
  <c r="O132" i="3"/>
  <c r="O130" i="3"/>
  <c r="O146" i="2"/>
  <c r="O143" i="2"/>
  <c r="O77" i="2"/>
  <c r="O114" i="3"/>
  <c r="O149" i="2"/>
  <c r="O12" i="2"/>
  <c r="O133" i="3"/>
  <c r="O136" i="2"/>
  <c r="O41" i="5"/>
  <c r="O116" i="3"/>
  <c r="O30" i="5"/>
  <c r="O12" i="4"/>
  <c r="O13" i="4" s="1"/>
  <c r="O16" i="5"/>
  <c r="O17" i="5" s="1"/>
  <c r="O9" i="8" s="1"/>
  <c r="O128" i="3"/>
  <c r="N126" i="3"/>
  <c r="N16" i="4"/>
  <c r="N17" i="4" s="1"/>
  <c r="N150" i="2"/>
  <c r="N13" i="2"/>
  <c r="N43" i="3"/>
  <c r="N44" i="3" s="1"/>
  <c r="N137" i="2"/>
  <c r="N134" i="2"/>
  <c r="N147" i="2"/>
  <c r="N117" i="3"/>
  <c r="N140" i="2"/>
  <c r="N144" i="2"/>
  <c r="N78" i="2"/>
  <c r="J44" i="5"/>
  <c r="J30" i="5"/>
  <c r="J128" i="3"/>
  <c r="J116" i="3"/>
  <c r="J114" i="3"/>
  <c r="J136" i="2"/>
  <c r="J41" i="5"/>
  <c r="J16" i="5"/>
  <c r="J17" i="5" s="1"/>
  <c r="J9" i="8" s="1"/>
  <c r="J120" i="3"/>
  <c r="J129" i="3"/>
  <c r="J115" i="3"/>
  <c r="J39" i="5"/>
  <c r="J133" i="3"/>
  <c r="J143" i="2"/>
  <c r="J133" i="2"/>
  <c r="J12" i="2"/>
  <c r="J122" i="3"/>
  <c r="J69" i="3"/>
  <c r="J132" i="3"/>
  <c r="J149" i="2"/>
  <c r="J46" i="5"/>
  <c r="J130" i="3"/>
  <c r="J146" i="2"/>
  <c r="J35" i="5"/>
  <c r="J12" i="4"/>
  <c r="J13" i="4" s="1"/>
  <c r="J77" i="2"/>
  <c r="H117" i="3"/>
  <c r="H150" i="2"/>
  <c r="H134" i="2"/>
  <c r="H16" i="4"/>
  <c r="H17" i="4" s="1"/>
  <c r="H147" i="2"/>
  <c r="H78" i="2"/>
  <c r="H43" i="3"/>
  <c r="H44" i="3" s="1"/>
  <c r="H144" i="2"/>
  <c r="H137" i="2"/>
  <c r="H140" i="2"/>
  <c r="H13" i="2"/>
  <c r="H126" i="3"/>
  <c r="R117" i="3"/>
  <c r="P117" i="3"/>
  <c r="P16" i="4"/>
  <c r="P17" i="4" s="1"/>
  <c r="P144" i="2"/>
  <c r="P137" i="2"/>
  <c r="P78" i="2"/>
  <c r="P43" i="3"/>
  <c r="P44" i="3" s="1"/>
  <c r="P140" i="2"/>
  <c r="P126" i="3"/>
  <c r="P13" i="2"/>
  <c r="P147" i="2"/>
  <c r="P150" i="2"/>
  <c r="P134" i="2"/>
  <c r="I30" i="5"/>
  <c r="I116" i="3"/>
  <c r="I129" i="3"/>
  <c r="I114" i="3"/>
  <c r="I146" i="2"/>
  <c r="I41" i="5"/>
  <c r="I16" i="5"/>
  <c r="I17" i="5" s="1"/>
  <c r="I9" i="8" s="1"/>
  <c r="I130" i="3"/>
  <c r="I128" i="3"/>
  <c r="I143" i="2"/>
  <c r="I136" i="2"/>
  <c r="I39" i="5"/>
  <c r="I120" i="3"/>
  <c r="I133" i="3"/>
  <c r="I12" i="4"/>
  <c r="I13" i="4" s="1"/>
  <c r="I133" i="2"/>
  <c r="I35" i="5"/>
  <c r="I115" i="3"/>
  <c r="I12" i="2"/>
  <c r="I46" i="5"/>
  <c r="I122" i="3"/>
  <c r="I77" i="2"/>
  <c r="I44" i="5"/>
  <c r="I69" i="3"/>
  <c r="I132" i="3"/>
  <c r="I149" i="2"/>
  <c r="G13" i="4"/>
  <c r="P131" i="3"/>
  <c r="O125" i="3"/>
  <c r="N131" i="3"/>
  <c r="H20" i="4"/>
  <c r="H21" i="4" s="1"/>
  <c r="H48" i="5"/>
  <c r="H47" i="5"/>
  <c r="I74" i="3"/>
  <c r="I48" i="5"/>
  <c r="I47" i="5"/>
  <c r="J74" i="3"/>
  <c r="J48" i="5"/>
  <c r="J47" i="5"/>
  <c r="R74" i="3"/>
  <c r="R48" i="5"/>
  <c r="R47" i="5"/>
  <c r="K74" i="3"/>
  <c r="K48" i="5"/>
  <c r="K47" i="5"/>
  <c r="P35" i="4"/>
  <c r="P37" i="4" s="1"/>
  <c r="P39" i="4" s="1"/>
  <c r="P33" i="5"/>
  <c r="N125" i="3"/>
  <c r="N33" i="5"/>
  <c r="Q135" i="3"/>
  <c r="Q33" i="5"/>
  <c r="O151" i="2"/>
  <c r="O48" i="5"/>
  <c r="O47" i="5"/>
  <c r="Q20" i="4"/>
  <c r="Q21" i="4" s="1"/>
  <c r="Q48" i="5"/>
  <c r="Q47" i="5"/>
  <c r="N148" i="2"/>
  <c r="N48" i="5"/>
  <c r="N47" i="5"/>
  <c r="P118" i="3"/>
  <c r="P48" i="5"/>
  <c r="P47" i="5"/>
  <c r="R125" i="3"/>
  <c r="R33" i="5"/>
  <c r="J63" i="2"/>
  <c r="J33" i="5"/>
  <c r="O35" i="4"/>
  <c r="O37" i="4" s="1"/>
  <c r="O39" i="4" s="1"/>
  <c r="O33" i="5"/>
  <c r="I134" i="3"/>
  <c r="I33" i="5"/>
  <c r="I63" i="2"/>
  <c r="I35" i="4"/>
  <c r="I37" i="4" s="1"/>
  <c r="I39" i="4" s="1"/>
  <c r="Q63" i="2"/>
  <c r="I135" i="3"/>
  <c r="I125" i="3"/>
  <c r="R63" i="2"/>
  <c r="J125" i="3"/>
  <c r="O63" i="2"/>
  <c r="Q35" i="4"/>
  <c r="Q37" i="4" s="1"/>
  <c r="Q39" i="4" s="1"/>
  <c r="Q134" i="3"/>
  <c r="Q125" i="3"/>
  <c r="N35" i="4"/>
  <c r="N37" i="4" s="1"/>
  <c r="N39" i="4" s="1"/>
  <c r="P125" i="3"/>
  <c r="K135" i="3"/>
  <c r="K134" i="3"/>
  <c r="H135" i="3"/>
  <c r="H134" i="3"/>
  <c r="H35" i="4"/>
  <c r="H37" i="4" s="1"/>
  <c r="H39" i="4" s="1"/>
  <c r="J135" i="3"/>
  <c r="J134" i="3"/>
  <c r="J35" i="4"/>
  <c r="J37" i="4" s="1"/>
  <c r="J39" i="4" s="1"/>
  <c r="E82" i="7"/>
  <c r="H125" i="3"/>
  <c r="K125" i="3"/>
  <c r="P135" i="3"/>
  <c r="P134" i="3"/>
  <c r="N135" i="3"/>
  <c r="N134" i="3"/>
  <c r="K35" i="4"/>
  <c r="K37" i="4" s="1"/>
  <c r="K39" i="4" s="1"/>
  <c r="H63" i="2"/>
  <c r="P63" i="2"/>
  <c r="K63" i="2"/>
  <c r="N63" i="2"/>
  <c r="R134" i="3"/>
  <c r="R135" i="3"/>
  <c r="O134" i="3"/>
  <c r="O135" i="3"/>
  <c r="E87" i="7"/>
  <c r="P148" i="2"/>
  <c r="K145" i="2"/>
  <c r="P74" i="3"/>
  <c r="K118" i="3"/>
  <c r="P135" i="2"/>
  <c r="P20" i="4"/>
  <c r="P21" i="4" s="1"/>
  <c r="P145" i="2"/>
  <c r="P151" i="2"/>
  <c r="O148" i="2"/>
  <c r="N20" i="4"/>
  <c r="N21" i="4" s="1"/>
  <c r="K151" i="2"/>
  <c r="J20" i="4"/>
  <c r="J21" i="4" s="1"/>
  <c r="K148" i="2"/>
  <c r="J135" i="2"/>
  <c r="K20" i="4"/>
  <c r="K21" i="4" s="1"/>
  <c r="R118" i="3"/>
  <c r="R145" i="2"/>
  <c r="N151" i="2"/>
  <c r="O118" i="3"/>
  <c r="R135" i="2"/>
  <c r="K135" i="2"/>
  <c r="N74" i="3"/>
  <c r="O20" i="4"/>
  <c r="O21" i="4" s="1"/>
  <c r="O135" i="2"/>
  <c r="N135" i="2"/>
  <c r="O145" i="2"/>
  <c r="N145" i="2"/>
  <c r="N118" i="3"/>
  <c r="O74" i="3"/>
  <c r="Q151" i="2"/>
  <c r="R20" i="4"/>
  <c r="R21" i="4" s="1"/>
  <c r="R148" i="2"/>
  <c r="J145" i="2"/>
  <c r="H145" i="2"/>
  <c r="I20" i="4"/>
  <c r="I21" i="4" s="1"/>
  <c r="I145" i="2"/>
  <c r="J151" i="2"/>
  <c r="Q74" i="3"/>
  <c r="J118" i="3"/>
  <c r="Q145" i="2"/>
  <c r="R151" i="2"/>
  <c r="J148" i="2"/>
  <c r="E75" i="7"/>
  <c r="I148" i="2"/>
  <c r="H151" i="2"/>
  <c r="H118" i="3"/>
  <c r="I135" i="2"/>
  <c r="Q135" i="2"/>
  <c r="H135" i="2"/>
  <c r="I118" i="3"/>
  <c r="Q118" i="3"/>
  <c r="H74" i="3"/>
  <c r="I151" i="2"/>
  <c r="Q148" i="2"/>
  <c r="H148" i="2"/>
  <c r="G39" i="4"/>
  <c r="I47" i="3"/>
  <c r="I54" i="3"/>
  <c r="K47" i="3"/>
  <c r="K54" i="3"/>
  <c r="R47" i="3"/>
  <c r="R54" i="3"/>
  <c r="O47" i="3"/>
  <c r="O54" i="3"/>
  <c r="Q47" i="3"/>
  <c r="Q54" i="3"/>
  <c r="J47" i="3"/>
  <c r="J54" i="3"/>
  <c r="H47" i="3"/>
  <c r="H54" i="3"/>
  <c r="P47" i="3"/>
  <c r="P54" i="3"/>
  <c r="N47" i="3"/>
  <c r="N54" i="3"/>
  <c r="E74" i="7"/>
  <c r="U91" i="2"/>
  <c r="G92" i="2"/>
  <c r="U92" i="2" s="1"/>
  <c r="D29" i="6"/>
  <c r="D28" i="7"/>
  <c r="L31" i="4" l="1"/>
  <c r="L42" i="4" s="1"/>
  <c r="K85" i="6" s="1"/>
  <c r="M31" i="4"/>
  <c r="M42" i="4" s="1"/>
  <c r="L85" i="6" s="1"/>
  <c r="L86" i="6"/>
  <c r="K86" i="6"/>
  <c r="M76" i="3"/>
  <c r="L76" i="3"/>
  <c r="K72" i="6"/>
  <c r="L72" i="6"/>
  <c r="Q76" i="3"/>
  <c r="H76" i="3"/>
  <c r="P76" i="3"/>
  <c r="R76" i="3"/>
  <c r="U143" i="2"/>
  <c r="T129" i="3"/>
  <c r="T128" i="3"/>
  <c r="U133" i="2"/>
  <c r="J76" i="3"/>
  <c r="T116" i="3"/>
  <c r="H86" i="6"/>
  <c r="Q86" i="6"/>
  <c r="T122" i="3"/>
  <c r="T120" i="3"/>
  <c r="T30" i="5"/>
  <c r="T114" i="3"/>
  <c r="U77" i="2"/>
  <c r="P86" i="6"/>
  <c r="I86" i="6"/>
  <c r="T130" i="3"/>
  <c r="U149" i="2"/>
  <c r="T39" i="5"/>
  <c r="T115" i="3"/>
  <c r="U12" i="2"/>
  <c r="T41" i="5"/>
  <c r="T133" i="3"/>
  <c r="T46" i="5"/>
  <c r="N86" i="6"/>
  <c r="J86" i="6"/>
  <c r="T44" i="5"/>
  <c r="U136" i="2"/>
  <c r="U146" i="2"/>
  <c r="T132" i="3"/>
  <c r="T35" i="5"/>
  <c r="T69" i="3"/>
  <c r="T126" i="3"/>
  <c r="N76" i="3"/>
  <c r="M86" i="6"/>
  <c r="K76" i="3"/>
  <c r="G86" i="6"/>
  <c r="T12" i="4"/>
  <c r="G44" i="3"/>
  <c r="T44" i="3" s="1"/>
  <c r="T43" i="3"/>
  <c r="U78" i="2"/>
  <c r="U144" i="2"/>
  <c r="T117" i="3"/>
  <c r="G9" i="8"/>
  <c r="T9" i="8" s="1"/>
  <c r="T17" i="5"/>
  <c r="O76" i="3"/>
  <c r="I76" i="3"/>
  <c r="T131" i="3"/>
  <c r="T13" i="4"/>
  <c r="T16" i="4"/>
  <c r="G17" i="4"/>
  <c r="U150" i="2"/>
  <c r="U140" i="2"/>
  <c r="U13" i="2"/>
  <c r="T16" i="5"/>
  <c r="O86" i="6"/>
  <c r="U137" i="2"/>
  <c r="U134" i="2"/>
  <c r="U147" i="2"/>
  <c r="H31" i="4"/>
  <c r="H42" i="4" s="1"/>
  <c r="G85" i="6" s="1"/>
  <c r="T48" i="5"/>
  <c r="Q31" i="4"/>
  <c r="Q42" i="4" s="1"/>
  <c r="P85" i="6" s="1"/>
  <c r="T47" i="5"/>
  <c r="T33" i="5"/>
  <c r="T125" i="3"/>
  <c r="U63" i="2"/>
  <c r="T39" i="4"/>
  <c r="T35" i="4"/>
  <c r="T135" i="3"/>
  <c r="T37" i="4"/>
  <c r="T134" i="3"/>
  <c r="N31" i="4"/>
  <c r="N42" i="4" s="1"/>
  <c r="M85" i="6" s="1"/>
  <c r="P31" i="4"/>
  <c r="P42" i="4" s="1"/>
  <c r="O85" i="6" s="1"/>
  <c r="J31" i="4"/>
  <c r="J42" i="4" s="1"/>
  <c r="I85" i="6" s="1"/>
  <c r="I31" i="4"/>
  <c r="I42" i="4" s="1"/>
  <c r="H85" i="6" s="1"/>
  <c r="R31" i="4"/>
  <c r="R42" i="4" s="1"/>
  <c r="Q85" i="6" s="1"/>
  <c r="O31" i="4"/>
  <c r="O42" i="4" s="1"/>
  <c r="N85" i="6" s="1"/>
  <c r="K31" i="4"/>
  <c r="K42" i="4" s="1"/>
  <c r="J85" i="6" s="1"/>
  <c r="U145" i="2"/>
  <c r="T20" i="4"/>
  <c r="T118" i="3"/>
  <c r="U151" i="2"/>
  <c r="T21" i="4"/>
  <c r="U148" i="2"/>
  <c r="U135" i="2"/>
  <c r="T74" i="3"/>
  <c r="T47" i="3"/>
  <c r="M72" i="6"/>
  <c r="G72" i="6"/>
  <c r="N72" i="6"/>
  <c r="J72" i="6"/>
  <c r="O72" i="6"/>
  <c r="I72" i="6"/>
  <c r="P72" i="6"/>
  <c r="Q72" i="6"/>
  <c r="H72" i="6"/>
  <c r="T54" i="3"/>
  <c r="D30" i="6"/>
  <c r="D29" i="7"/>
  <c r="T76" i="3" l="1"/>
  <c r="T17" i="4"/>
  <c r="G31" i="4"/>
  <c r="G42" i="4" s="1"/>
  <c r="T42" i="4" s="1"/>
  <c r="F86" i="6"/>
  <c r="E86" i="6" s="1"/>
  <c r="E72" i="6"/>
  <c r="D31" i="6"/>
  <c r="D30" i="7"/>
  <c r="F86" i="7" l="1"/>
  <c r="G64" i="2" s="1"/>
  <c r="L86" i="7"/>
  <c r="K86" i="7"/>
  <c r="H72" i="7"/>
  <c r="I56" i="3" s="1"/>
  <c r="L72" i="7"/>
  <c r="K72" i="7"/>
  <c r="F85" i="6"/>
  <c r="E85" i="6" s="1"/>
  <c r="T31" i="4"/>
  <c r="J86" i="7"/>
  <c r="K65" i="2" s="1"/>
  <c r="Q86" i="7"/>
  <c r="R65" i="2" s="1"/>
  <c r="O86" i="7"/>
  <c r="H86" i="7"/>
  <c r="G86" i="7"/>
  <c r="H65" i="2" s="1"/>
  <c r="N86" i="7"/>
  <c r="P86" i="7"/>
  <c r="M86" i="7"/>
  <c r="I86" i="7"/>
  <c r="J65" i="2" s="1"/>
  <c r="O72" i="7"/>
  <c r="F72" i="7"/>
  <c r="G56" i="3" s="1"/>
  <c r="I72" i="7"/>
  <c r="J56" i="3" s="1"/>
  <c r="N72" i="7"/>
  <c r="G72" i="7"/>
  <c r="H56" i="3" s="1"/>
  <c r="P72" i="7"/>
  <c r="Q56" i="3" s="1"/>
  <c r="Q72" i="7"/>
  <c r="R56" i="3" s="1"/>
  <c r="J72" i="7"/>
  <c r="K56" i="3" s="1"/>
  <c r="M72" i="7"/>
  <c r="N56" i="3" s="1"/>
  <c r="D32" i="6"/>
  <c r="D31" i="7"/>
  <c r="L55" i="3" l="1"/>
  <c r="L56" i="3"/>
  <c r="M55" i="3"/>
  <c r="M56" i="3"/>
  <c r="G65" i="2"/>
  <c r="I55" i="3"/>
  <c r="I57" i="3" s="1"/>
  <c r="H90" i="6" s="1"/>
  <c r="L66" i="2"/>
  <c r="L64" i="2"/>
  <c r="L65" i="2"/>
  <c r="M65" i="2"/>
  <c r="M66" i="2"/>
  <c r="M64" i="2"/>
  <c r="F85" i="7"/>
  <c r="G142" i="2" s="1"/>
  <c r="L85" i="7"/>
  <c r="K85" i="7"/>
  <c r="G85" i="7"/>
  <c r="H142" i="2" s="1"/>
  <c r="N85" i="7"/>
  <c r="O142" i="2" s="1"/>
  <c r="O85" i="7"/>
  <c r="P142" i="2" s="1"/>
  <c r="Q85" i="7"/>
  <c r="R142" i="2" s="1"/>
  <c r="P85" i="7"/>
  <c r="Q142" i="2" s="1"/>
  <c r="J85" i="7"/>
  <c r="K142" i="2" s="1"/>
  <c r="M85" i="7"/>
  <c r="N142" i="2" s="1"/>
  <c r="I85" i="7"/>
  <c r="J141" i="3" s="1"/>
  <c r="H85" i="7"/>
  <c r="I142" i="2" s="1"/>
  <c r="O56" i="3"/>
  <c r="N65" i="2"/>
  <c r="O65" i="2"/>
  <c r="P65" i="2"/>
  <c r="K64" i="2"/>
  <c r="P64" i="2"/>
  <c r="R64" i="2"/>
  <c r="J64" i="2"/>
  <c r="H64" i="2"/>
  <c r="N64" i="2"/>
  <c r="Q64" i="2"/>
  <c r="Q65" i="2"/>
  <c r="I64" i="2"/>
  <c r="I65" i="2"/>
  <c r="O64" i="2"/>
  <c r="E86" i="7"/>
  <c r="P55" i="3"/>
  <c r="P56" i="3"/>
  <c r="K55" i="3"/>
  <c r="K57" i="3" s="1"/>
  <c r="O55" i="3"/>
  <c r="R55" i="3"/>
  <c r="R57" i="3" s="1"/>
  <c r="J55" i="3"/>
  <c r="J57" i="3" s="1"/>
  <c r="I90" i="6" s="1"/>
  <c r="Q55" i="3"/>
  <c r="Q57" i="3" s="1"/>
  <c r="G55" i="3"/>
  <c r="N55" i="3"/>
  <c r="N57" i="3" s="1"/>
  <c r="E72" i="7"/>
  <c r="H55" i="3"/>
  <c r="H57" i="3" s="1"/>
  <c r="D33" i="6"/>
  <c r="D32" i="7"/>
  <c r="M57" i="3" l="1"/>
  <c r="L69" i="6" s="1"/>
  <c r="L84" i="3"/>
  <c r="L141" i="3"/>
  <c r="L146" i="3" s="1"/>
  <c r="L15" i="8" s="1"/>
  <c r="L85" i="3"/>
  <c r="M84" i="3"/>
  <c r="M141" i="3"/>
  <c r="M146" i="3" s="1"/>
  <c r="M15" i="8" s="1"/>
  <c r="M85" i="3"/>
  <c r="L57" i="3"/>
  <c r="G60" i="2"/>
  <c r="G68" i="2"/>
  <c r="G59" i="2"/>
  <c r="G141" i="3"/>
  <c r="G84" i="3"/>
  <c r="G62" i="2"/>
  <c r="G67" i="2"/>
  <c r="M142" i="2"/>
  <c r="M69" i="2"/>
  <c r="M67" i="2"/>
  <c r="M61" i="2"/>
  <c r="M59" i="2"/>
  <c r="M68" i="2"/>
  <c r="M60" i="2"/>
  <c r="M62" i="2"/>
  <c r="G61" i="2"/>
  <c r="G69" i="2"/>
  <c r="G85" i="3"/>
  <c r="L68" i="2"/>
  <c r="L62" i="2"/>
  <c r="L60" i="2"/>
  <c r="L142" i="2"/>
  <c r="L67" i="2"/>
  <c r="L59" i="2"/>
  <c r="L69" i="2"/>
  <c r="L61" i="2"/>
  <c r="H60" i="2"/>
  <c r="H62" i="2"/>
  <c r="H69" i="2"/>
  <c r="H84" i="3"/>
  <c r="H67" i="2"/>
  <c r="O85" i="3"/>
  <c r="H59" i="2"/>
  <c r="H85" i="3"/>
  <c r="H61" i="2"/>
  <c r="O68" i="2"/>
  <c r="O84" i="3"/>
  <c r="J69" i="2"/>
  <c r="J59" i="2"/>
  <c r="Q61" i="2"/>
  <c r="H68" i="2"/>
  <c r="O59" i="2"/>
  <c r="P61" i="2"/>
  <c r="P67" i="2"/>
  <c r="Q60" i="2"/>
  <c r="K68" i="2"/>
  <c r="P59" i="2"/>
  <c r="I69" i="2"/>
  <c r="Q69" i="2"/>
  <c r="Q84" i="3"/>
  <c r="O69" i="2"/>
  <c r="O60" i="2"/>
  <c r="I84" i="3"/>
  <c r="Q59" i="2"/>
  <c r="O62" i="2"/>
  <c r="J67" i="2"/>
  <c r="H141" i="3"/>
  <c r="O141" i="3"/>
  <c r="I68" i="2"/>
  <c r="T56" i="3"/>
  <c r="O61" i="2"/>
  <c r="O67" i="2"/>
  <c r="Q141" i="3"/>
  <c r="R84" i="3"/>
  <c r="J62" i="2"/>
  <c r="J85" i="3"/>
  <c r="J84" i="3"/>
  <c r="R67" i="2"/>
  <c r="R141" i="3"/>
  <c r="R85" i="3"/>
  <c r="J61" i="2"/>
  <c r="R61" i="2"/>
  <c r="J142" i="2"/>
  <c r="R62" i="2"/>
  <c r="R69" i="2"/>
  <c r="R60" i="2"/>
  <c r="J60" i="2"/>
  <c r="R59" i="2"/>
  <c r="J68" i="2"/>
  <c r="R68" i="2"/>
  <c r="N67" i="2"/>
  <c r="I61" i="2"/>
  <c r="N85" i="3"/>
  <c r="Q67" i="2"/>
  <c r="P141" i="3"/>
  <c r="Q68" i="2"/>
  <c r="P84" i="3"/>
  <c r="P85" i="3"/>
  <c r="P60" i="2"/>
  <c r="K60" i="2"/>
  <c r="P62" i="2"/>
  <c r="I59" i="2"/>
  <c r="Q85" i="3"/>
  <c r="Q62" i="2"/>
  <c r="P69" i="2"/>
  <c r="P68" i="2"/>
  <c r="K84" i="3"/>
  <c r="K59" i="2"/>
  <c r="K67" i="2"/>
  <c r="N84" i="3"/>
  <c r="N141" i="3"/>
  <c r="K141" i="3"/>
  <c r="N69" i="2"/>
  <c r="K69" i="2"/>
  <c r="K62" i="2"/>
  <c r="I85" i="3"/>
  <c r="I67" i="2"/>
  <c r="N60" i="2"/>
  <c r="N59" i="2"/>
  <c r="N68" i="2"/>
  <c r="K85" i="3"/>
  <c r="N62" i="2"/>
  <c r="E85" i="7"/>
  <c r="K61" i="2"/>
  <c r="I60" i="2"/>
  <c r="I62" i="2"/>
  <c r="N61" i="2"/>
  <c r="I141" i="3"/>
  <c r="O57" i="3"/>
  <c r="N90" i="6" s="1"/>
  <c r="M90" i="6"/>
  <c r="P90" i="6"/>
  <c r="Q90" i="6"/>
  <c r="J90" i="6"/>
  <c r="G90" i="6"/>
  <c r="G69" i="6"/>
  <c r="I69" i="6"/>
  <c r="H69" i="6"/>
  <c r="M69" i="6"/>
  <c r="P69" i="6"/>
  <c r="Q69" i="6"/>
  <c r="J69" i="6"/>
  <c r="U65" i="2"/>
  <c r="U64" i="2"/>
  <c r="P57" i="3"/>
  <c r="O90" i="6" s="1"/>
  <c r="G57" i="3"/>
  <c r="T55" i="3"/>
  <c r="D34" i="6"/>
  <c r="D33" i="7"/>
  <c r="K69" i="6" l="1"/>
  <c r="U142" i="2"/>
  <c r="L70" i="2"/>
  <c r="M70" i="2"/>
  <c r="T141" i="3"/>
  <c r="U61" i="2"/>
  <c r="U69" i="2"/>
  <c r="U68" i="2"/>
  <c r="U62" i="2"/>
  <c r="U67" i="2"/>
  <c r="T85" i="3"/>
  <c r="U60" i="2"/>
  <c r="U59" i="2"/>
  <c r="T84" i="3"/>
  <c r="N69" i="6"/>
  <c r="F90" i="6"/>
  <c r="O69" i="6"/>
  <c r="F69" i="6"/>
  <c r="T57" i="3"/>
  <c r="D35" i="6"/>
  <c r="D34" i="7"/>
  <c r="K77" i="6" l="1"/>
  <c r="K81" i="6"/>
  <c r="L77" i="6"/>
  <c r="L81" i="6"/>
  <c r="E69" i="6"/>
  <c r="E90" i="6"/>
  <c r="D36" i="6"/>
  <c r="D35" i="7"/>
  <c r="F90" i="7" l="1"/>
  <c r="L90" i="7"/>
  <c r="K90" i="7"/>
  <c r="F69" i="7"/>
  <c r="G79" i="3" s="1"/>
  <c r="L69" i="7"/>
  <c r="K69" i="7"/>
  <c r="M69" i="7"/>
  <c r="N69" i="7"/>
  <c r="I69" i="7"/>
  <c r="J80" i="3" s="1"/>
  <c r="G69" i="7"/>
  <c r="H88" i="3" s="1"/>
  <c r="J69" i="7"/>
  <c r="K79" i="3" s="1"/>
  <c r="Q69" i="7"/>
  <c r="O69" i="7"/>
  <c r="P69" i="7"/>
  <c r="Q82" i="3" s="1"/>
  <c r="H69" i="7"/>
  <c r="I81" i="3" s="1"/>
  <c r="G86" i="3"/>
  <c r="Q90" i="7"/>
  <c r="M90" i="7"/>
  <c r="G90" i="7"/>
  <c r="P90" i="7"/>
  <c r="J90" i="7"/>
  <c r="O90" i="7"/>
  <c r="I90" i="7"/>
  <c r="N90" i="7"/>
  <c r="H90" i="7"/>
  <c r="G66" i="2"/>
  <c r="G70" i="2" s="1"/>
  <c r="F77" i="6" s="1"/>
  <c r="K66" i="2"/>
  <c r="K70" i="2" s="1"/>
  <c r="J77" i="6" s="1"/>
  <c r="P66" i="2"/>
  <c r="P70" i="2" s="1"/>
  <c r="O77" i="6" s="1"/>
  <c r="Q66" i="2"/>
  <c r="Q70" i="2" s="1"/>
  <c r="P77" i="6" s="1"/>
  <c r="I66" i="2"/>
  <c r="I70" i="2" s="1"/>
  <c r="H77" i="6" s="1"/>
  <c r="R66" i="2"/>
  <c r="R70" i="2" s="1"/>
  <c r="Q77" i="6" s="1"/>
  <c r="H66" i="2"/>
  <c r="H70" i="2" s="1"/>
  <c r="G77" i="6" s="1"/>
  <c r="O66" i="2"/>
  <c r="O70" i="2" s="1"/>
  <c r="N77" i="6" s="1"/>
  <c r="N66" i="2"/>
  <c r="N70" i="2" s="1"/>
  <c r="M77" i="6" s="1"/>
  <c r="J66" i="2"/>
  <c r="J70" i="2" s="1"/>
  <c r="I77" i="6" s="1"/>
  <c r="D37" i="6"/>
  <c r="D36" i="7"/>
  <c r="Q81" i="3" l="1"/>
  <c r="L88" i="3"/>
  <c r="L82" i="3"/>
  <c r="L80" i="3"/>
  <c r="L87" i="3"/>
  <c r="L81" i="3"/>
  <c r="L79" i="3"/>
  <c r="M88" i="3"/>
  <c r="M82" i="3"/>
  <c r="M80" i="3"/>
  <c r="M87" i="3"/>
  <c r="M79" i="3"/>
  <c r="M81" i="3"/>
  <c r="G88" i="3"/>
  <c r="G81" i="3"/>
  <c r="G80" i="3"/>
  <c r="G87" i="3"/>
  <c r="G82" i="3"/>
  <c r="P81" i="3"/>
  <c r="O81" i="3"/>
  <c r="N88" i="3"/>
  <c r="N87" i="3"/>
  <c r="J86" i="3"/>
  <c r="H86" i="3"/>
  <c r="P86" i="3"/>
  <c r="N86" i="3"/>
  <c r="I86" i="3"/>
  <c r="K86" i="3"/>
  <c r="R86" i="3"/>
  <c r="O86" i="3"/>
  <c r="Q86" i="3"/>
  <c r="N81" i="3"/>
  <c r="N79" i="3"/>
  <c r="N82" i="3"/>
  <c r="J79" i="3"/>
  <c r="Q80" i="3"/>
  <c r="H87" i="3"/>
  <c r="O80" i="3"/>
  <c r="J88" i="3"/>
  <c r="J81" i="3"/>
  <c r="J87" i="3"/>
  <c r="J82" i="3"/>
  <c r="H82" i="3"/>
  <c r="O88" i="3"/>
  <c r="O82" i="3"/>
  <c r="O87" i="3"/>
  <c r="O79" i="3"/>
  <c r="N80" i="3"/>
  <c r="Q79" i="3"/>
  <c r="H79" i="3"/>
  <c r="H81" i="3"/>
  <c r="H80" i="3"/>
  <c r="P87" i="3"/>
  <c r="P88" i="3"/>
  <c r="E69" i="7"/>
  <c r="P82" i="3"/>
  <c r="R80" i="3"/>
  <c r="R87" i="3"/>
  <c r="R88" i="3"/>
  <c r="P79" i="3"/>
  <c r="R81" i="3"/>
  <c r="I80" i="3"/>
  <c r="I87" i="3"/>
  <c r="I88" i="3"/>
  <c r="K82" i="3"/>
  <c r="K87" i="3"/>
  <c r="K88" i="3"/>
  <c r="P80" i="3"/>
  <c r="K80" i="3"/>
  <c r="E77" i="6"/>
  <c r="Q87" i="3"/>
  <c r="Q88" i="3"/>
  <c r="R79" i="3"/>
  <c r="R82" i="3"/>
  <c r="K81" i="3"/>
  <c r="I82" i="3"/>
  <c r="I79" i="3"/>
  <c r="E90" i="7"/>
  <c r="M81" i="6"/>
  <c r="G81" i="6"/>
  <c r="H81" i="6"/>
  <c r="O81" i="6"/>
  <c r="F81" i="6"/>
  <c r="U70" i="2"/>
  <c r="I81" i="6"/>
  <c r="N81" i="6"/>
  <c r="Q81" i="6"/>
  <c r="P81" i="6"/>
  <c r="J81" i="6"/>
  <c r="U66" i="2"/>
  <c r="D38" i="6"/>
  <c r="D37" i="7"/>
  <c r="F77" i="7" l="1"/>
  <c r="G37" i="5" s="1"/>
  <c r="L77" i="7"/>
  <c r="M37" i="5" s="1"/>
  <c r="M50" i="5" s="1"/>
  <c r="K77" i="7"/>
  <c r="L37" i="5" s="1"/>
  <c r="L50" i="5" s="1"/>
  <c r="T86" i="3"/>
  <c r="G152" i="2"/>
  <c r="G138" i="2"/>
  <c r="T81" i="3"/>
  <c r="T88" i="3"/>
  <c r="T80" i="3"/>
  <c r="T87" i="3"/>
  <c r="T79" i="3"/>
  <c r="T82" i="3"/>
  <c r="N77" i="7"/>
  <c r="H77" i="7"/>
  <c r="Q77" i="7"/>
  <c r="M77" i="7"/>
  <c r="G77" i="7"/>
  <c r="P77" i="7"/>
  <c r="J77" i="7"/>
  <c r="O77" i="7"/>
  <c r="I77" i="7"/>
  <c r="E81" i="6"/>
  <c r="D39" i="6"/>
  <c r="D38" i="7"/>
  <c r="G119" i="2" l="1"/>
  <c r="G124" i="3"/>
  <c r="L51" i="5"/>
  <c r="L10" i="8"/>
  <c r="M51" i="5"/>
  <c r="M10" i="8"/>
  <c r="M119" i="3"/>
  <c r="M105" i="3"/>
  <c r="M106" i="3" s="1"/>
  <c r="M108" i="3" s="1"/>
  <c r="M124" i="3"/>
  <c r="L119" i="3"/>
  <c r="L124" i="3"/>
  <c r="L105" i="3"/>
  <c r="L106" i="3" s="1"/>
  <c r="L108" i="3" s="1"/>
  <c r="G105" i="3"/>
  <c r="G106" i="3" s="1"/>
  <c r="G14" i="2"/>
  <c r="G15" i="2" s="1"/>
  <c r="G119" i="3"/>
  <c r="G79" i="2"/>
  <c r="G80" i="2" s="1"/>
  <c r="L119" i="2"/>
  <c r="L79" i="2"/>
  <c r="L80" i="2" s="1"/>
  <c r="L152" i="2"/>
  <c r="L153" i="2" s="1"/>
  <c r="L33" i="8" s="1"/>
  <c r="L14" i="2"/>
  <c r="L15" i="2" s="1"/>
  <c r="L72" i="2" s="1"/>
  <c r="L28" i="8" s="1"/>
  <c r="M119" i="2"/>
  <c r="M152" i="2"/>
  <c r="M153" i="2" s="1"/>
  <c r="M33" i="8" s="1"/>
  <c r="M14" i="2"/>
  <c r="M15" i="2" s="1"/>
  <c r="M72" i="2" s="1"/>
  <c r="M28" i="8" s="1"/>
  <c r="M79" i="2"/>
  <c r="M80" i="2" s="1"/>
  <c r="F81" i="7"/>
  <c r="G120" i="2" s="1"/>
  <c r="G121" i="2" s="1"/>
  <c r="L81" i="7"/>
  <c r="K81" i="7"/>
  <c r="G153" i="2"/>
  <c r="G33" i="8" s="1"/>
  <c r="P152" i="2"/>
  <c r="P37" i="5"/>
  <c r="P50" i="5" s="1"/>
  <c r="Q152" i="2"/>
  <c r="Q37" i="5"/>
  <c r="Q50" i="5" s="1"/>
  <c r="N152" i="2"/>
  <c r="N37" i="5"/>
  <c r="N50" i="5" s="1"/>
  <c r="I152" i="2"/>
  <c r="I37" i="5"/>
  <c r="I50" i="5" s="1"/>
  <c r="J152" i="2"/>
  <c r="J37" i="5"/>
  <c r="J50" i="5" s="1"/>
  <c r="K152" i="2"/>
  <c r="K37" i="5"/>
  <c r="K50" i="5" s="1"/>
  <c r="H152" i="2"/>
  <c r="H37" i="5"/>
  <c r="H50" i="5" s="1"/>
  <c r="R152" i="2"/>
  <c r="R37" i="5"/>
  <c r="R50" i="5" s="1"/>
  <c r="O152" i="2"/>
  <c r="O37" i="5"/>
  <c r="O50" i="5" s="1"/>
  <c r="G50" i="5"/>
  <c r="J138" i="2"/>
  <c r="J14" i="2"/>
  <c r="J15" i="2" s="1"/>
  <c r="J72" i="2" s="1"/>
  <c r="H138" i="2"/>
  <c r="H14" i="2"/>
  <c r="H15" i="2" s="1"/>
  <c r="H72" i="2" s="1"/>
  <c r="O138" i="2"/>
  <c r="O14" i="2"/>
  <c r="O15" i="2" s="1"/>
  <c r="O72" i="2" s="1"/>
  <c r="P138" i="2"/>
  <c r="P14" i="2"/>
  <c r="P15" i="2" s="1"/>
  <c r="P72" i="2" s="1"/>
  <c r="N138" i="2"/>
  <c r="N14" i="2"/>
  <c r="N15" i="2" s="1"/>
  <c r="N72" i="2" s="1"/>
  <c r="K138" i="2"/>
  <c r="K14" i="2"/>
  <c r="K15" i="2" s="1"/>
  <c r="K72" i="2" s="1"/>
  <c r="R138" i="2"/>
  <c r="R14" i="2"/>
  <c r="G72" i="2"/>
  <c r="G28" i="8" s="1"/>
  <c r="Q138" i="2"/>
  <c r="Q14" i="2"/>
  <c r="Q15" i="2" s="1"/>
  <c r="Q72" i="2" s="1"/>
  <c r="I138" i="2"/>
  <c r="I14" i="2"/>
  <c r="I15" i="2" s="1"/>
  <c r="I72" i="2" s="1"/>
  <c r="P119" i="2"/>
  <c r="P79" i="2"/>
  <c r="P80" i="2" s="1"/>
  <c r="K119" i="2"/>
  <c r="K79" i="2"/>
  <c r="K80" i="2" s="1"/>
  <c r="R119" i="2"/>
  <c r="R79" i="2"/>
  <c r="R80" i="2" s="1"/>
  <c r="N119" i="2"/>
  <c r="N79" i="2"/>
  <c r="N80" i="2" s="1"/>
  <c r="Q119" i="2"/>
  <c r="Q79" i="2"/>
  <c r="Q80" i="2" s="1"/>
  <c r="I119" i="2"/>
  <c r="I79" i="2"/>
  <c r="I80" i="2" s="1"/>
  <c r="J119" i="2"/>
  <c r="J79" i="2"/>
  <c r="J80" i="2" s="1"/>
  <c r="H119" i="2"/>
  <c r="H79" i="2"/>
  <c r="H80" i="2" s="1"/>
  <c r="O119" i="2"/>
  <c r="O79" i="2"/>
  <c r="O80" i="2" s="1"/>
  <c r="P105" i="3"/>
  <c r="P106" i="3" s="1"/>
  <c r="P108" i="3" s="1"/>
  <c r="P119" i="3"/>
  <c r="P124" i="3"/>
  <c r="K105" i="3"/>
  <c r="K106" i="3" s="1"/>
  <c r="K108" i="3" s="1"/>
  <c r="K119" i="3"/>
  <c r="K124" i="3"/>
  <c r="R105" i="3"/>
  <c r="R106" i="3" s="1"/>
  <c r="R108" i="3" s="1"/>
  <c r="R119" i="3"/>
  <c r="R124" i="3"/>
  <c r="N105" i="3"/>
  <c r="N106" i="3" s="1"/>
  <c r="N108" i="3" s="1"/>
  <c r="N124" i="3"/>
  <c r="N119" i="3"/>
  <c r="Q105" i="3"/>
  <c r="Q106" i="3" s="1"/>
  <c r="Q108" i="3" s="1"/>
  <c r="Q124" i="3"/>
  <c r="Q119" i="3"/>
  <c r="I105" i="3"/>
  <c r="I106" i="3" s="1"/>
  <c r="I108" i="3" s="1"/>
  <c r="I119" i="3"/>
  <c r="I124" i="3"/>
  <c r="J105" i="3"/>
  <c r="J106" i="3" s="1"/>
  <c r="J108" i="3" s="1"/>
  <c r="J124" i="3"/>
  <c r="J119" i="3"/>
  <c r="H105" i="3"/>
  <c r="H106" i="3" s="1"/>
  <c r="H108" i="3" s="1"/>
  <c r="H124" i="3"/>
  <c r="H119" i="3"/>
  <c r="O105" i="3"/>
  <c r="O106" i="3" s="1"/>
  <c r="O108" i="3" s="1"/>
  <c r="O124" i="3"/>
  <c r="O119" i="3"/>
  <c r="E77" i="7"/>
  <c r="M81" i="7"/>
  <c r="P81" i="7"/>
  <c r="G81" i="7"/>
  <c r="Q81" i="7"/>
  <c r="N81" i="7"/>
  <c r="I81" i="7"/>
  <c r="H81" i="7"/>
  <c r="O81" i="7"/>
  <c r="J81" i="7"/>
  <c r="D40" i="6"/>
  <c r="D39" i="7"/>
  <c r="G137" i="3" l="1"/>
  <c r="G14" i="8" s="1"/>
  <c r="L137" i="3"/>
  <c r="L14" i="8" s="1"/>
  <c r="M55" i="8"/>
  <c r="M62" i="8"/>
  <c r="M11" i="8"/>
  <c r="L11" i="8"/>
  <c r="L62" i="8"/>
  <c r="L55" i="8"/>
  <c r="M120" i="2"/>
  <c r="M83" i="3"/>
  <c r="M89" i="3" s="1"/>
  <c r="M91" i="3" s="1"/>
  <c r="M111" i="3" s="1"/>
  <c r="M13" i="8" s="1"/>
  <c r="L120" i="2"/>
  <c r="L121" i="2" s="1"/>
  <c r="L123" i="2" s="1"/>
  <c r="L29" i="8" s="1"/>
  <c r="L30" i="8" s="1"/>
  <c r="L83" i="3"/>
  <c r="L89" i="3" s="1"/>
  <c r="L91" i="3" s="1"/>
  <c r="L111" i="3" s="1"/>
  <c r="M137" i="3"/>
  <c r="M14" i="8" s="1"/>
  <c r="G83" i="3"/>
  <c r="G89" i="3" s="1"/>
  <c r="G91" i="3" s="1"/>
  <c r="L76" i="6"/>
  <c r="K76" i="6"/>
  <c r="M121" i="2"/>
  <c r="M123" i="2" s="1"/>
  <c r="M29" i="8" s="1"/>
  <c r="M30" i="8" s="1"/>
  <c r="P153" i="2"/>
  <c r="P33" i="8" s="1"/>
  <c r="H153" i="2"/>
  <c r="H33" i="8" s="1"/>
  <c r="N153" i="2"/>
  <c r="N33" i="8" s="1"/>
  <c r="O153" i="2"/>
  <c r="O33" i="8" s="1"/>
  <c r="J153" i="2"/>
  <c r="J33" i="8" s="1"/>
  <c r="K153" i="2"/>
  <c r="K33" i="8" s="1"/>
  <c r="U152" i="2"/>
  <c r="I153" i="2"/>
  <c r="I33" i="8" s="1"/>
  <c r="R153" i="2"/>
  <c r="R33" i="8" s="1"/>
  <c r="Q153" i="2"/>
  <c r="Q33" i="8" s="1"/>
  <c r="J76" i="6"/>
  <c r="K28" i="8"/>
  <c r="M76" i="6"/>
  <c r="N28" i="8"/>
  <c r="O76" i="6"/>
  <c r="P28" i="8"/>
  <c r="N76" i="6"/>
  <c r="O28" i="8"/>
  <c r="G76" i="6"/>
  <c r="H28" i="8"/>
  <c r="I76" i="6"/>
  <c r="J28" i="8"/>
  <c r="T37" i="5"/>
  <c r="H76" i="6"/>
  <c r="I28" i="8"/>
  <c r="P76" i="6"/>
  <c r="Q28" i="8"/>
  <c r="G51" i="5"/>
  <c r="G10" i="8"/>
  <c r="T50" i="5"/>
  <c r="O51" i="5"/>
  <c r="O10" i="8"/>
  <c r="R51" i="5"/>
  <c r="R10" i="8"/>
  <c r="H51" i="5"/>
  <c r="H10" i="8"/>
  <c r="K10" i="8"/>
  <c r="K51" i="5"/>
  <c r="J51" i="5"/>
  <c r="J10" i="8"/>
  <c r="I10" i="8"/>
  <c r="I51" i="5"/>
  <c r="N51" i="5"/>
  <c r="N10" i="8"/>
  <c r="Q51" i="5"/>
  <c r="Q10" i="8"/>
  <c r="P51" i="5"/>
  <c r="P10" i="8"/>
  <c r="U138" i="2"/>
  <c r="F76" i="6"/>
  <c r="U14" i="2"/>
  <c r="R15" i="2"/>
  <c r="R72" i="2" s="1"/>
  <c r="H83" i="3"/>
  <c r="H89" i="3" s="1"/>
  <c r="H91" i="3" s="1"/>
  <c r="H111" i="3" s="1"/>
  <c r="H13" i="8" s="1"/>
  <c r="H120" i="2"/>
  <c r="H121" i="2" s="1"/>
  <c r="P83" i="3"/>
  <c r="P89" i="3" s="1"/>
  <c r="P91" i="3" s="1"/>
  <c r="P111" i="3" s="1"/>
  <c r="P13" i="8" s="1"/>
  <c r="P120" i="2"/>
  <c r="P121" i="2" s="1"/>
  <c r="P123" i="2" s="1"/>
  <c r="P29" i="8" s="1"/>
  <c r="R83" i="3"/>
  <c r="R89" i="3" s="1"/>
  <c r="R91" i="3" s="1"/>
  <c r="R111" i="3" s="1"/>
  <c r="R13" i="8" s="1"/>
  <c r="R120" i="2"/>
  <c r="R121" i="2" s="1"/>
  <c r="R123" i="2" s="1"/>
  <c r="R29" i="8" s="1"/>
  <c r="N83" i="3"/>
  <c r="N89" i="3" s="1"/>
  <c r="N91" i="3" s="1"/>
  <c r="N111" i="3" s="1"/>
  <c r="N13" i="8" s="1"/>
  <c r="N120" i="2"/>
  <c r="U79" i="2"/>
  <c r="I83" i="3"/>
  <c r="I89" i="3" s="1"/>
  <c r="I91" i="3" s="1"/>
  <c r="I111" i="3" s="1"/>
  <c r="I13" i="8" s="1"/>
  <c r="I120" i="2"/>
  <c r="U119" i="2"/>
  <c r="G123" i="2"/>
  <c r="G29" i="8" s="1"/>
  <c r="U80" i="2"/>
  <c r="J83" i="3"/>
  <c r="J89" i="3" s="1"/>
  <c r="J91" i="3" s="1"/>
  <c r="J111" i="3" s="1"/>
  <c r="J13" i="8" s="1"/>
  <c r="J120" i="2"/>
  <c r="J121" i="2" s="1"/>
  <c r="J123" i="2" s="1"/>
  <c r="J29" i="8" s="1"/>
  <c r="K83" i="3"/>
  <c r="K89" i="3" s="1"/>
  <c r="K91" i="3" s="1"/>
  <c r="K111" i="3" s="1"/>
  <c r="K13" i="8" s="1"/>
  <c r="K120" i="2"/>
  <c r="K121" i="2" s="1"/>
  <c r="K123" i="2" s="1"/>
  <c r="K29" i="8" s="1"/>
  <c r="O83" i="3"/>
  <c r="O89" i="3" s="1"/>
  <c r="O91" i="3" s="1"/>
  <c r="O111" i="3" s="1"/>
  <c r="O13" i="8" s="1"/>
  <c r="O120" i="2"/>
  <c r="O121" i="2" s="1"/>
  <c r="O123" i="2" s="1"/>
  <c r="O29" i="8" s="1"/>
  <c r="Q83" i="3"/>
  <c r="Q89" i="3" s="1"/>
  <c r="Q91" i="3" s="1"/>
  <c r="Q111" i="3" s="1"/>
  <c r="Q13" i="8" s="1"/>
  <c r="Q120" i="2"/>
  <c r="Q121" i="2" s="1"/>
  <c r="Q123" i="2" s="1"/>
  <c r="Q29" i="8" s="1"/>
  <c r="I121" i="2"/>
  <c r="I123" i="2" s="1"/>
  <c r="I29" i="8" s="1"/>
  <c r="N121" i="2"/>
  <c r="N123" i="2" s="1"/>
  <c r="N29" i="8" s="1"/>
  <c r="P137" i="3"/>
  <c r="P14" i="8" s="1"/>
  <c r="H137" i="3"/>
  <c r="H14" i="8" s="1"/>
  <c r="N137" i="3"/>
  <c r="N14" i="8" s="1"/>
  <c r="T105" i="3"/>
  <c r="T119" i="3"/>
  <c r="R137" i="3"/>
  <c r="R14" i="8" s="1"/>
  <c r="O137" i="3"/>
  <c r="O14" i="8" s="1"/>
  <c r="Q137" i="3"/>
  <c r="Q14" i="8" s="1"/>
  <c r="J137" i="3"/>
  <c r="J14" i="8" s="1"/>
  <c r="I137" i="3"/>
  <c r="I14" i="8" s="1"/>
  <c r="T124" i="3"/>
  <c r="K137" i="3"/>
  <c r="K14" i="8" s="1"/>
  <c r="T106" i="3"/>
  <c r="G108" i="3"/>
  <c r="T108" i="3" s="1"/>
  <c r="E81" i="7"/>
  <c r="D41" i="6"/>
  <c r="D40" i="7"/>
  <c r="M63" i="8" l="1"/>
  <c r="M70" i="8"/>
  <c r="M71" i="8" s="1"/>
  <c r="L63" i="8"/>
  <c r="L64" i="8" s="1"/>
  <c r="L70" i="8"/>
  <c r="L71" i="8" s="1"/>
  <c r="M16" i="8"/>
  <c r="M18" i="8" s="1"/>
  <c r="L153" i="3"/>
  <c r="L13" i="8"/>
  <c r="L16" i="8" s="1"/>
  <c r="L18" i="8" s="1"/>
  <c r="M153" i="3"/>
  <c r="T14" i="8"/>
  <c r="T33" i="8"/>
  <c r="T10" i="8"/>
  <c r="Q55" i="8"/>
  <c r="Q62" i="8"/>
  <c r="Q70" i="8" s="1"/>
  <c r="Q71" i="8" s="1"/>
  <c r="R55" i="8"/>
  <c r="R62" i="8"/>
  <c r="R70" i="8" s="1"/>
  <c r="R71" i="8" s="1"/>
  <c r="I55" i="8"/>
  <c r="I62" i="8"/>
  <c r="I70" i="8" s="1"/>
  <c r="I71" i="8" s="1"/>
  <c r="K55" i="8"/>
  <c r="K62" i="8"/>
  <c r="K70" i="8" s="1"/>
  <c r="K71" i="8" s="1"/>
  <c r="G55" i="8"/>
  <c r="G62" i="8"/>
  <c r="G70" i="8" s="1"/>
  <c r="P55" i="8"/>
  <c r="P62" i="8"/>
  <c r="P70" i="8" s="1"/>
  <c r="P71" i="8" s="1"/>
  <c r="N55" i="8"/>
  <c r="N62" i="8"/>
  <c r="N70" i="8" s="1"/>
  <c r="N71" i="8" s="1"/>
  <c r="J55" i="8"/>
  <c r="J62" i="8"/>
  <c r="J70" i="8" s="1"/>
  <c r="J71" i="8" s="1"/>
  <c r="H55" i="8"/>
  <c r="H62" i="8"/>
  <c r="H70" i="8" s="1"/>
  <c r="H71" i="8" s="1"/>
  <c r="O55" i="8"/>
  <c r="O62" i="8"/>
  <c r="O70" i="8" s="1"/>
  <c r="O71" i="8" s="1"/>
  <c r="U153" i="2"/>
  <c r="G30" i="8"/>
  <c r="P11" i="8"/>
  <c r="Q11" i="8"/>
  <c r="N11" i="8"/>
  <c r="J11" i="8"/>
  <c r="H11" i="8"/>
  <c r="R11" i="8"/>
  <c r="O11" i="8"/>
  <c r="I11" i="8"/>
  <c r="K11" i="8"/>
  <c r="G11" i="8"/>
  <c r="Q30" i="8"/>
  <c r="I30" i="8"/>
  <c r="Q76" i="6"/>
  <c r="E76" i="6" s="1"/>
  <c r="R28" i="8"/>
  <c r="R30" i="8" s="1"/>
  <c r="T51" i="5"/>
  <c r="J30" i="8"/>
  <c r="O30" i="8"/>
  <c r="P30" i="8"/>
  <c r="N30" i="8"/>
  <c r="K30" i="8"/>
  <c r="U15" i="2"/>
  <c r="U72" i="2"/>
  <c r="H123" i="2"/>
  <c r="H29" i="8" s="1"/>
  <c r="H30" i="8" s="1"/>
  <c r="U121" i="2"/>
  <c r="U120" i="2"/>
  <c r="T83" i="3"/>
  <c r="T89" i="3"/>
  <c r="T137" i="3"/>
  <c r="T91" i="3"/>
  <c r="G111" i="3"/>
  <c r="G13" i="8" s="1"/>
  <c r="T13" i="8" s="1"/>
  <c r="D42" i="6"/>
  <c r="D41" i="7"/>
  <c r="F70" i="8" l="1"/>
  <c r="G71" i="8"/>
  <c r="M64" i="8"/>
  <c r="L76" i="7"/>
  <c r="M129" i="2" s="1"/>
  <c r="M130" i="2" s="1"/>
  <c r="K76" i="7"/>
  <c r="L129" i="2" s="1"/>
  <c r="L130" i="2" s="1"/>
  <c r="T11" i="8"/>
  <c r="T29" i="8"/>
  <c r="T30" i="8"/>
  <c r="T28" i="8"/>
  <c r="F55" i="8"/>
  <c r="T55" i="8" s="1"/>
  <c r="O63" i="8"/>
  <c r="J63" i="8"/>
  <c r="P63" i="8"/>
  <c r="K63" i="8"/>
  <c r="R63" i="8"/>
  <c r="H63" i="8"/>
  <c r="N63" i="8"/>
  <c r="I63" i="8"/>
  <c r="Q63" i="8"/>
  <c r="F62" i="8"/>
  <c r="T62" i="8" s="1"/>
  <c r="G63" i="8"/>
  <c r="F76" i="7"/>
  <c r="H76" i="7"/>
  <c r="I129" i="2" s="1"/>
  <c r="I130" i="2" s="1"/>
  <c r="P76" i="7"/>
  <c r="Q129" i="2" s="1"/>
  <c r="Q130" i="2" s="1"/>
  <c r="I76" i="7"/>
  <c r="J129" i="2" s="1"/>
  <c r="J130" i="2" s="1"/>
  <c r="M76" i="7"/>
  <c r="O76" i="7"/>
  <c r="J76" i="7"/>
  <c r="K129" i="2" s="1"/>
  <c r="K130" i="2" s="1"/>
  <c r="G76" i="7"/>
  <c r="H129" i="2" s="1"/>
  <c r="H130" i="2" s="1"/>
  <c r="N76" i="7"/>
  <c r="Q76" i="7"/>
  <c r="R129" i="2" s="1"/>
  <c r="R130" i="2" s="1"/>
  <c r="U123" i="2"/>
  <c r="T111" i="3"/>
  <c r="D43" i="6"/>
  <c r="D42" i="7"/>
  <c r="H64" i="8" l="1"/>
  <c r="J64" i="8"/>
  <c r="Q64" i="8"/>
  <c r="R64" i="8"/>
  <c r="O64" i="8"/>
  <c r="I64" i="8"/>
  <c r="K64" i="8"/>
  <c r="F71" i="8"/>
  <c r="G64" i="8"/>
  <c r="N64" i="8"/>
  <c r="P64" i="8"/>
  <c r="L155" i="2"/>
  <c r="L157" i="2" s="1"/>
  <c r="K84" i="6" s="1"/>
  <c r="L32" i="8"/>
  <c r="L35" i="8" s="1"/>
  <c r="M155" i="2"/>
  <c r="M157" i="2" s="1"/>
  <c r="L83" i="6" s="1"/>
  <c r="M32" i="8"/>
  <c r="M35" i="8" s="1"/>
  <c r="N129" i="2"/>
  <c r="N130" i="2" s="1"/>
  <c r="N32" i="8" s="1"/>
  <c r="N35" i="8" s="1"/>
  <c r="P129" i="2"/>
  <c r="P130" i="2" s="1"/>
  <c r="P32" i="8" s="1"/>
  <c r="P35" i="8" s="1"/>
  <c r="O129" i="2"/>
  <c r="O130" i="2" s="1"/>
  <c r="O155" i="2" s="1"/>
  <c r="O157" i="2" s="1"/>
  <c r="N84" i="6" s="1"/>
  <c r="F63" i="8"/>
  <c r="T63" i="8" s="1"/>
  <c r="K155" i="2"/>
  <c r="K157" i="2" s="1"/>
  <c r="J83" i="6" s="1"/>
  <c r="K32" i="8"/>
  <c r="K35" i="8" s="1"/>
  <c r="Q155" i="2"/>
  <c r="Q157" i="2" s="1"/>
  <c r="P83" i="6" s="1"/>
  <c r="Q32" i="8"/>
  <c r="Q35" i="8" s="1"/>
  <c r="R155" i="2"/>
  <c r="R157" i="2" s="1"/>
  <c r="Q84" i="6" s="1"/>
  <c r="R32" i="8"/>
  <c r="R35" i="8" s="1"/>
  <c r="H155" i="2"/>
  <c r="H157" i="2" s="1"/>
  <c r="G84" i="6" s="1"/>
  <c r="H32" i="8"/>
  <c r="H35" i="8" s="1"/>
  <c r="J155" i="2"/>
  <c r="J157" i="2" s="1"/>
  <c r="I84" i="6" s="1"/>
  <c r="J32" i="8"/>
  <c r="J35" i="8" s="1"/>
  <c r="I155" i="2"/>
  <c r="I157" i="2" s="1"/>
  <c r="H84" i="6" s="1"/>
  <c r="I32" i="8"/>
  <c r="I35" i="8" s="1"/>
  <c r="G129" i="2"/>
  <c r="E76" i="7"/>
  <c r="D44" i="6"/>
  <c r="D43" i="7"/>
  <c r="K83" i="6" l="1"/>
  <c r="L84" i="6"/>
  <c r="F64" i="8"/>
  <c r="T64" i="8" s="1"/>
  <c r="M20" i="8"/>
  <c r="M21" i="8" s="1"/>
  <c r="M23" i="8" s="1"/>
  <c r="M25" i="8" s="1"/>
  <c r="M37" i="8" s="1"/>
  <c r="M38" i="8" s="1"/>
  <c r="M43" i="8"/>
  <c r="L20" i="8"/>
  <c r="L21" i="8" s="1"/>
  <c r="L23" i="8" s="1"/>
  <c r="L25" i="8" s="1"/>
  <c r="L37" i="8" s="1"/>
  <c r="L38" i="8" s="1"/>
  <c r="L43" i="8"/>
  <c r="N155" i="2"/>
  <c r="N157" i="2" s="1"/>
  <c r="M84" i="6" s="1"/>
  <c r="P155" i="2"/>
  <c r="P157" i="2" s="1"/>
  <c r="O84" i="6" s="1"/>
  <c r="G83" i="6"/>
  <c r="O32" i="8"/>
  <c r="O35" i="8" s="1"/>
  <c r="O43" i="8" s="1"/>
  <c r="I43" i="8"/>
  <c r="I20" i="8"/>
  <c r="P43" i="8"/>
  <c r="P20" i="8"/>
  <c r="R43" i="8"/>
  <c r="R20" i="8"/>
  <c r="N43" i="8"/>
  <c r="N20" i="8"/>
  <c r="J43" i="8"/>
  <c r="J20" i="8"/>
  <c r="H43" i="8"/>
  <c r="H20" i="8"/>
  <c r="Q43" i="8"/>
  <c r="Q20" i="8"/>
  <c r="K43" i="8"/>
  <c r="K20" i="8"/>
  <c r="P84" i="6"/>
  <c r="Q83" i="6"/>
  <c r="J84" i="6"/>
  <c r="N83" i="6"/>
  <c r="I83" i="6"/>
  <c r="H83" i="6"/>
  <c r="U129" i="2"/>
  <c r="G130" i="2"/>
  <c r="G32" i="8" s="1"/>
  <c r="D45" i="6"/>
  <c r="D44" i="7"/>
  <c r="L44" i="8" l="1"/>
  <c r="M44" i="8"/>
  <c r="T32" i="8"/>
  <c r="O20" i="8"/>
  <c r="O83" i="6"/>
  <c r="M83" i="6"/>
  <c r="G35" i="8"/>
  <c r="U130" i="2"/>
  <c r="G155" i="2"/>
  <c r="D46" i="6"/>
  <c r="D45" i="7"/>
  <c r="M48" i="8" l="1"/>
  <c r="M49" i="8"/>
  <c r="M50" i="8"/>
  <c r="L48" i="8"/>
  <c r="L49" i="8"/>
  <c r="L50" i="8"/>
  <c r="G20" i="8"/>
  <c r="T20" i="8" s="1"/>
  <c r="T35" i="8"/>
  <c r="G43" i="8"/>
  <c r="T43" i="8" s="1"/>
  <c r="U155" i="2"/>
  <c r="G157" i="2"/>
  <c r="F84" i="6" s="1"/>
  <c r="D47" i="6"/>
  <c r="D46" i="7"/>
  <c r="L52" i="8" l="1"/>
  <c r="L54" i="8" s="1"/>
  <c r="M52" i="8"/>
  <c r="M54" i="8" s="1"/>
  <c r="E84" i="6"/>
  <c r="U157" i="2"/>
  <c r="F83" i="6"/>
  <c r="D48" i="6"/>
  <c r="D47" i="7"/>
  <c r="L77" i="8" l="1"/>
  <c r="L76" i="8"/>
  <c r="M77" i="8"/>
  <c r="M76" i="8"/>
  <c r="M56" i="8"/>
  <c r="M74" i="8" s="1"/>
  <c r="L56" i="8"/>
  <c r="L74" i="8" s="1"/>
  <c r="F84" i="7"/>
  <c r="L84" i="7"/>
  <c r="K84" i="7"/>
  <c r="G142" i="3"/>
  <c r="O84" i="7"/>
  <c r="I84" i="7"/>
  <c r="N84" i="7"/>
  <c r="H84" i="7"/>
  <c r="Q84" i="7"/>
  <c r="M84" i="7"/>
  <c r="G84" i="7"/>
  <c r="P84" i="7"/>
  <c r="J84" i="7"/>
  <c r="E83" i="6"/>
  <c r="D49" i="6"/>
  <c r="D48" i="7"/>
  <c r="L57" i="8" l="1"/>
  <c r="M57" i="8"/>
  <c r="F83" i="7"/>
  <c r="L83" i="7"/>
  <c r="K83" i="7"/>
  <c r="O142" i="3"/>
  <c r="O146" i="3" s="1"/>
  <c r="O15" i="8" s="1"/>
  <c r="J142" i="3"/>
  <c r="J146" i="3" s="1"/>
  <c r="J15" i="8" s="1"/>
  <c r="Q142" i="3"/>
  <c r="Q146" i="3" s="1"/>
  <c r="Q15" i="8" s="1"/>
  <c r="I142" i="3"/>
  <c r="I146" i="3" s="1"/>
  <c r="I15" i="8" s="1"/>
  <c r="H142" i="3"/>
  <c r="H146" i="3" s="1"/>
  <c r="H15" i="8" s="1"/>
  <c r="N142" i="3"/>
  <c r="N146" i="3" s="1"/>
  <c r="N15" i="8" s="1"/>
  <c r="K142" i="3"/>
  <c r="K146" i="3" s="1"/>
  <c r="K15" i="8" s="1"/>
  <c r="R142" i="3"/>
  <c r="R146" i="3" s="1"/>
  <c r="R15" i="8" s="1"/>
  <c r="P142" i="3"/>
  <c r="P146" i="3" s="1"/>
  <c r="P15" i="8" s="1"/>
  <c r="G146" i="3"/>
  <c r="G15" i="8" s="1"/>
  <c r="E84" i="7"/>
  <c r="M83" i="7"/>
  <c r="J83" i="7"/>
  <c r="P83" i="7"/>
  <c r="H83" i="7"/>
  <c r="O83" i="7"/>
  <c r="N83" i="7"/>
  <c r="I83" i="7"/>
  <c r="Q83" i="7"/>
  <c r="G83" i="7"/>
  <c r="D50" i="6"/>
  <c r="D49" i="7"/>
  <c r="T15" i="8" l="1"/>
  <c r="T142" i="3"/>
  <c r="Q16" i="8"/>
  <c r="Q18" i="8" s="1"/>
  <c r="Q21" i="8" s="1"/>
  <c r="Q23" i="8" s="1"/>
  <c r="R16" i="8"/>
  <c r="R18" i="8" s="1"/>
  <c r="R21" i="8" s="1"/>
  <c r="R23" i="8" s="1"/>
  <c r="J16" i="8"/>
  <c r="J18" i="8" s="1"/>
  <c r="J21" i="8" s="1"/>
  <c r="J23" i="8" s="1"/>
  <c r="O16" i="8"/>
  <c r="O18" i="8" s="1"/>
  <c r="O21" i="8" s="1"/>
  <c r="O23" i="8" s="1"/>
  <c r="G16" i="8"/>
  <c r="I16" i="8"/>
  <c r="I18" i="8" s="1"/>
  <c r="I21" i="8" s="1"/>
  <c r="I23" i="8" s="1"/>
  <c r="P16" i="8"/>
  <c r="P18" i="8" s="1"/>
  <c r="P21" i="8" s="1"/>
  <c r="P23" i="8" s="1"/>
  <c r="K16" i="8"/>
  <c r="K18" i="8" s="1"/>
  <c r="K21" i="8" s="1"/>
  <c r="K23" i="8" s="1"/>
  <c r="N16" i="8"/>
  <c r="N18" i="8" s="1"/>
  <c r="N21" i="8" s="1"/>
  <c r="N23" i="8" s="1"/>
  <c r="H16" i="8"/>
  <c r="H18" i="8" s="1"/>
  <c r="H21" i="8" s="1"/>
  <c r="H23" i="8" s="1"/>
  <c r="E83" i="7"/>
  <c r="T146" i="3"/>
  <c r="D51" i="6"/>
  <c r="D50" i="7"/>
  <c r="G18" i="8" l="1"/>
  <c r="T16" i="8"/>
  <c r="G153" i="3"/>
  <c r="T150" i="3"/>
  <c r="T149" i="3"/>
  <c r="D52" i="6"/>
  <c r="D51" i="7"/>
  <c r="G21" i="8" l="1"/>
  <c r="T18" i="8"/>
  <c r="R153" i="3"/>
  <c r="O153" i="3"/>
  <c r="K153" i="3"/>
  <c r="I153" i="3"/>
  <c r="H153" i="3"/>
  <c r="Q153" i="3"/>
  <c r="P153" i="3"/>
  <c r="J153" i="3"/>
  <c r="N153" i="3"/>
  <c r="T151" i="3"/>
  <c r="D53" i="6"/>
  <c r="D52" i="7"/>
  <c r="G23" i="8" l="1"/>
  <c r="T21" i="8"/>
  <c r="P25" i="8"/>
  <c r="P44" i="8" s="1"/>
  <c r="H25" i="8"/>
  <c r="H44" i="8" s="1"/>
  <c r="K25" i="8"/>
  <c r="K44" i="8" s="1"/>
  <c r="R25" i="8"/>
  <c r="R44" i="8" s="1"/>
  <c r="J25" i="8"/>
  <c r="J44" i="8" s="1"/>
  <c r="Q25" i="8"/>
  <c r="Q44" i="8" s="1"/>
  <c r="I25" i="8"/>
  <c r="I44" i="8" s="1"/>
  <c r="O25" i="8"/>
  <c r="O44" i="8" s="1"/>
  <c r="N25" i="8"/>
  <c r="N44" i="8" s="1"/>
  <c r="T153" i="3"/>
  <c r="D54" i="6"/>
  <c r="D53" i="7"/>
  <c r="I49" i="8" l="1"/>
  <c r="I48" i="8"/>
  <c r="I50" i="8"/>
  <c r="K49" i="8"/>
  <c r="K48" i="8"/>
  <c r="K50" i="8"/>
  <c r="T23" i="8"/>
  <c r="G25" i="8"/>
  <c r="N48" i="8"/>
  <c r="N49" i="8"/>
  <c r="N50" i="8"/>
  <c r="Q48" i="8"/>
  <c r="Q49" i="8"/>
  <c r="Q50" i="8"/>
  <c r="H48" i="8"/>
  <c r="H49" i="8"/>
  <c r="H50" i="8"/>
  <c r="J49" i="8"/>
  <c r="J48" i="8"/>
  <c r="J50" i="8"/>
  <c r="P49" i="8"/>
  <c r="P48" i="8"/>
  <c r="P50" i="8"/>
  <c r="O48" i="8"/>
  <c r="O49" i="8"/>
  <c r="O50" i="8"/>
  <c r="R48" i="8"/>
  <c r="R49" i="8"/>
  <c r="R50" i="8"/>
  <c r="P37" i="8"/>
  <c r="P38" i="8" s="1"/>
  <c r="I37" i="8"/>
  <c r="I38" i="8" s="1"/>
  <c r="K37" i="8"/>
  <c r="K38" i="8" s="1"/>
  <c r="O37" i="8"/>
  <c r="O38" i="8" s="1"/>
  <c r="N37" i="8"/>
  <c r="N38" i="8" s="1"/>
  <c r="R37" i="8"/>
  <c r="R38" i="8" s="1"/>
  <c r="Q37" i="8"/>
  <c r="Q38" i="8" s="1"/>
  <c r="H37" i="8"/>
  <c r="H38" i="8" s="1"/>
  <c r="J37" i="8"/>
  <c r="J38" i="8" s="1"/>
  <c r="D55" i="6"/>
  <c r="D54" i="7"/>
  <c r="G44" i="8" l="1"/>
  <c r="T25" i="8"/>
  <c r="G37" i="8"/>
  <c r="D56" i="6"/>
  <c r="D55" i="7"/>
  <c r="G48" i="8" l="1"/>
  <c r="T48" i="8" s="1"/>
  <c r="G49" i="8"/>
  <c r="T49" i="8" s="1"/>
  <c r="T44" i="8"/>
  <c r="G50" i="8"/>
  <c r="T50" i="8" s="1"/>
  <c r="G38" i="8"/>
  <c r="T38" i="8" s="1"/>
  <c r="T37" i="8"/>
  <c r="D57" i="6"/>
  <c r="D56" i="7"/>
  <c r="D58" i="6" l="1"/>
  <c r="D57" i="7"/>
  <c r="D59" i="6" l="1"/>
  <c r="D58" i="7"/>
  <c r="D60" i="6" l="1"/>
  <c r="D59" i="7"/>
  <c r="D61" i="6" l="1"/>
  <c r="D60" i="7"/>
  <c r="D62" i="6" l="1"/>
  <c r="D61" i="7"/>
  <c r="D63" i="6" l="1"/>
  <c r="D62" i="7"/>
  <c r="D64" i="6" l="1"/>
  <c r="D63" i="7"/>
  <c r="D65" i="6" l="1"/>
  <c r="D64" i="7"/>
  <c r="D66" i="6" l="1"/>
  <c r="D65" i="7"/>
  <c r="D67" i="6" l="1"/>
  <c r="D66" i="7"/>
  <c r="D68" i="6" l="1"/>
  <c r="D67" i="7"/>
  <c r="D69" i="6" l="1"/>
  <c r="D68" i="7"/>
  <c r="D70" i="6" l="1"/>
  <c r="D69" i="7"/>
  <c r="D71" i="6" l="1"/>
  <c r="D70" i="7"/>
  <c r="D72" i="6" l="1"/>
  <c r="D71" i="7"/>
  <c r="D73" i="6" l="1"/>
  <c r="D72" i="7"/>
  <c r="D74" i="6" l="1"/>
  <c r="D73" i="7"/>
  <c r="D75" i="6" l="1"/>
  <c r="D74" i="7"/>
  <c r="D76" i="6" l="1"/>
  <c r="D75" i="7"/>
  <c r="D77" i="6" l="1"/>
  <c r="D76" i="7"/>
  <c r="D78" i="6" l="1"/>
  <c r="D77" i="7"/>
  <c r="D79" i="6" l="1"/>
  <c r="D78" i="7"/>
  <c r="D80" i="6" l="1"/>
  <c r="D79" i="7"/>
  <c r="D81" i="6" l="1"/>
  <c r="D80" i="7"/>
  <c r="D82" i="6" l="1"/>
  <c r="D81" i="7"/>
  <c r="D83" i="6" l="1"/>
  <c r="D82" i="7"/>
  <c r="D84" i="6" l="1"/>
  <c r="D83" i="7"/>
  <c r="D85" i="6" l="1"/>
  <c r="D84" i="7"/>
  <c r="D86" i="6" l="1"/>
  <c r="D85" i="7"/>
  <c r="D87" i="6" l="1"/>
  <c r="D86" i="7"/>
  <c r="D88" i="6" l="1"/>
  <c r="D87" i="7"/>
  <c r="D89" i="6" l="1"/>
  <c r="D88" i="7"/>
  <c r="D90" i="6" l="1"/>
  <c r="D89" i="7"/>
  <c r="D91" i="6" l="1"/>
  <c r="D90" i="7"/>
  <c r="D92" i="6" l="1"/>
  <c r="D91" i="7"/>
  <c r="D93" i="6" l="1"/>
  <c r="D92" i="7"/>
  <c r="D93" i="7" l="1"/>
  <c r="D94" i="7" l="1"/>
  <c r="D95" i="7" l="1"/>
  <c r="D96" i="7" l="1"/>
  <c r="D97" i="7" l="1"/>
  <c r="D98" i="7" l="1"/>
  <c r="D99" i="7" l="1"/>
  <c r="D100" i="7" l="1"/>
  <c r="D101" i="7" l="1"/>
  <c r="D102" i="7" l="1"/>
  <c r="D103" i="7" l="1"/>
  <c r="D104" i="7" l="1"/>
  <c r="D105" i="7" l="1"/>
  <c r="D106" i="7" l="1"/>
  <c r="D107" i="7" l="1"/>
  <c r="D108" i="7" l="1"/>
  <c r="D109" i="7" l="1"/>
  <c r="D110" i="7" l="1"/>
  <c r="D111" i="7" l="1"/>
  <c r="D112" i="7" l="1"/>
  <c r="D113" i="7" l="1"/>
  <c r="D114" i="7" l="1"/>
  <c r="D115" i="7" l="1"/>
  <c r="D116" i="7" l="1"/>
  <c r="D117" i="7" l="1"/>
  <c r="D118" i="7" l="1"/>
  <c r="D119" i="7" l="1"/>
  <c r="D120" i="7" l="1"/>
  <c r="D121" i="7" l="1"/>
  <c r="D122" i="7" l="1"/>
  <c r="D123" i="7" l="1"/>
  <c r="D124" i="7" l="1"/>
  <c r="D126" i="7" l="1"/>
  <c r="D125" i="7"/>
  <c r="G47" i="8" l="1"/>
  <c r="H47" i="8"/>
  <c r="H52" i="8" s="1"/>
  <c r="I47" i="8"/>
  <c r="I52" i="8" s="1"/>
  <c r="J47" i="8"/>
  <c r="J52" i="8" s="1"/>
  <c r="K47" i="8"/>
  <c r="K52" i="8" s="1"/>
  <c r="K54" i="8" s="1"/>
  <c r="N47" i="8"/>
  <c r="N52" i="8" s="1"/>
  <c r="O47" i="8"/>
  <c r="O52" i="8" s="1"/>
  <c r="P47" i="8"/>
  <c r="P52" i="8" s="1"/>
  <c r="Q47" i="8"/>
  <c r="Q52" i="8" s="1"/>
  <c r="Q54" i="8" s="1"/>
  <c r="R47" i="8"/>
  <c r="R52" i="8" s="1"/>
  <c r="Q77" i="8" l="1"/>
  <c r="Q76" i="8"/>
  <c r="K77" i="8"/>
  <c r="K76" i="8"/>
  <c r="G52" i="8"/>
  <c r="T52" i="8" s="1"/>
  <c r="T47" i="8"/>
  <c r="P54" i="8"/>
  <c r="J54" i="8"/>
  <c r="Q56" i="8"/>
  <c r="Q74" i="8" s="1"/>
  <c r="R54" i="8"/>
  <c r="N54" i="8"/>
  <c r="H54" i="8"/>
  <c r="K56" i="8"/>
  <c r="K74" i="8" s="1"/>
  <c r="O54" i="8"/>
  <c r="I54" i="8"/>
  <c r="O77" i="8" l="1"/>
  <c r="O76" i="8"/>
  <c r="R77" i="8"/>
  <c r="R76" i="8"/>
  <c r="H77" i="8"/>
  <c r="H76" i="8"/>
  <c r="J77" i="8"/>
  <c r="J76" i="8"/>
  <c r="I77" i="8"/>
  <c r="I76" i="8"/>
  <c r="N77" i="8"/>
  <c r="N76" i="8"/>
  <c r="P77" i="8"/>
  <c r="P76" i="8"/>
  <c r="G54" i="8"/>
  <c r="H56" i="8"/>
  <c r="H74" i="8" s="1"/>
  <c r="R56" i="8"/>
  <c r="R74" i="8" s="1"/>
  <c r="Q57" i="8"/>
  <c r="P56" i="8"/>
  <c r="P74" i="8" s="1"/>
  <c r="I56" i="8"/>
  <c r="I74" i="8" s="1"/>
  <c r="J56" i="8"/>
  <c r="J74" i="8" s="1"/>
  <c r="O56" i="8"/>
  <c r="O74" i="8" s="1"/>
  <c r="K57" i="8"/>
  <c r="N56" i="8"/>
  <c r="N74" i="8" s="1"/>
  <c r="F54" i="8" l="1"/>
  <c r="F77" i="8" s="1"/>
  <c r="G76" i="8"/>
  <c r="G77" i="8"/>
  <c r="G56" i="8"/>
  <c r="G74" i="8" s="1"/>
  <c r="F76" i="8"/>
  <c r="J57" i="8"/>
  <c r="P57" i="8"/>
  <c r="I57" i="8"/>
  <c r="R57" i="8"/>
  <c r="N57" i="8"/>
  <c r="O57" i="8"/>
  <c r="H57" i="8"/>
  <c r="T54" i="8" l="1"/>
  <c r="T77" i="8"/>
  <c r="G57" i="8"/>
  <c r="F56" i="8"/>
  <c r="T56" i="8" s="1"/>
  <c r="T76" i="8"/>
  <c r="F57" i="8" l="1"/>
  <c r="T57" i="8" s="1"/>
  <c r="F74" i="8"/>
  <c r="M75" i="8" l="1"/>
  <c r="L75" i="8"/>
  <c r="Q75" i="8"/>
  <c r="K75" i="8"/>
  <c r="J75" i="8"/>
  <c r="H75" i="8"/>
  <c r="R75" i="8"/>
  <c r="N75" i="8"/>
  <c r="P75" i="8"/>
  <c r="O75" i="8"/>
  <c r="I75" i="8"/>
  <c r="G75" i="8"/>
  <c r="F75" i="8"/>
  <c r="T74" i="8"/>
  <c r="T75" i="8" l="1"/>
</calcChain>
</file>

<file path=xl/sharedStrings.xml><?xml version="1.0" encoding="utf-8"?>
<sst xmlns="http://schemas.openxmlformats.org/spreadsheetml/2006/main" count="749" uniqueCount="571">
  <si>
    <t>Account Description</t>
  </si>
  <si>
    <t>Total</t>
  </si>
  <si>
    <t>RATE BASE</t>
  </si>
  <si>
    <t>Plant-in-Service</t>
  </si>
  <si>
    <t>Intangible Plant</t>
  </si>
  <si>
    <t>Production Plant</t>
  </si>
  <si>
    <t>Transmission Plant</t>
  </si>
  <si>
    <t>General Plant</t>
  </si>
  <si>
    <t>Sub-total</t>
  </si>
  <si>
    <t>Transmission Plant - Integrated Generation</t>
  </si>
  <si>
    <t>Bulk Transmission Plant</t>
  </si>
  <si>
    <t>Transmission Plant - Sch 62 Lease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</si>
  <si>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</si>
  <si>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</si>
  <si>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</si>
  <si>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</si>
  <si>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</si>
  <si>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</si>
  <si>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</si>
  <si>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</si>
  <si>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</si>
  <si>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</si>
  <si>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</si>
  <si>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</si>
  <si>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</si>
  <si>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</si>
  <si>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</si>
  <si>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</si>
  <si>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</si>
  <si>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</si>
  <si>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</si>
  <si>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</si>
  <si>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</si>
  <si>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</si>
  <si>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</si>
  <si>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</si>
  <si>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</si>
  <si>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</si>
  <si>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</si>
  <si>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</si>
  <si>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</si>
  <si>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</si>
  <si>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</si>
  <si>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</si>
  <si>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</si>
  <si>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</si>
  <si>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</si>
  <si>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</si>
  <si>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</si>
  <si>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</si>
  <si>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</si>
  <si>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</si>
  <si>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</si>
  <si>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</si>
  <si>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</si>
  <si>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</si>
  <si>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</si>
  <si>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</si>
  <si>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</si>
  <si>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</si>
  <si>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</si>
  <si>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</si>
  <si>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</si>
  <si>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</si>
  <si>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</si>
  <si>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</si>
  <si>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</si>
  <si>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</si>
  <si>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</si>
  <si>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</si>
  <si>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</si>
  <si>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</si>
  <si>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</si>
  <si>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</si>
  <si>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</si>
  <si>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</si>
  <si>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</si>
  <si>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</si>
  <si>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</si>
  <si>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</si>
  <si>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</si>
  <si>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</si>
  <si>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</si>
  <si>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</si>
  <si>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</si>
  <si>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</si>
  <si>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</si>
  <si>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</si>
  <si>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</si>
  <si>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</si>
  <si>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</si>
  <si>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</si>
  <si>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</si>
  <si>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</si>
  <si>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</si>
  <si>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</si>
  <si>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</si>
  <si>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</si>
  <si>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</si>
  <si>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</si>
  <si>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</si>
  <si>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</si>
  <si>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</si>
  <si>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</si>
  <si>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</si>
  <si>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</si>
  <si>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</si>
  <si>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</si>
  <si>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</si>
  <si>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</si>
  <si>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</si>
  <si>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</si>
  <si>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</si>
  <si>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</si>
  <si>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</si>
  <si>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</si>
  <si>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</si>
  <si>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</si>
  <si>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</si>
  <si>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</si>
  <si>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</si>
  <si>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</si>
  <si>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</si>
  <si>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</si>
  <si>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</si>
  <si>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</si>
  <si>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</si>
  <si>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</si>
  <si>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</si>
  <si>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</si>
  <si>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</si>
  <si>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</si>
  <si>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</si>
  <si>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</si>
  <si>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</si>
  <si>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</si>
  <si>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</si>
  <si>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</si>
  <si>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</si>
  <si>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</si>
  <si>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</si>
  <si>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</si>
  <si>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</si>
  <si>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</si>
  <si>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</si>
  <si>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</si>
  <si>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</si>
  <si>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</si>
  <si>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</si>
  <si>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</si>
  <si>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</si>
  <si>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</si>
  <si>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</si>
  <si>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</si>
  <si>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</si>
  <si>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</si>
  <si>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</si>
  <si>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</si>
  <si>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</si>
  <si>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</si>
  <si>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</si>
  <si>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</si>
  <si>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</si>
  <si>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</si>
  <si>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</si>
  <si>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</si>
  <si>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</si>
  <si>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</si>
  <si>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</si>
  <si>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</si>
  <si>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</si>
  <si>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</si>
  <si>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</si>
  <si>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</si>
  <si>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</si>
  <si>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</si>
  <si>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</si>
  <si>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</si>
  <si>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TOTAL OPERATING EXPENSES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</si>
  <si>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</si>
  <si>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</si>
  <si>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</si>
  <si>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</si>
  <si>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</si>
  <si>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</si>
  <si>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</si>
  <si>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</si>
  <si>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</si>
  <si>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</si>
  <si>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</si>
  <si>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</si>
  <si>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</si>
  <si>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</si>
  <si>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</si>
  <si>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</si>
  <si>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</si>
  <si>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</si>
  <si>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</si>
  <si>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</si>
  <si>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</si>
  <si>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</si>
  <si>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</si>
  <si>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</si>
  <si>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</si>
  <si>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</si>
  <si>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</si>
  <si>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</si>
  <si>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</si>
  <si>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</si>
  <si>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</si>
  <si>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</si>
  <si>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</si>
  <si>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Depreciation Expense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</si>
  <si>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</si>
  <si>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</si>
  <si>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</si>
  <si>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</si>
  <si>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</si>
  <si>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</si>
  <si>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</si>
  <si>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</si>
  <si>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</si>
  <si>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</si>
  <si>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</si>
  <si>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</si>
  <si>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</si>
  <si>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</si>
  <si>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</si>
  <si>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</si>
  <si>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</si>
  <si>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</si>
  <si>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</si>
  <si>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</si>
  <si>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</si>
  <si>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</si>
  <si>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</si>
  <si>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</si>
  <si>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</si>
  <si>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</si>
  <si>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</si>
  <si>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</si>
  <si>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</si>
  <si>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MT Corp License</t>
  </si>
  <si>
    <t>Other Taxes - MT Elec Energy Lic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</si>
  <si>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</si>
  <si>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</si>
  <si>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</si>
  <si>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</si>
  <si>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</si>
  <si>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</si>
  <si>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</si>
  <si>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TOTAL EXPENSES</t>
  </si>
  <si>
    <t>Sales of Electricity - Firm Revenue</t>
  </si>
  <si>
    <t>Sales of Electricity - Transportation Revenue - Retail</t>
  </si>
  <si>
    <t>Sales of Electricity - Small Firm Resale</t>
  </si>
  <si>
    <t>SALES REVENUE</t>
  </si>
  <si>
    <t>NON FIRM REVENUE</t>
  </si>
  <si>
    <t>Sales of Electricity - Non Firm Revenue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</si>
  <si>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</si>
  <si>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</si>
  <si>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</si>
  <si>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</si>
  <si>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</si>
  <si>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</si>
  <si>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</si>
  <si>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</si>
  <si>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</si>
  <si>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</si>
  <si>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</si>
  <si>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</si>
  <si>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</si>
  <si>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Distribution Pole Contacts</t>
  </si>
  <si>
    <t>Rental Revenue - Personal Cell Site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</si>
  <si>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</si>
  <si>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</si>
  <si>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</si>
  <si>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</si>
  <si>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</si>
  <si>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</si>
  <si>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</si>
  <si>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</si>
  <si>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</si>
  <si>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</si>
  <si>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</si>
  <si>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</si>
  <si>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</si>
  <si>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</si>
  <si>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</si>
  <si>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</si>
  <si>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</si>
  <si>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TOTAL OTHER OPERATING INCOME</t>
  </si>
  <si>
    <t>TOTAL REVENUE</t>
  </si>
  <si>
    <t>Allocation Factor</t>
  </si>
  <si>
    <t>Residential Sch 7</t>
  </si>
  <si>
    <t>Sec Volt
Sch 24
(kW&lt; 50)</t>
  </si>
  <si>
    <t>Sec Volt
Sch 25
(kW &gt; 50 &amp; &lt; 350)</t>
  </si>
  <si>
    <t>Sec Volt
Sch 26
(kW &gt; 350)</t>
  </si>
  <si>
    <t>Campus
Sch 40</t>
  </si>
  <si>
    <t xml:space="preserve"> High Volt
Sch 46 / 49</t>
  </si>
  <si>
    <t>Street
&amp; Area Lighting</t>
  </si>
  <si>
    <t>Firm
Resale</t>
  </si>
  <si>
    <t>Choice /
Retail Wheeling
Sch 448/449</t>
  </si>
  <si>
    <t xml:space="preserve">Memo:  Combined </t>
  </si>
  <si>
    <t>Description</t>
  </si>
  <si>
    <t>Res Svc</t>
  </si>
  <si>
    <t>Sec Svc 24</t>
  </si>
  <si>
    <t>Sec Svc 25 / 29 / 7A</t>
  </si>
  <si>
    <t>Sec Svc 26 /26P</t>
  </si>
  <si>
    <t>Campus 40</t>
  </si>
  <si>
    <t>High Volt 46/49</t>
  </si>
  <si>
    <t>Choice/Retail Wheeling 448/449</t>
  </si>
  <si>
    <t>Lighting 50-59</t>
  </si>
  <si>
    <t>Firm Resale Small</t>
  </si>
  <si>
    <t>~</t>
  </si>
  <si>
    <t>Pri Svc 31</t>
  </si>
  <si>
    <t>Pri Svc 35</t>
  </si>
  <si>
    <t>Pri Svc 43</t>
  </si>
  <si>
    <t>Choice/Retail Wheeling PV</t>
  </si>
  <si>
    <t>Choice/Retail Wheeling HV</t>
  </si>
  <si>
    <t>CUSTOMER EXTERNAL ALLOCATORS</t>
  </si>
  <si>
    <t>CUST_1</t>
  </si>
  <si>
    <t>CUST_2</t>
  </si>
  <si>
    <t>CUST_3</t>
  </si>
  <si>
    <t>CUST_4</t>
  </si>
  <si>
    <t>DIR_40</t>
  </si>
  <si>
    <t>DIR_449</t>
  </si>
  <si>
    <t>DIR_449_OATT</t>
  </si>
  <si>
    <t>DIR_RESALE_SMALL</t>
  </si>
  <si>
    <t>DIR235.00</t>
  </si>
  <si>
    <t>DIR252.00</t>
  </si>
  <si>
    <t>DIR368.03C</t>
  </si>
  <si>
    <t>DIR373.00</t>
  </si>
  <si>
    <t>DIR450.01</t>
  </si>
  <si>
    <t>DIR450.02</t>
  </si>
  <si>
    <t>DIR451.02</t>
  </si>
  <si>
    <t>DIR451.05</t>
  </si>
  <si>
    <t>DIR451.06</t>
  </si>
  <si>
    <t>DIR904.00</t>
  </si>
  <si>
    <t>METER</t>
  </si>
  <si>
    <t>OH_SVC</t>
  </si>
  <si>
    <t>OH_TFMRC</t>
  </si>
  <si>
    <t>PROFORMA</t>
  </si>
  <si>
    <t>PROFORMA_RETAIL</t>
  </si>
  <si>
    <t>RESID</t>
  </si>
  <si>
    <t>UG_TFMRC</t>
  </si>
  <si>
    <t>DEM_1</t>
  </si>
  <si>
    <t>DEM_1A</t>
  </si>
  <si>
    <t>DEM_1B</t>
  </si>
  <si>
    <t>DEM_2A</t>
  </si>
  <si>
    <t>DEM_2B</t>
  </si>
  <si>
    <t>DIR108.360</t>
  </si>
  <si>
    <t>DIR108.361</t>
  </si>
  <si>
    <t>DIR108.362</t>
  </si>
  <si>
    <t>DIR108.364</t>
  </si>
  <si>
    <t>DIR108.366</t>
  </si>
  <si>
    <t>DIR360.01</t>
  </si>
  <si>
    <t>DIR361.01</t>
  </si>
  <si>
    <t>DIR362.01</t>
  </si>
  <si>
    <t>DIR364.01</t>
  </si>
  <si>
    <t>DIR366.01</t>
  </si>
  <si>
    <t>DIR368.03</t>
  </si>
  <si>
    <t>NCP_360</t>
  </si>
  <si>
    <t>NCP_361</t>
  </si>
  <si>
    <t>NCP_362</t>
  </si>
  <si>
    <t>OH_NCP</t>
  </si>
  <si>
    <t>OH_TFMR</t>
  </si>
  <si>
    <t>UG_NCP</t>
  </si>
  <si>
    <t>UG_TFMR</t>
  </si>
  <si>
    <t>DIR454.05</t>
  </si>
  <si>
    <t>BPAX</t>
  </si>
  <si>
    <t>ENERGY_1</t>
  </si>
  <si>
    <t>ENERGY_2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</si>
  <si>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</si>
  <si>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</si>
  <si>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</si>
  <si>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</si>
  <si>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</si>
  <si>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</si>
  <si>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</si>
  <si>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</si>
  <si>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</si>
  <si>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</si>
  <si>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</si>
  <si>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</si>
  <si>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</si>
  <si>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</si>
  <si>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</si>
  <si>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</si>
  <si>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</si>
  <si>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</si>
  <si>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</si>
  <si>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</si>
  <si>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</si>
  <si>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</si>
  <si>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</si>
  <si>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</si>
  <si>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</si>
  <si>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</si>
  <si>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</si>
  <si>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</si>
  <si>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</si>
  <si>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</si>
  <si>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</si>
  <si>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</si>
  <si>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</si>
  <si>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</si>
  <si>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</si>
  <si>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</si>
  <si>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</si>
  <si>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</si>
  <si>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</si>
  <si>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</si>
  <si>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</si>
  <si>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</si>
  <si>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</si>
  <si>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</si>
  <si>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</si>
  <si>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</si>
  <si>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</si>
  <si>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</si>
  <si>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</si>
  <si>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</si>
  <si>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</si>
  <si>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</si>
  <si>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</si>
  <si>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</si>
  <si>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</si>
  <si>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</si>
  <si>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</si>
  <si>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</si>
  <si>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</si>
  <si>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TAI Number</t>
  </si>
  <si>
    <t>PSE Name</t>
  </si>
  <si>
    <t>Demand</t>
  </si>
  <si>
    <t>Energy</t>
  </si>
  <si>
    <t>Ave. No Cust</t>
  </si>
  <si>
    <t>Ave No. Cust Incl RES &amp; SEC Only, No Sch 40</t>
  </si>
  <si>
    <t>Wtd. Ave. No. Cust. A/C 903 Customer Records Direct Assignment (Needs Proforma Adjustment)</t>
  </si>
  <si>
    <t>Meter Counts A/C 902</t>
  </si>
  <si>
    <t>Direct Assignment Schedule 40</t>
  </si>
  <si>
    <t>Schedule 449 / 459 Retail Revenue</t>
  </si>
  <si>
    <t>Transportation OATT Revenue</t>
  </si>
  <si>
    <t>Small Firm Resale Allocation Only</t>
  </si>
  <si>
    <t>Line Transformers - Customer Related</t>
  </si>
  <si>
    <t>Str. &amp; Signal Systems</t>
  </si>
  <si>
    <t>Late Payment Interest Rev</t>
  </si>
  <si>
    <t>Direct Assign Disconnect Call - A/C 450.02</t>
  </si>
  <si>
    <t>Connect/Reconnect Revenue</t>
  </si>
  <si>
    <t>Billing Initiation Charge</t>
  </si>
  <si>
    <t>NSF Check Charge Revenue</t>
  </si>
  <si>
    <t>Direct Assign 904 Uncollectibles</t>
  </si>
  <si>
    <t>Meter Investment</t>
  </si>
  <si>
    <t>Dist OH Services (Sec Voltage Only)</t>
  </si>
  <si>
    <t>Allocate Overhead Transformers</t>
  </si>
  <si>
    <t>Proforma Revenue</t>
  </si>
  <si>
    <t>Proforma Retail Revenue - No Transportation</t>
  </si>
  <si>
    <t>Residential Allocation Only</t>
  </si>
  <si>
    <t>Allocate Underground Transformers</t>
  </si>
  <si>
    <t>Top 75 CP Hours (not used)</t>
  </si>
  <si>
    <t>Top 75 CP Hours Excl. Interruptible (not used)</t>
  </si>
  <si>
    <t>Top 75 CP No Interruptibles or Transportation (not used)</t>
  </si>
  <si>
    <t>4 CP Winter Peak - No Interruptibles</t>
  </si>
  <si>
    <t>4 CP Winter Peak - No Interruptibles or Transportation</t>
  </si>
  <si>
    <t>Direct Assign Substation Ease - Accum Depr</t>
  </si>
  <si>
    <t>Direct Assign Substation Structures - Accum Depr</t>
  </si>
  <si>
    <t>Direct Assign Substation Equipment - Accum Depr</t>
  </si>
  <si>
    <t>Direct Assign OH Dist Lines - Accum Depr</t>
  </si>
  <si>
    <t>Direct Assign UG Dist Lines</t>
  </si>
  <si>
    <t>Direct Assign Substation Structures</t>
  </si>
  <si>
    <t>Direct Assign Substation Land</t>
  </si>
  <si>
    <t>Direct Assign Substation Equipment</t>
  </si>
  <si>
    <t>Direct Assign OH Dist Lines</t>
  </si>
  <si>
    <t>Line Transformers</t>
  </si>
  <si>
    <t>Allocate Substation Land - 12 NCP</t>
  </si>
  <si>
    <t>Allocate Substation Structures - 12 NCP</t>
  </si>
  <si>
    <t>Allocate Substation Equipment - 12 NCP</t>
  </si>
  <si>
    <t>Allocate Overhead Lines - 12 NCP</t>
  </si>
  <si>
    <t>Allocate Underground Lines - 12 CP</t>
  </si>
  <si>
    <t>Equip. (Transformer &amp; Substation) Rentals</t>
  </si>
  <si>
    <t>BPA Residential Exchange kWh</t>
  </si>
  <si>
    <t>Annual kWhs</t>
  </si>
  <si>
    <t>Energy - No Retail Wheeling</t>
  </si>
  <si>
    <t>dir</t>
  </si>
  <si>
    <t>Check</t>
  </si>
  <si>
    <t>Bulk Transmission Plt</t>
  </si>
  <si>
    <t>check</t>
  </si>
  <si>
    <t>CURRENT REVENUE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</si>
  <si>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</si>
  <si>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</si>
  <si>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</si>
  <si>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</si>
  <si>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</si>
  <si>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</si>
  <si>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</si>
  <si>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</si>
  <si>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</si>
  <si>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</si>
  <si>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</si>
  <si>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</si>
  <si>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Total Plant In Service</t>
  </si>
  <si>
    <t>Accumulated Depreciation</t>
  </si>
  <si>
    <t>Net Plant</t>
  </si>
  <si>
    <t>Other Additions &amp; Deductions</t>
  </si>
  <si>
    <t>Rate of Return @ Current Rates</t>
  </si>
  <si>
    <t>Indexed Rate of Return</t>
  </si>
  <si>
    <t>Required Operating Income</t>
  </si>
  <si>
    <t>Required Return</t>
  </si>
  <si>
    <t>Revenue Requirement</t>
  </si>
  <si>
    <t>Revenues Other Than Rate Sch. Rev.</t>
  </si>
  <si>
    <t>Rate Schedule Revenue Requirement</t>
  </si>
  <si>
    <t>Calculation of Rate Schedule Revenue Requirement at Equal Rates of Return</t>
  </si>
  <si>
    <t>Operating Income Deficiency / (Surplus)</t>
  </si>
  <si>
    <t>Revenue Deficiency / (Surplus)</t>
  </si>
  <si>
    <t>Deficiency / (Surplus) as % of Firm Sales</t>
  </si>
  <si>
    <t>Rate Schedule Revenue as Proposed</t>
  </si>
  <si>
    <t>Proposed Revenue Increase</t>
  </si>
  <si>
    <t>Current Revenue to Cost Ratio</t>
  </si>
  <si>
    <t>Parity Ratio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</si>
  <si>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</si>
  <si>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</si>
  <si>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</si>
  <si>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</si>
  <si>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ROR @ PSE Proposed Increase:</t>
  </si>
  <si>
    <t xml:space="preserve">     PSE Proposed Increase</t>
  </si>
  <si>
    <t>Total Revenue @ PSE Proposed</t>
  </si>
  <si>
    <t>Taxable Income</t>
  </si>
  <si>
    <t xml:space="preserve">     Federal Income Taxes</t>
  </si>
  <si>
    <t>Current Revenue</t>
  </si>
  <si>
    <t xml:space="preserve">     Total Current Revenue</t>
  </si>
  <si>
    <t>Inc. Deficiency</t>
  </si>
  <si>
    <t>Prob of Dispatch-- Generation Gross Plant-- Test Year Loads</t>
  </si>
  <si>
    <t>Prob of Dispatch-- Generation Accum Depreciation-- Test Year Loads</t>
  </si>
  <si>
    <t>Time Differentiated  Fuel Cost-- Test Year Loads-- Adjusted kwh</t>
  </si>
  <si>
    <t>Memo: Calculation of Time Differentiated Fuel costs</t>
  </si>
  <si>
    <t>Adjusted Test Year KWH @ Meter ( PER JAP-39)</t>
  </si>
  <si>
    <t>Fuel cost per kwh @ meter</t>
  </si>
  <si>
    <t>Total fuel cost</t>
  </si>
  <si>
    <t>Allocation Pct</t>
  </si>
  <si>
    <t>Bulk Transmission -- load factor-- Prob Dispatch</t>
  </si>
  <si>
    <t>Memo: Bulk Transmission</t>
  </si>
  <si>
    <t>System Load Factor:</t>
  </si>
  <si>
    <t>Calculate assignment to Transport</t>
  </si>
  <si>
    <t xml:space="preserve">     Energy Pct</t>
  </si>
  <si>
    <t xml:space="preserve">    Demand Pct</t>
  </si>
  <si>
    <t>Bulk Total Investment</t>
  </si>
  <si>
    <t>Transport Demand Allocation</t>
  </si>
  <si>
    <t>Transport Energy Allocation</t>
  </si>
  <si>
    <t>Total Transport Allocation</t>
  </si>
  <si>
    <t>Generation Classes Allocation</t>
  </si>
  <si>
    <t>Prob Dispatch to Generation Classes</t>
  </si>
  <si>
    <t>Total Class Allocation</t>
  </si>
  <si>
    <t>Probability of Dispatch</t>
  </si>
  <si>
    <t>Bulk Transmission</t>
  </si>
  <si>
    <t>Pri Volt
Sch 31</t>
  </si>
  <si>
    <t>Pri Volt 31</t>
  </si>
  <si>
    <t xml:space="preserve">     PC Proposed Increase</t>
  </si>
  <si>
    <t>Rate Schedule Revenue as Proposed by PC</t>
  </si>
  <si>
    <t>Total Revenue @ PC Proposed</t>
  </si>
  <si>
    <t>PSE Proposed Revenue to Cost Ratio</t>
  </si>
  <si>
    <t>PC Proposed Revenue to Cost Ratio</t>
  </si>
  <si>
    <t>PSE Allocation Factor</t>
  </si>
  <si>
    <t>PC Allocation Factor</t>
  </si>
  <si>
    <t>PUGET SOUND ENERGY</t>
  </si>
  <si>
    <t>Probability of Dispatch Class Cost of Service Study</t>
  </si>
  <si>
    <t>(Summary)</t>
  </si>
  <si>
    <t>(Rate Base)</t>
  </si>
  <si>
    <t>(Expenses)</t>
  </si>
  <si>
    <t>(Labor)</t>
  </si>
  <si>
    <t>(Revenues)</t>
  </si>
  <si>
    <t>(Allocation Amounts)</t>
  </si>
  <si>
    <t>(Allocation Percentages)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</si>
</sst>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_(* #,##0.000000_);_(* \(#,##0.000000\);_(* &quot;-&quot;??_);_(@_)"/>
    <numFmt numFmtId="168" formatCode="_(* #,##0.00000_);_(* \(#,##0.00000\);_(* &quot;-&quot;??_);_(@_)"/>
    <numFmt numFmtId="169" formatCode="0.00000%"/>
    <numFmt numFmtId="170" formatCode="_(&quot;$&quot;* #,##0_);_(&quot;$&quot;* \(#,##0\);_(&quot;$&quot;* &quot;-&quot;??_);_(@_)"/>
    <numFmt numFmtId="171" formatCode="&quot;$&quot;#,##0.000_);\(&quot;$&quot;#,##0.000\)"/>
    <numFmt numFmtId="172" formatCode="_(&quot;$&quot;* #,##0.00000000_);_(&quot;$&quot;* \(#,##0.00000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1" applyNumberFormat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NumberFormat="1" applyFill="1" applyAlignment="1"/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41" fontId="0" fillId="0" borderId="0" xfId="0" applyNumberFormat="1" applyFill="1" applyAlignment="1">
      <alignment horizontal="left" wrapText="1"/>
    </xf>
    <xf numFmtId="41" fontId="0" fillId="0" borderId="0" xfId="0" applyNumberFormat="1" applyFill="1" applyBorder="1" applyAlignment="1"/>
    <xf numFmtId="164" fontId="5" fillId="0" borderId="3" xfId="1" applyNumberFormat="1" applyFont="1" applyFill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6" fillId="0" borderId="2" xfId="0" applyFont="1" applyBorder="1"/>
    <xf numFmtId="165" fontId="6" fillId="0" borderId="2" xfId="0" applyNumberFormat="1" applyFont="1" applyBorder="1"/>
    <xf numFmtId="0" fontId="6" fillId="0" borderId="4" xfId="0" applyFont="1" applyBorder="1"/>
    <xf numFmtId="165" fontId="6" fillId="0" borderId="4" xfId="0" applyNumberFormat="1" applyFont="1" applyBorder="1"/>
    <xf numFmtId="5" fontId="6" fillId="0" borderId="0" xfId="4" applyNumberFormat="1" applyFont="1"/>
    <xf numFmtId="165" fontId="8" fillId="0" borderId="0" xfId="2" applyNumberFormat="1" applyFont="1" applyFill="1" applyBorder="1"/>
    <xf numFmtId="0" fontId="9" fillId="0" borderId="2" xfId="0" applyNumberFormat="1" applyFont="1" applyFill="1" applyBorder="1" applyAlignment="1"/>
    <xf numFmtId="170" fontId="9" fillId="0" borderId="2" xfId="0" applyNumberFormat="1" applyFont="1" applyFill="1" applyBorder="1" applyAlignment="1"/>
    <xf numFmtId="0" fontId="6" fillId="0" borderId="6" xfId="0" applyFont="1" applyBorder="1"/>
    <xf numFmtId="0" fontId="10" fillId="0" borderId="0" xfId="0" applyNumberFormat="1" applyFont="1" applyFill="1" applyAlignment="1">
      <alignment horizontal="center" wrapText="1"/>
    </xf>
    <xf numFmtId="0" fontId="10" fillId="0" borderId="0" xfId="0" applyNumberFormat="1" applyFont="1" applyFill="1" applyAlignment="1"/>
    <xf numFmtId="10" fontId="9" fillId="0" borderId="0" xfId="2" applyNumberFormat="1" applyFont="1" applyFill="1" applyBorder="1"/>
    <xf numFmtId="165" fontId="9" fillId="0" borderId="0" xfId="2" applyNumberFormat="1" applyFont="1" applyFill="1" applyBorder="1"/>
    <xf numFmtId="170" fontId="10" fillId="0" borderId="6" xfId="4" applyNumberFormat="1" applyFont="1" applyFill="1" applyBorder="1" applyAlignment="1"/>
    <xf numFmtId="170" fontId="10" fillId="0" borderId="5" xfId="4" applyNumberFormat="1" applyFont="1" applyFill="1" applyBorder="1" applyAlignment="1"/>
    <xf numFmtId="0" fontId="10" fillId="0" borderId="5" xfId="0" applyNumberFormat="1" applyFont="1" applyFill="1" applyBorder="1" applyAlignment="1"/>
    <xf numFmtId="0" fontId="10" fillId="0" borderId="6" xfId="0" applyNumberFormat="1" applyFont="1" applyFill="1" applyBorder="1" applyAlignment="1"/>
    <xf numFmtId="0" fontId="10" fillId="0" borderId="5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2" xfId="0" applyFont="1" applyBorder="1" applyAlignment="1">
      <alignment horizontal="left"/>
    </xf>
    <xf numFmtId="1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7" fillId="0" borderId="2" xfId="1" applyNumberFormat="1" applyFont="1" applyBorder="1"/>
    <xf numFmtId="0" fontId="4" fillId="0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7" fillId="0" borderId="0" xfId="1" applyNumberFormat="1" applyFont="1"/>
    <xf numFmtId="164" fontId="6" fillId="0" borderId="0" xfId="1" applyNumberFormat="1" applyFont="1"/>
    <xf numFmtId="168" fontId="6" fillId="0" borderId="0" xfId="1" applyNumberFormat="1" applyFont="1"/>
    <xf numFmtId="169" fontId="6" fillId="0" borderId="0" xfId="2" applyNumberFormat="1" applyFont="1"/>
    <xf numFmtId="43" fontId="6" fillId="0" borderId="0" xfId="0" applyNumberFormat="1" applyFont="1"/>
    <xf numFmtId="165" fontId="6" fillId="0" borderId="0" xfId="1" applyNumberFormat="1" applyFont="1"/>
    <xf numFmtId="165" fontId="6" fillId="0" borderId="2" xfId="1" applyNumberFormat="1" applyFont="1" applyBorder="1"/>
    <xf numFmtId="165" fontId="8" fillId="0" borderId="2" xfId="2" applyNumberFormat="1" applyFont="1" applyFill="1" applyBorder="1"/>
    <xf numFmtId="165" fontId="7" fillId="0" borderId="0" xfId="1" applyNumberFormat="1" applyFont="1"/>
    <xf numFmtId="9" fontId="6" fillId="0" borderId="0" xfId="2" applyFont="1"/>
    <xf numFmtId="9" fontId="6" fillId="0" borderId="2" xfId="2" applyFont="1" applyBorder="1"/>
    <xf numFmtId="170" fontId="6" fillId="0" borderId="0" xfId="4" applyNumberFormat="1" applyFont="1"/>
    <xf numFmtId="0" fontId="7" fillId="0" borderId="2" xfId="0" applyFont="1" applyBorder="1"/>
    <xf numFmtId="165" fontId="6" fillId="0" borderId="4" xfId="1" applyNumberFormat="1" applyFont="1" applyBorder="1"/>
    <xf numFmtId="0" fontId="6" fillId="0" borderId="4" xfId="0" applyFont="1" applyBorder="1" applyAlignment="1">
      <alignment horizontal="left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6" fillId="0" borderId="2" xfId="0" applyNumberFormat="1" applyFont="1" applyBorder="1" applyAlignment="1">
      <alignment horizontal="right"/>
    </xf>
    <xf numFmtId="1" fontId="6" fillId="0" borderId="0" xfId="2" applyNumberFormat="1" applyFont="1" applyAlignment="1">
      <alignment horizontal="right"/>
    </xf>
    <xf numFmtId="1" fontId="6" fillId="0" borderId="2" xfId="2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0" fontId="9" fillId="0" borderId="0" xfId="0" applyFont="1" applyFill="1"/>
    <xf numFmtId="170" fontId="9" fillId="0" borderId="0" xfId="4" applyNumberFormat="1" applyFont="1" applyFill="1" applyAlignment="1"/>
    <xf numFmtId="167" fontId="9" fillId="0" borderId="2" xfId="1" applyNumberFormat="1" applyFont="1" applyFill="1" applyBorder="1" applyAlignment="1"/>
    <xf numFmtId="0" fontId="9" fillId="0" borderId="2" xfId="0" applyFont="1" applyFill="1" applyBorder="1"/>
    <xf numFmtId="5" fontId="9" fillId="0" borderId="2" xfId="4" applyNumberFormat="1" applyFont="1" applyFill="1" applyBorder="1"/>
    <xf numFmtId="0" fontId="9" fillId="0" borderId="0" xfId="0" applyNumberFormat="1" applyFont="1" applyFill="1" applyAlignment="1"/>
    <xf numFmtId="167" fontId="9" fillId="0" borderId="0" xfId="1" applyNumberFormat="1" applyFont="1" applyFill="1" applyBorder="1" applyAlignment="1"/>
    <xf numFmtId="0" fontId="9" fillId="0" borderId="0" xfId="0" applyNumberFormat="1" applyFont="1" applyFill="1" applyBorder="1" applyAlignment="1"/>
    <xf numFmtId="0" fontId="9" fillId="0" borderId="0" xfId="0" applyFont="1" applyFill="1" applyBorder="1"/>
    <xf numFmtId="5" fontId="9" fillId="0" borderId="0" xfId="4" applyNumberFormat="1" applyFont="1" applyFill="1" applyBorder="1"/>
    <xf numFmtId="170" fontId="9" fillId="0" borderId="0" xfId="0" applyNumberFormat="1" applyFont="1" applyFill="1" applyBorder="1" applyAlignment="1"/>
    <xf numFmtId="172" fontId="9" fillId="0" borderId="0" xfId="0" applyNumberFormat="1" applyFont="1" applyFill="1" applyBorder="1" applyAlignment="1"/>
    <xf numFmtId="171" fontId="9" fillId="0" borderId="0" xfId="4" applyNumberFormat="1" applyFont="1" applyFill="1" applyBorder="1"/>
    <xf numFmtId="170" fontId="9" fillId="0" borderId="0" xfId="4" applyNumberFormat="1" applyFont="1" applyFill="1" applyBorder="1"/>
    <xf numFmtId="10" fontId="9" fillId="0" borderId="0" xfId="2" applyNumberFormat="1" applyFont="1" applyFill="1"/>
    <xf numFmtId="165" fontId="9" fillId="0" borderId="0" xfId="0" applyNumberFormat="1" applyFont="1" applyFill="1" applyAlignment="1"/>
    <xf numFmtId="165" fontId="9" fillId="0" borderId="0" xfId="0" applyNumberFormat="1" applyFont="1" applyFill="1"/>
    <xf numFmtId="165" fontId="9" fillId="0" borderId="0" xfId="2" applyNumberFormat="1" applyFont="1" applyFill="1"/>
    <xf numFmtId="170" fontId="9" fillId="0" borderId="0" xfId="4" applyNumberFormat="1" applyFont="1" applyFill="1" applyBorder="1" applyAlignment="1"/>
    <xf numFmtId="0" fontId="9" fillId="0" borderId="4" xfId="0" applyNumberFormat="1" applyFont="1" applyFill="1" applyBorder="1" applyAlignment="1"/>
    <xf numFmtId="170" fontId="9" fillId="0" borderId="4" xfId="4" applyNumberFormat="1" applyFont="1" applyFill="1" applyBorder="1" applyAlignment="1"/>
    <xf numFmtId="0" fontId="9" fillId="0" borderId="4" xfId="0" applyFont="1" applyFill="1" applyBorder="1"/>
    <xf numFmtId="5" fontId="9" fillId="0" borderId="0" xfId="0" applyNumberFormat="1" applyFont="1" applyFill="1"/>
    <xf numFmtId="0" fontId="9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1" fontId="10" fillId="0" borderId="5" xfId="0" applyNumberFormat="1" applyFont="1" applyFill="1" applyBorder="1" applyAlignment="1">
      <alignment horizontal="center" wrapText="1"/>
    </xf>
    <xf numFmtId="164" fontId="10" fillId="0" borderId="5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2" xfId="0" applyNumberFormat="1" applyFont="1" applyFill="1" applyBorder="1"/>
    <xf numFmtId="165" fontId="9" fillId="0" borderId="4" xfId="0" applyNumberFormat="1" applyFont="1" applyFill="1" applyBorder="1"/>
    <xf numFmtId="10" fontId="9" fillId="0" borderId="0" xfId="0" applyNumberFormat="1" applyFont="1" applyFill="1"/>
    <xf numFmtId="9" fontId="9" fillId="0" borderId="0" xfId="0" applyNumberFormat="1" applyFont="1" applyFill="1"/>
    <xf numFmtId="5" fontId="9" fillId="0" borderId="0" xfId="4" applyNumberFormat="1" applyFont="1" applyFill="1"/>
    <xf numFmtId="170" fontId="9" fillId="0" borderId="2" xfId="0" applyNumberFormat="1" applyFont="1" applyFill="1" applyBorder="1"/>
    <xf numFmtId="0" fontId="9" fillId="0" borderId="6" xfId="0" applyFont="1" applyFill="1" applyBorder="1"/>
    <xf numFmtId="0" fontId="9" fillId="0" borderId="5" xfId="0" applyFont="1" applyFill="1" applyBorder="1"/>
    <xf numFmtId="165" fontId="9" fillId="0" borderId="0" xfId="0" applyNumberFormat="1" applyFont="1" applyFill="1" applyBorder="1"/>
    <xf numFmtId="0" fontId="10" fillId="0" borderId="0" xfId="0" applyFont="1" applyFill="1"/>
    <xf numFmtId="165" fontId="10" fillId="0" borderId="0" xfId="0" applyNumberFormat="1" applyFont="1" applyFill="1"/>
    <xf numFmtId="0" fontId="10" fillId="0" borderId="5" xfId="0" applyNumberFormat="1" applyFont="1" applyFill="1" applyBorder="1" applyAlignment="1">
      <alignment horizontal="right"/>
    </xf>
    <xf numFmtId="0" fontId="10" fillId="0" borderId="7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43" fontId="10" fillId="0" borderId="5" xfId="1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43" fontId="10" fillId="0" borderId="6" xfId="1" applyFont="1" applyFill="1" applyBorder="1" applyAlignment="1">
      <alignment horizontal="right"/>
    </xf>
    <xf numFmtId="39" fontId="10" fillId="0" borderId="0" xfId="4" applyNumberFormat="1" applyFont="1" applyFill="1" applyAlignment="1">
      <alignment horizontal="right"/>
    </xf>
    <xf numFmtId="0" fontId="10" fillId="0" borderId="5" xfId="0" applyNumberFormat="1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left"/>
    </xf>
    <xf numFmtId="43" fontId="10" fillId="0" borderId="5" xfId="1" applyFont="1" applyFill="1" applyBorder="1" applyAlignment="1">
      <alignment horizontal="right" indent="1"/>
    </xf>
    <xf numFmtId="2" fontId="7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10" fillId="0" borderId="2" xfId="0" applyNumberFormat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165" fontId="9" fillId="0" borderId="2" xfId="2" applyNumberFormat="1" applyFont="1" applyFill="1" applyBorder="1"/>
    <xf numFmtId="0" fontId="7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6" fillId="0" borderId="0" xfId="0" applyNumberFormat="1" applyFont="1"/>
    <xf numFmtId="0" fontId="7" fillId="0" borderId="6" xfId="0" applyFont="1" applyBorder="1"/>
    <xf numFmtId="165" fontId="7" fillId="0" borderId="6" xfId="1" applyNumberFormat="1" applyFont="1" applyBorder="1"/>
    <xf numFmtId="166" fontId="5" fillId="0" borderId="0" xfId="2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165" fontId="9" fillId="0" borderId="0" xfId="0" applyNumberFormat="1" applyFont="1" applyFill="1" applyBorder="1" applyAlignment="1">
      <alignment horizontal="right" wrapText="1"/>
    </xf>
    <xf numFmtId="41" fontId="9" fillId="0" borderId="0" xfId="0" applyNumberFormat="1" applyFont="1" applyFill="1" applyBorder="1" applyAlignment="1">
      <alignment horizontal="left" wrapText="1"/>
    </xf>
    <xf numFmtId="41" fontId="9" fillId="0" borderId="0" xfId="0" applyNumberFormat="1" applyFont="1" applyFill="1" applyBorder="1" applyAlignment="1"/>
    <xf numFmtId="165" fontId="9" fillId="0" borderId="0" xfId="0" applyNumberFormat="1" applyFont="1" applyFill="1" applyBorder="1" applyAlignment="1">
      <alignment horizontal="right"/>
    </xf>
    <xf numFmtId="165" fontId="9" fillId="0" borderId="0" xfId="2" applyNumberFormat="1" applyFont="1" applyFill="1" applyBorder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5" fontId="10" fillId="0" borderId="0" xfId="0" applyNumberFormat="1" applyFont="1" applyFill="1" applyBorder="1" applyAlignment="1">
      <alignment horizontal="right" wrapText="1"/>
    </xf>
    <xf numFmtId="164" fontId="9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quotePrefix="1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right"/>
    </xf>
    <xf numFmtId="0" fontId="9" fillId="0" borderId="0" xfId="3" applyFont="1" applyFill="1" applyBorder="1"/>
    <xf numFmtId="5" fontId="9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left"/>
    </xf>
    <xf numFmtId="10" fontId="9" fillId="0" borderId="0" xfId="1" applyNumberFormat="1" applyFont="1" applyFill="1" applyBorder="1" applyAlignment="1">
      <alignment horizontal="left"/>
    </xf>
    <xf numFmtId="10" fontId="9" fillId="0" borderId="0" xfId="2" applyNumberFormat="1" applyFont="1" applyFill="1" applyBorder="1" applyAlignment="1">
      <alignment horizontal="left"/>
    </xf>
    <xf numFmtId="164" fontId="5" fillId="0" borderId="8" xfId="1" applyNumberFormat="1" applyFont="1" applyFill="1" applyBorder="1" applyAlignment="1">
      <alignment horizontal="left"/>
    </xf>
    <xf numFmtId="0" fontId="0" fillId="0" borderId="0" xfId="0" applyNumberFormat="1" applyFill="1" applyBorder="1" applyAlignment="1"/>
  </cellXfs>
  <cellStyles count="5">
    <cellStyle name="Calculation" xfId="3" builtinId="22"/>
    <cellStyle name="Comma" xfId="1" builtinId="3"/>
    <cellStyle name="Currency" xfId="4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D.TAI-040\Desktop\Pilaris%20CCOSS%20Supplemen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20CASES/1706%20Puget%20Sound/Piliaris%20Supplemental%20CCOSS/170033-UE%20170034-UG%20PSE%20Resp%20KROGER%20DR%20005_Attach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>
        <row r="11">
          <cell r="C11">
            <v>2</v>
          </cell>
        </row>
      </sheetData>
      <sheetData sheetId="2"/>
      <sheetData sheetId="3"/>
      <sheetData sheetId="4"/>
      <sheetData sheetId="5">
        <row r="322">
          <cell r="F322">
            <v>1030837.496362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 refreshError="1"/>
      <sheetData sheetId="1">
        <row r="29">
          <cell r="F29">
            <v>7.7399999999999997E-2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opLeftCell="A67" zoomScaleNormal="100" workbookViewId="0">
      <selection activeCell="A77" sqref="A2:R77"/>
    </sheetView>
  </sheetViews>
  <sheetFormatPr defaultRowHeight="15.75" x14ac:dyDescent="0.25"/>
  <cols>
    <col min="1" max="1" width="13.42578125" style="60" customWidth="1"/>
    <col min="2" max="2" width="11.42578125" style="60" bestFit="1" customWidth="1"/>
    <col min="3" max="3" width="13" style="60" hidden="1" customWidth="1"/>
    <col min="4" max="4" width="15.28515625" style="60" customWidth="1"/>
    <col min="5" max="5" width="12" style="60" customWidth="1"/>
    <col min="6" max="6" width="16.85546875" style="60" bestFit="1" customWidth="1"/>
    <col min="7" max="7" width="17.7109375" style="60" bestFit="1" customWidth="1"/>
    <col min="8" max="9" width="15.42578125" style="60" bestFit="1" customWidth="1"/>
    <col min="10" max="11" width="15.140625" style="60" bestFit="1" customWidth="1"/>
    <col min="12" max="12" width="12" style="60" bestFit="1" customWidth="1"/>
    <col min="13" max="17" width="14" style="60" bestFit="1" customWidth="1"/>
    <col min="18" max="18" width="12" style="60" bestFit="1" customWidth="1"/>
    <col min="19" max="19" width="13" style="60" customWidth="1"/>
    <col min="20" max="20" width="12" style="60" bestFit="1" customWidth="1"/>
    <col min="21" max="22" width="9.28515625" style="60" bestFit="1" customWidth="1"/>
    <col min="23" max="16384" width="9.140625" style="60"/>
  </cols>
  <sheetData>
    <row r="1" spans="1:22" x14ac:dyDescent="0.25">
      <c r="C1" s="60">
        <v>2</v>
      </c>
      <c r="D1" s="60">
        <v>3</v>
      </c>
      <c r="F1" s="60">
        <v>4</v>
      </c>
      <c r="G1" s="60">
        <f>F1+1</f>
        <v>5</v>
      </c>
      <c r="H1" s="60">
        <f t="shared" ref="H1:K1" si="0">G1+1</f>
        <v>6</v>
      </c>
      <c r="I1" s="60">
        <f t="shared" si="0"/>
        <v>7</v>
      </c>
      <c r="J1" s="60">
        <f t="shared" si="0"/>
        <v>8</v>
      </c>
      <c r="K1" s="60">
        <f t="shared" si="0"/>
        <v>9</v>
      </c>
      <c r="L1" s="60">
        <f t="shared" ref="L1" si="1">K1+1</f>
        <v>10</v>
      </c>
      <c r="M1" s="60">
        <f t="shared" ref="M1" si="2">L1+1</f>
        <v>11</v>
      </c>
      <c r="N1" s="60">
        <f t="shared" ref="N1" si="3">M1+1</f>
        <v>12</v>
      </c>
      <c r="O1" s="60">
        <f t="shared" ref="O1" si="4">N1+1</f>
        <v>13</v>
      </c>
      <c r="P1" s="60">
        <f t="shared" ref="P1" si="5">O1+1</f>
        <v>14</v>
      </c>
      <c r="Q1" s="60">
        <f t="shared" ref="Q1" si="6">P1+1</f>
        <v>15</v>
      </c>
      <c r="R1" s="60">
        <f t="shared" ref="R1" si="7">Q1+1</f>
        <v>16</v>
      </c>
      <c r="S1" s="60">
        <f t="shared" ref="S1" si="8">R1+1</f>
        <v>17</v>
      </c>
      <c r="T1" s="60">
        <f t="shared" ref="T1" si="9">S1+1</f>
        <v>18</v>
      </c>
      <c r="U1" s="60">
        <f t="shared" ref="U1" si="10">T1+1</f>
        <v>19</v>
      </c>
      <c r="V1" s="60">
        <f t="shared" ref="V1" si="11">U1+1</f>
        <v>20</v>
      </c>
    </row>
    <row r="2" spans="1:22" x14ac:dyDescent="0.25">
      <c r="A2" s="126" t="s">
        <v>562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22" x14ac:dyDescent="0.25">
      <c r="A3" s="126" t="s">
        <v>563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22" x14ac:dyDescent="0.25">
      <c r="A4" s="127" t="s">
        <v>564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22" s="87" customFormat="1" ht="63" x14ac:dyDescent="0.25">
      <c r="A5" s="83"/>
      <c r="B5" s="83"/>
      <c r="C5" s="84" t="s">
        <v>560</v>
      </c>
      <c r="D5" s="85" t="s">
        <v>561</v>
      </c>
      <c r="E5" s="83"/>
      <c r="F5" s="86" t="s">
        <v>1</v>
      </c>
      <c r="G5" s="27" t="s">
        <v>293</v>
      </c>
      <c r="H5" s="27" t="s">
        <v>294</v>
      </c>
      <c r="I5" s="27" t="s">
        <v>295</v>
      </c>
      <c r="J5" s="27" t="s">
        <v>296</v>
      </c>
      <c r="K5" s="27" t="s">
        <v>553</v>
      </c>
      <c r="L5" s="27">
        <v>35</v>
      </c>
      <c r="M5" s="27">
        <v>43</v>
      </c>
      <c r="N5" s="27" t="s">
        <v>297</v>
      </c>
      <c r="O5" s="27" t="s">
        <v>298</v>
      </c>
      <c r="P5" s="27" t="s">
        <v>301</v>
      </c>
      <c r="Q5" s="27" t="s">
        <v>299</v>
      </c>
      <c r="R5" s="27" t="s">
        <v>300</v>
      </c>
      <c r="T5" s="19" t="s">
        <v>485</v>
      </c>
    </row>
    <row r="7" spans="1:22" x14ac:dyDescent="0.25">
      <c r="A7" s="60" t="s">
        <v>527</v>
      </c>
    </row>
    <row r="8" spans="1:22" x14ac:dyDescent="0.25">
      <c r="A8" s="60" t="s">
        <v>487</v>
      </c>
      <c r="F8" s="76">
        <f>Revenue!F13</f>
        <v>1963503474.2598822</v>
      </c>
      <c r="G8" s="76">
        <f>Revenue!G13</f>
        <v>1066627454</v>
      </c>
      <c r="H8" s="76">
        <f>Revenue!H13</f>
        <v>266944271</v>
      </c>
      <c r="I8" s="76">
        <f>Revenue!I13</f>
        <v>252922820</v>
      </c>
      <c r="J8" s="76">
        <f>Revenue!J13</f>
        <v>151834735</v>
      </c>
      <c r="K8" s="76">
        <f>Revenue!K13</f>
        <v>101394675</v>
      </c>
      <c r="L8" s="76">
        <f>Revenue!L13</f>
        <v>248214</v>
      </c>
      <c r="M8" s="76">
        <f>Revenue!M13</f>
        <v>10337826</v>
      </c>
      <c r="N8" s="76">
        <f>Revenue!N13</f>
        <v>47836622</v>
      </c>
      <c r="O8" s="76">
        <f>Revenue!O13</f>
        <v>40360092</v>
      </c>
      <c r="P8" s="76">
        <f>Revenue!P13</f>
        <v>7513279</v>
      </c>
      <c r="Q8" s="76">
        <f>Revenue!Q13</f>
        <v>17167097</v>
      </c>
      <c r="R8" s="76">
        <f>Revenue!R13</f>
        <v>316389</v>
      </c>
      <c r="T8" s="76">
        <f>SUM(G8:R8)-F8</f>
        <v>-0.25988221168518066</v>
      </c>
    </row>
    <row r="9" spans="1:22" x14ac:dyDescent="0.25">
      <c r="A9" s="60" t="s">
        <v>488</v>
      </c>
      <c r="F9" s="76">
        <f>Revenue!F17</f>
        <v>30144357.521026254</v>
      </c>
      <c r="G9" s="76">
        <f>Revenue!G17</f>
        <v>15155015.454980906</v>
      </c>
      <c r="H9" s="76">
        <f>Revenue!H17</f>
        <v>4072201.257515436</v>
      </c>
      <c r="I9" s="76">
        <f>Revenue!I17</f>
        <v>4162423.3195758695</v>
      </c>
      <c r="J9" s="76">
        <f>Revenue!J17</f>
        <v>2789468.4119232064</v>
      </c>
      <c r="K9" s="76">
        <f>Revenue!K17</f>
        <v>1815172.6324861173</v>
      </c>
      <c r="L9" s="76">
        <f>Revenue!L17</f>
        <v>6993.4909448780918</v>
      </c>
      <c r="M9" s="76">
        <f>Revenue!M17</f>
        <v>158288.02134290888</v>
      </c>
      <c r="N9" s="76">
        <f>Revenue!N17</f>
        <v>965644.3488285552</v>
      </c>
      <c r="O9" s="76">
        <f>Revenue!O17</f>
        <v>888987.24765258539</v>
      </c>
      <c r="P9" s="76">
        <f>Revenue!P17</f>
        <v>0</v>
      </c>
      <c r="Q9" s="76">
        <f>Revenue!Q17</f>
        <v>120577.43008410504</v>
      </c>
      <c r="R9" s="76">
        <f>Revenue!R17</f>
        <v>9585.9056916863501</v>
      </c>
      <c r="T9" s="76">
        <f t="shared" ref="T9:T77" si="12">SUM(G9:R9)-F9</f>
        <v>0</v>
      </c>
    </row>
    <row r="10" spans="1:22" s="63" customFormat="1" x14ac:dyDescent="0.25">
      <c r="A10" s="63" t="s">
        <v>489</v>
      </c>
      <c r="F10" s="88">
        <f>Revenue!F50</f>
        <v>73686618.340696141</v>
      </c>
      <c r="G10" s="88">
        <f>Revenue!G50</f>
        <v>39499090.09411487</v>
      </c>
      <c r="H10" s="88">
        <f>Revenue!H50</f>
        <v>12172802.34951777</v>
      </c>
      <c r="I10" s="88">
        <f>Revenue!I50</f>
        <v>7163854.4968758132</v>
      </c>
      <c r="J10" s="88">
        <f>Revenue!J50</f>
        <v>4265752.216354318</v>
      </c>
      <c r="K10" s="88">
        <f>Revenue!K50</f>
        <v>3574003.6323167733</v>
      </c>
      <c r="L10" s="88">
        <f>Revenue!L50</f>
        <v>19543.908277116574</v>
      </c>
      <c r="M10" s="88">
        <f>Revenue!M50</f>
        <v>362921.07548361464</v>
      </c>
      <c r="N10" s="88">
        <f>Revenue!N50</f>
        <v>1387764.476656049</v>
      </c>
      <c r="O10" s="88">
        <f>Revenue!O50</f>
        <v>4032397.2658952945</v>
      </c>
      <c r="P10" s="88">
        <f>Revenue!P50</f>
        <v>877862.04748307029</v>
      </c>
      <c r="Q10" s="88">
        <f>Revenue!Q50</f>
        <v>305314.03696007107</v>
      </c>
      <c r="R10" s="88">
        <f>Revenue!R50</f>
        <v>25312.480761385268</v>
      </c>
      <c r="T10" s="76">
        <f t="shared" si="12"/>
        <v>-0.26000000536441803</v>
      </c>
    </row>
    <row r="11" spans="1:22" x14ac:dyDescent="0.25">
      <c r="A11" s="60" t="s">
        <v>528</v>
      </c>
      <c r="F11" s="76">
        <f>SUM(F8:F10)</f>
        <v>2067334450.1216047</v>
      </c>
      <c r="G11" s="76">
        <f t="shared" ref="G11:R11" si="13">SUM(G8:G10)</f>
        <v>1121281559.5490956</v>
      </c>
      <c r="H11" s="76">
        <f t="shared" si="13"/>
        <v>283189274.60703319</v>
      </c>
      <c r="I11" s="76">
        <f t="shared" si="13"/>
        <v>264249097.8164517</v>
      </c>
      <c r="J11" s="76">
        <f t="shared" si="13"/>
        <v>158889955.62827751</v>
      </c>
      <c r="K11" s="76">
        <f t="shared" si="13"/>
        <v>106783851.26480289</v>
      </c>
      <c r="L11" s="76">
        <f t="shared" ref="L11:M11" si="14">SUM(L8:L10)</f>
        <v>274751.39922199468</v>
      </c>
      <c r="M11" s="76">
        <f t="shared" si="14"/>
        <v>10859035.096826524</v>
      </c>
      <c r="N11" s="76">
        <f t="shared" si="13"/>
        <v>50190030.825484604</v>
      </c>
      <c r="O11" s="76">
        <f t="shared" si="13"/>
        <v>45281476.513547875</v>
      </c>
      <c r="P11" s="76">
        <f t="shared" si="13"/>
        <v>8391141.0474830698</v>
      </c>
      <c r="Q11" s="76">
        <f t="shared" si="13"/>
        <v>17592988.467044178</v>
      </c>
      <c r="R11" s="76">
        <f t="shared" si="13"/>
        <v>351287.38645307167</v>
      </c>
      <c r="T11" s="76">
        <f t="shared" si="12"/>
        <v>-0.5198824405670166</v>
      </c>
    </row>
    <row r="12" spans="1:22" x14ac:dyDescent="0.25"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T12" s="76">
        <f t="shared" si="12"/>
        <v>0</v>
      </c>
    </row>
    <row r="13" spans="1:22" x14ac:dyDescent="0.25">
      <c r="A13" s="60" t="s">
        <v>490</v>
      </c>
      <c r="F13" s="76">
        <f>Expenses!F111</f>
        <v>1168892372.6595435</v>
      </c>
      <c r="G13" s="76">
        <f>Expenses!G111</f>
        <v>627657409.63403296</v>
      </c>
      <c r="H13" s="76">
        <f>Expenses!H111</f>
        <v>154887566.25360426</v>
      </c>
      <c r="I13" s="76">
        <f>Expenses!I111</f>
        <v>147506662.53729874</v>
      </c>
      <c r="J13" s="76">
        <f>Expenses!J111</f>
        <v>95432134.247111365</v>
      </c>
      <c r="K13" s="76">
        <f>Expenses!K111</f>
        <v>63194439.244773403</v>
      </c>
      <c r="L13" s="76">
        <f>Expenses!L111</f>
        <v>288125.70815979503</v>
      </c>
      <c r="M13" s="76">
        <f>Expenses!M111</f>
        <v>6395829.6291200947</v>
      </c>
      <c r="N13" s="76">
        <f>Expenses!N111</f>
        <v>32440284.116996653</v>
      </c>
      <c r="O13" s="76">
        <f>Expenses!O111</f>
        <v>29224155.084853679</v>
      </c>
      <c r="P13" s="76">
        <f>Expenses!P111</f>
        <v>2608573.8000899116</v>
      </c>
      <c r="Q13" s="76">
        <f>Expenses!Q111</f>
        <v>8882804.3452374358</v>
      </c>
      <c r="R13" s="76">
        <f>Expenses!R111</f>
        <v>374387.71456060529</v>
      </c>
      <c r="T13" s="76">
        <f t="shared" si="12"/>
        <v>-0.3437047004699707</v>
      </c>
    </row>
    <row r="14" spans="1:22" x14ac:dyDescent="0.25">
      <c r="A14" s="60" t="s">
        <v>491</v>
      </c>
      <c r="F14" s="76">
        <f>Expenses!F137</f>
        <v>416230649.70058089</v>
      </c>
      <c r="G14" s="76">
        <f>Expenses!G137</f>
        <v>233990141.42190766</v>
      </c>
      <c r="H14" s="76">
        <f>Expenses!H137</f>
        <v>53411934.428467952</v>
      </c>
      <c r="I14" s="76">
        <f>Expenses!I137</f>
        <v>49563475.073677123</v>
      </c>
      <c r="J14" s="76">
        <f>Expenses!J137</f>
        <v>29580126.106616266</v>
      </c>
      <c r="K14" s="76">
        <f>Expenses!K137</f>
        <v>20090969.530118305</v>
      </c>
      <c r="L14" s="76">
        <f>Expenses!L137</f>
        <v>113260.33327083106</v>
      </c>
      <c r="M14" s="76">
        <f>Expenses!M137</f>
        <v>2693591.455089672</v>
      </c>
      <c r="N14" s="76">
        <f>Expenses!N137</f>
        <v>10242152.612402508</v>
      </c>
      <c r="O14" s="76">
        <f>Expenses!O137</f>
        <v>8264395.6216338174</v>
      </c>
      <c r="P14" s="76">
        <f>Expenses!P137</f>
        <v>3549402.9413097752</v>
      </c>
      <c r="Q14" s="76">
        <f>Expenses!Q137</f>
        <v>4596303.6469146293</v>
      </c>
      <c r="R14" s="76">
        <f>Expenses!R137</f>
        <v>134896.5291723189</v>
      </c>
      <c r="T14" s="76">
        <f t="shared" si="12"/>
        <v>0</v>
      </c>
    </row>
    <row r="15" spans="1:22" s="63" customFormat="1" x14ac:dyDescent="0.25">
      <c r="A15" s="63" t="s">
        <v>492</v>
      </c>
      <c r="F15" s="88">
        <f>Expenses!F146</f>
        <v>86570816.032516733</v>
      </c>
      <c r="G15" s="88">
        <f>Expenses!G146</f>
        <v>47643352.396299064</v>
      </c>
      <c r="H15" s="88">
        <f>Expenses!H146</f>
        <v>11736459.354465848</v>
      </c>
      <c r="I15" s="88">
        <f>Expenses!I146</f>
        <v>11026939.980520677</v>
      </c>
      <c r="J15" s="88">
        <f>Expenses!J146</f>
        <v>6622500.2862421973</v>
      </c>
      <c r="K15" s="88">
        <f>Expenses!K146</f>
        <v>4426807.3040623944</v>
      </c>
      <c r="L15" s="88">
        <f>Expenses!L146</f>
        <v>2281.4285383943725</v>
      </c>
      <c r="M15" s="88">
        <f>Expenses!M146</f>
        <v>55510.09747349142</v>
      </c>
      <c r="N15" s="88">
        <f>Expenses!N146</f>
        <v>2106162.7005445878</v>
      </c>
      <c r="O15" s="88">
        <f>Expenses!O146</f>
        <v>1772056.9685179745</v>
      </c>
      <c r="P15" s="88">
        <f>Expenses!P146</f>
        <v>382032.36673381826</v>
      </c>
      <c r="Q15" s="88">
        <f>Expenses!Q146</f>
        <v>781425.40234466654</v>
      </c>
      <c r="R15" s="88">
        <f>Expenses!R146</f>
        <v>15287.746773615954</v>
      </c>
      <c r="T15" s="76">
        <f t="shared" si="12"/>
        <v>0</v>
      </c>
    </row>
    <row r="16" spans="1:22" x14ac:dyDescent="0.25">
      <c r="A16" s="60" t="s">
        <v>493</v>
      </c>
      <c r="F16" s="76">
        <f>SUM(F13:F15)</f>
        <v>1671693838.3926411</v>
      </c>
      <c r="G16" s="76">
        <f t="shared" ref="G16:R16" si="15">SUM(G13:G15)</f>
        <v>909290903.45223975</v>
      </c>
      <c r="H16" s="76">
        <f t="shared" si="15"/>
        <v>220035960.03653806</v>
      </c>
      <c r="I16" s="76">
        <f t="shared" si="15"/>
        <v>208097077.59149653</v>
      </c>
      <c r="J16" s="76">
        <f t="shared" si="15"/>
        <v>131634760.63996984</v>
      </c>
      <c r="K16" s="76">
        <f t="shared" si="15"/>
        <v>87712216.078954101</v>
      </c>
      <c r="L16" s="76">
        <f t="shared" ref="L16:M16" si="16">SUM(L13:L15)</f>
        <v>403667.46996902046</v>
      </c>
      <c r="M16" s="76">
        <f t="shared" si="16"/>
        <v>9144931.1816832572</v>
      </c>
      <c r="N16" s="76">
        <f t="shared" si="15"/>
        <v>44788599.429943748</v>
      </c>
      <c r="O16" s="76">
        <f t="shared" si="15"/>
        <v>39260607.675005473</v>
      </c>
      <c r="P16" s="76">
        <f t="shared" si="15"/>
        <v>6540009.1081335051</v>
      </c>
      <c r="Q16" s="76">
        <f t="shared" si="15"/>
        <v>14260533.394496731</v>
      </c>
      <c r="R16" s="76">
        <f t="shared" si="15"/>
        <v>524571.99050654017</v>
      </c>
      <c r="T16" s="76">
        <f t="shared" si="12"/>
        <v>-0.3437044620513916</v>
      </c>
    </row>
    <row r="17" spans="1:21" x14ac:dyDescent="0.25"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T17" s="76">
        <f t="shared" si="12"/>
        <v>0</v>
      </c>
    </row>
    <row r="18" spans="1:21" x14ac:dyDescent="0.25">
      <c r="A18" s="60" t="s">
        <v>494</v>
      </c>
      <c r="F18" s="76">
        <f>F11-F16</f>
        <v>395640611.72896361</v>
      </c>
      <c r="G18" s="76">
        <f t="shared" ref="G18:R18" si="17">G11-G16</f>
        <v>211990656.09685588</v>
      </c>
      <c r="H18" s="76">
        <f t="shared" si="17"/>
        <v>63153314.570495129</v>
      </c>
      <c r="I18" s="76">
        <f t="shared" si="17"/>
        <v>56152020.224955171</v>
      </c>
      <c r="J18" s="76">
        <f t="shared" si="17"/>
        <v>27255194.98830767</v>
      </c>
      <c r="K18" s="76">
        <f t="shared" si="17"/>
        <v>19071635.185848787</v>
      </c>
      <c r="L18" s="76">
        <f t="shared" ref="L18:M18" si="18">L11-L16</f>
        <v>-128916.07074702578</v>
      </c>
      <c r="M18" s="76">
        <f t="shared" si="18"/>
        <v>1714103.9151432663</v>
      </c>
      <c r="N18" s="76">
        <f t="shared" si="17"/>
        <v>5401431.3955408558</v>
      </c>
      <c r="O18" s="76">
        <f t="shared" si="17"/>
        <v>6020868.8385424018</v>
      </c>
      <c r="P18" s="76">
        <f t="shared" si="17"/>
        <v>1851131.9393495647</v>
      </c>
      <c r="Q18" s="76">
        <f t="shared" si="17"/>
        <v>3332455.0725474469</v>
      </c>
      <c r="R18" s="76">
        <f t="shared" si="17"/>
        <v>-173284.6040534685</v>
      </c>
      <c r="T18" s="76">
        <f t="shared" si="12"/>
        <v>-0.176177978515625</v>
      </c>
    </row>
    <row r="19" spans="1:21" x14ac:dyDescent="0.25"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T19" s="76">
        <f t="shared" si="12"/>
        <v>0</v>
      </c>
    </row>
    <row r="20" spans="1:21" x14ac:dyDescent="0.25">
      <c r="A20" s="60" t="s">
        <v>495</v>
      </c>
      <c r="F20" s="76">
        <f>F35*0.0299</f>
        <v>152422658.3214879</v>
      </c>
      <c r="G20" s="76">
        <f t="shared" ref="G20:R20" si="19">G35*0.0299</f>
        <v>84484063.196156666</v>
      </c>
      <c r="H20" s="76">
        <f t="shared" si="19"/>
        <v>18993290.14433657</v>
      </c>
      <c r="I20" s="76">
        <f t="shared" si="19"/>
        <v>18620889.156463556</v>
      </c>
      <c r="J20" s="76">
        <f t="shared" si="19"/>
        <v>11164604.774648637</v>
      </c>
      <c r="K20" s="76">
        <f t="shared" si="19"/>
        <v>7629730.3080041604</v>
      </c>
      <c r="L20" s="76">
        <f t="shared" ref="L20:M20" si="20">L35*0.0299</f>
        <v>42326.970467988904</v>
      </c>
      <c r="M20" s="76">
        <f t="shared" si="20"/>
        <v>1020308.0175094426</v>
      </c>
      <c r="N20" s="76">
        <f t="shared" si="19"/>
        <v>3733066.0266235135</v>
      </c>
      <c r="O20" s="76">
        <f t="shared" si="19"/>
        <v>3190786.8825787953</v>
      </c>
      <c r="P20" s="76">
        <f t="shared" si="19"/>
        <v>1819591.9871495052</v>
      </c>
      <c r="Q20" s="76">
        <f t="shared" si="19"/>
        <v>1672319.868439361</v>
      </c>
      <c r="R20" s="76">
        <f t="shared" si="19"/>
        <v>51680.944538660093</v>
      </c>
      <c r="T20" s="76">
        <f t="shared" si="12"/>
        <v>-4.4571071863174438E-2</v>
      </c>
    </row>
    <row r="21" spans="1:21" x14ac:dyDescent="0.25">
      <c r="A21" s="60" t="s">
        <v>525</v>
      </c>
      <c r="F21" s="76">
        <f>F18-F20</f>
        <v>243217953.40747571</v>
      </c>
      <c r="G21" s="76">
        <f t="shared" ref="G21:R21" si="21">G18-G20</f>
        <v>127506592.90069921</v>
      </c>
      <c r="H21" s="76">
        <f t="shared" si="21"/>
        <v>44160024.426158562</v>
      </c>
      <c r="I21" s="76">
        <f t="shared" si="21"/>
        <v>37531131.068491615</v>
      </c>
      <c r="J21" s="76">
        <f t="shared" si="21"/>
        <v>16090590.213659033</v>
      </c>
      <c r="K21" s="76">
        <f t="shared" si="21"/>
        <v>11441904.877844628</v>
      </c>
      <c r="L21" s="76">
        <f t="shared" ref="L21:M21" si="22">L18-L20</f>
        <v>-171243.04121501467</v>
      </c>
      <c r="M21" s="76">
        <f t="shared" si="22"/>
        <v>693795.89763382368</v>
      </c>
      <c r="N21" s="76">
        <f t="shared" si="21"/>
        <v>1668365.3689173423</v>
      </c>
      <c r="O21" s="76">
        <f t="shared" si="21"/>
        <v>2830081.9559636065</v>
      </c>
      <c r="P21" s="76">
        <f t="shared" si="21"/>
        <v>31539.952200059546</v>
      </c>
      <c r="Q21" s="76">
        <f t="shared" si="21"/>
        <v>1660135.2041080859</v>
      </c>
      <c r="R21" s="76">
        <f t="shared" si="21"/>
        <v>-224965.54859212859</v>
      </c>
      <c r="T21" s="76">
        <f t="shared" si="12"/>
        <v>-0.13160684704780579</v>
      </c>
    </row>
    <row r="22" spans="1:21" x14ac:dyDescent="0.25">
      <c r="T22" s="76">
        <f t="shared" si="12"/>
        <v>0</v>
      </c>
    </row>
    <row r="23" spans="1:21" x14ac:dyDescent="0.25">
      <c r="A23" s="60" t="s">
        <v>496</v>
      </c>
      <c r="F23" s="76">
        <f>Expenses!F151</f>
        <v>90238128.597339079</v>
      </c>
      <c r="G23" s="76">
        <f>($F23/$F21)*G21</f>
        <v>47307183.396553501</v>
      </c>
      <c r="H23" s="76">
        <f t="shared" ref="H23:R23" si="23">($F23/$F21)*H21</f>
        <v>16384143.963061767</v>
      </c>
      <c r="I23" s="76">
        <f t="shared" si="23"/>
        <v>13924708.206421563</v>
      </c>
      <c r="J23" s="76">
        <f t="shared" si="23"/>
        <v>5969891.3199662687</v>
      </c>
      <c r="K23" s="76">
        <f t="shared" si="23"/>
        <v>4245147.4872649321</v>
      </c>
      <c r="L23" s="76">
        <f t="shared" ref="L23:M23" si="24">($F23/$F21)*L21</f>
        <v>-63534.173189391564</v>
      </c>
      <c r="M23" s="76">
        <f t="shared" si="24"/>
        <v>257410.45245166903</v>
      </c>
      <c r="N23" s="76">
        <f t="shared" si="23"/>
        <v>618992.82762027706</v>
      </c>
      <c r="O23" s="76">
        <f t="shared" si="23"/>
        <v>1050010.0667132875</v>
      </c>
      <c r="P23" s="76">
        <f t="shared" si="23"/>
        <v>11701.875715624787</v>
      </c>
      <c r="Q23" s="76">
        <f t="shared" si="23"/>
        <v>615939.29205668019</v>
      </c>
      <c r="R23" s="76">
        <f t="shared" si="23"/>
        <v>-83466.16612556146</v>
      </c>
      <c r="S23" s="76"/>
      <c r="T23" s="76">
        <f t="shared" si="12"/>
        <v>-4.8828437924385071E-2</v>
      </c>
      <c r="U23" s="76"/>
    </row>
    <row r="24" spans="1:21" s="81" customFormat="1" ht="16.5" thickBot="1" x14ac:dyDescent="0.3"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76">
        <f t="shared" si="12"/>
        <v>0</v>
      </c>
      <c r="U24" s="89"/>
    </row>
    <row r="25" spans="1:21" ht="16.5" thickTop="1" x14ac:dyDescent="0.25">
      <c r="A25" s="60" t="s">
        <v>497</v>
      </c>
      <c r="F25" s="76">
        <f>F18-F23</f>
        <v>305402483.13162452</v>
      </c>
      <c r="G25" s="76">
        <f t="shared" ref="G25:R25" si="25">G18-G23</f>
        <v>164683472.70030236</v>
      </c>
      <c r="H25" s="76">
        <f t="shared" si="25"/>
        <v>46769170.607433364</v>
      </c>
      <c r="I25" s="76">
        <f t="shared" si="25"/>
        <v>42227312.01853361</v>
      </c>
      <c r="J25" s="76">
        <f t="shared" si="25"/>
        <v>21285303.668341402</v>
      </c>
      <c r="K25" s="76">
        <f t="shared" si="25"/>
        <v>14826487.698583856</v>
      </c>
      <c r="L25" s="76">
        <f t="shared" ref="L25:M25" si="26">L18-L23</f>
        <v>-65381.897557634213</v>
      </c>
      <c r="M25" s="76">
        <f t="shared" si="26"/>
        <v>1456693.4626915972</v>
      </c>
      <c r="N25" s="76">
        <f t="shared" si="25"/>
        <v>4782438.5679205786</v>
      </c>
      <c r="O25" s="76">
        <f t="shared" si="25"/>
        <v>4970858.7718291143</v>
      </c>
      <c r="P25" s="76">
        <f t="shared" si="25"/>
        <v>1839430.0636339399</v>
      </c>
      <c r="Q25" s="76">
        <f t="shared" si="25"/>
        <v>2716515.7804907667</v>
      </c>
      <c r="R25" s="76">
        <f t="shared" si="25"/>
        <v>-89818.437927907042</v>
      </c>
      <c r="S25" s="76"/>
      <c r="T25" s="76">
        <f t="shared" si="12"/>
        <v>-0.12734943628311157</v>
      </c>
      <c r="U25" s="76"/>
    </row>
    <row r="26" spans="1:21" x14ac:dyDescent="0.25">
      <c r="G26" s="76"/>
      <c r="T26" s="76">
        <f t="shared" si="12"/>
        <v>0</v>
      </c>
    </row>
    <row r="27" spans="1:21" x14ac:dyDescent="0.25">
      <c r="A27" s="60" t="s">
        <v>498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>
        <f t="shared" si="12"/>
        <v>0</v>
      </c>
      <c r="U27" s="76"/>
    </row>
    <row r="28" spans="1:21" x14ac:dyDescent="0.25">
      <c r="B28" s="60" t="s">
        <v>499</v>
      </c>
      <c r="F28" s="76">
        <f>'Rate Base'!F72</f>
        <v>9523077020.3544521</v>
      </c>
      <c r="G28" s="76">
        <f>'Rate Base'!G72</f>
        <v>5321589444.2375336</v>
      </c>
      <c r="H28" s="76">
        <f>'Rate Base'!H72</f>
        <v>1219320675.762578</v>
      </c>
      <c r="I28" s="76">
        <f>'Rate Base'!I72</f>
        <v>1137795633.3255343</v>
      </c>
      <c r="J28" s="76">
        <f>'Rate Base'!J72</f>
        <v>677339076.03743565</v>
      </c>
      <c r="K28" s="76">
        <f>'Rate Base'!K72</f>
        <v>460608059.75831831</v>
      </c>
      <c r="L28" s="76">
        <f>'Rate Base'!L72</f>
        <v>2617608.5945459227</v>
      </c>
      <c r="M28" s="76">
        <f>'Rate Base'!M72</f>
        <v>62290004.741609193</v>
      </c>
      <c r="N28" s="76">
        <f>'Rate Base'!N72</f>
        <v>234493893.72138694</v>
      </c>
      <c r="O28" s="76">
        <f>'Rate Base'!O72</f>
        <v>188538344.00292766</v>
      </c>
      <c r="P28" s="76">
        <f>'Rate Base'!P72</f>
        <v>109891665.2819345</v>
      </c>
      <c r="Q28" s="76">
        <f>'Rate Base'!Q72</f>
        <v>105483403.32085669</v>
      </c>
      <c r="R28" s="76">
        <f>'Rate Base'!R72</f>
        <v>3109211.2382911551</v>
      </c>
      <c r="S28" s="76"/>
      <c r="T28" s="76">
        <f t="shared" si="12"/>
        <v>-0.33150100708007813</v>
      </c>
      <c r="U28" s="76"/>
    </row>
    <row r="29" spans="1:21" x14ac:dyDescent="0.25">
      <c r="B29" s="63" t="s">
        <v>500</v>
      </c>
      <c r="C29" s="63"/>
      <c r="D29" s="63"/>
      <c r="E29" s="63"/>
      <c r="F29" s="88">
        <f>'Rate Base'!F123</f>
        <v>-3697506273.3020792</v>
      </c>
      <c r="G29" s="88">
        <f>'Rate Base'!G123</f>
        <v>-2082622754.880028</v>
      </c>
      <c r="H29" s="88">
        <f>'Rate Base'!H123</f>
        <v>-469359619.40386462</v>
      </c>
      <c r="I29" s="88">
        <f>'Rate Base'!I123</f>
        <v>-438055136.88648379</v>
      </c>
      <c r="J29" s="88">
        <f>'Rate Base'!J123</f>
        <v>-261703908.9943541</v>
      </c>
      <c r="K29" s="88">
        <f>'Rate Base'!K123</f>
        <v>-176359319.53683153</v>
      </c>
      <c r="L29" s="88">
        <f>'Rate Base'!L123</f>
        <v>-1010141.811086624</v>
      </c>
      <c r="M29" s="88">
        <f>'Rate Base'!M123</f>
        <v>-23536383.742317192</v>
      </c>
      <c r="N29" s="88">
        <f>'Rate Base'!N123</f>
        <v>-95192031.236773282</v>
      </c>
      <c r="O29" s="88">
        <f>'Rate Base'!O123</f>
        <v>-71108797.247456133</v>
      </c>
      <c r="P29" s="88">
        <f>'Rate Base'!P123</f>
        <v>-36744423.86996872</v>
      </c>
      <c r="Q29" s="88">
        <f>'Rate Base'!Q123</f>
        <v>-40650557.747258171</v>
      </c>
      <c r="R29" s="88">
        <f>'Rate Base'!R123</f>
        <v>-1163199.1048274424</v>
      </c>
      <c r="S29" s="76"/>
      <c r="T29" s="76">
        <f t="shared" si="12"/>
        <v>-1.1591706275939941</v>
      </c>
      <c r="U29" s="76"/>
    </row>
    <row r="30" spans="1:21" x14ac:dyDescent="0.25">
      <c r="B30" s="60" t="s">
        <v>501</v>
      </c>
      <c r="F30" s="76">
        <f>F28+F29</f>
        <v>5825570747.0523729</v>
      </c>
      <c r="G30" s="76">
        <f t="shared" ref="G30:R30" si="27">G28+G29</f>
        <v>3238966689.3575058</v>
      </c>
      <c r="H30" s="76">
        <f t="shared" si="27"/>
        <v>749961056.35871339</v>
      </c>
      <c r="I30" s="76">
        <f t="shared" si="27"/>
        <v>699740496.43905056</v>
      </c>
      <c r="J30" s="76">
        <f t="shared" si="27"/>
        <v>415635167.04308152</v>
      </c>
      <c r="K30" s="76">
        <f t="shared" si="27"/>
        <v>284248740.22148681</v>
      </c>
      <c r="L30" s="76">
        <f t="shared" ref="L30:M30" si="28">L28+L29</f>
        <v>1607466.7834592988</v>
      </c>
      <c r="M30" s="76">
        <f t="shared" si="28"/>
        <v>38753620.999292001</v>
      </c>
      <c r="N30" s="76">
        <f t="shared" si="27"/>
        <v>139301862.48461366</v>
      </c>
      <c r="O30" s="76">
        <f t="shared" si="27"/>
        <v>117429546.75547153</v>
      </c>
      <c r="P30" s="76">
        <f t="shared" si="27"/>
        <v>73147241.411965787</v>
      </c>
      <c r="Q30" s="76">
        <f t="shared" si="27"/>
        <v>64832845.573598519</v>
      </c>
      <c r="R30" s="76">
        <f t="shared" si="27"/>
        <v>1946012.1334637126</v>
      </c>
      <c r="S30" s="76"/>
      <c r="T30" s="76">
        <f t="shared" si="12"/>
        <v>-1.4906702041625977</v>
      </c>
      <c r="U30" s="76"/>
    </row>
    <row r="31" spans="1:21" x14ac:dyDescent="0.25"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>
        <f t="shared" si="12"/>
        <v>0</v>
      </c>
      <c r="U31" s="76"/>
    </row>
    <row r="32" spans="1:21" x14ac:dyDescent="0.25">
      <c r="B32" s="60" t="s">
        <v>102</v>
      </c>
      <c r="F32" s="76">
        <f>'Rate Base'!F130</f>
        <v>227005241.70228952</v>
      </c>
      <c r="G32" s="76">
        <f>'Rate Base'!G130</f>
        <v>126852769.90719774</v>
      </c>
      <c r="H32" s="76">
        <f>'Rate Base'!H130</f>
        <v>29065414.900258355</v>
      </c>
      <c r="I32" s="76">
        <f>'Rate Base'!I130</f>
        <v>27122071.175924402</v>
      </c>
      <c r="J32" s="76">
        <f>'Rate Base'!J130</f>
        <v>16145991.505370915</v>
      </c>
      <c r="K32" s="76">
        <f>'Rate Base'!K130</f>
        <v>10979691.093079878</v>
      </c>
      <c r="L32" s="76">
        <f>'Rate Base'!L130</f>
        <v>62396.940656629857</v>
      </c>
      <c r="M32" s="76">
        <f>'Rate Base'!M130</f>
        <v>1484830.7487459213</v>
      </c>
      <c r="N32" s="76">
        <f>'Rate Base'!N130</f>
        <v>5589720.9389372496</v>
      </c>
      <c r="O32" s="76">
        <f>'Rate Base'!O130</f>
        <v>4494260.8634316027</v>
      </c>
      <c r="P32" s="76">
        <f>'Rate Base'!P130</f>
        <v>2619529.7996584424</v>
      </c>
      <c r="Q32" s="76">
        <f>'Rate Base'!Q130</f>
        <v>2514448.3674850562</v>
      </c>
      <c r="R32" s="76">
        <f>'Rate Base'!R130</f>
        <v>74115.46154333817</v>
      </c>
      <c r="S32" s="76"/>
      <c r="T32" s="76">
        <f t="shared" si="12"/>
        <v>0</v>
      </c>
      <c r="U32" s="76"/>
    </row>
    <row r="33" spans="1:21" x14ac:dyDescent="0.25">
      <c r="B33" s="60" t="s">
        <v>502</v>
      </c>
      <c r="F33" s="76">
        <f>'Rate Base'!F153</f>
        <v>-954828218.80523431</v>
      </c>
      <c r="G33" s="76">
        <f>'Rate Base'!G153</f>
        <v>-540265506.21598566</v>
      </c>
      <c r="H33" s="76">
        <f>'Rate Base'!H153</f>
        <v>-143799376.13065827</v>
      </c>
      <c r="I33" s="76">
        <f>'Rate Base'!I153</f>
        <v>-104090355.02422054</v>
      </c>
      <c r="J33" s="76">
        <f>'Rate Base'!J153</f>
        <v>-58383005.550170228</v>
      </c>
      <c r="K33" s="76">
        <f>'Rate Base'!K153</f>
        <v>-40053504.625464313</v>
      </c>
      <c r="L33" s="76">
        <f>'Rate Base'!L153</f>
        <v>-254245.98271161725</v>
      </c>
      <c r="M33" s="76">
        <f>'Rate Base'!M153</f>
        <v>-6114437.7845114106</v>
      </c>
      <c r="N33" s="76">
        <f>'Rate Base'!N153</f>
        <v>-20039876.847513657</v>
      </c>
      <c r="O33" s="76">
        <f>'Rate Base'!O153</f>
        <v>-15208527.26509726</v>
      </c>
      <c r="P33" s="76">
        <f>'Rate Base'!P153</f>
        <v>-14910851.908965196</v>
      </c>
      <c r="Q33" s="76">
        <f>'Rate Base'!Q153</f>
        <v>-11416863.55849625</v>
      </c>
      <c r="R33" s="76">
        <f>'Rate Base'!R153</f>
        <v>-291667.91143982351</v>
      </c>
      <c r="S33" s="76"/>
      <c r="T33" s="76">
        <f t="shared" si="12"/>
        <v>0</v>
      </c>
      <c r="U33" s="76"/>
    </row>
    <row r="34" spans="1:21" x14ac:dyDescent="0.25">
      <c r="T34" s="76">
        <f t="shared" si="12"/>
        <v>0</v>
      </c>
    </row>
    <row r="35" spans="1:21" x14ac:dyDescent="0.25">
      <c r="A35" s="60" t="s">
        <v>125</v>
      </c>
      <c r="F35" s="76">
        <f>F30+F32+F33</f>
        <v>5097747769.9494286</v>
      </c>
      <c r="G35" s="76">
        <f t="shared" ref="G35:R35" si="29">G30+G32+G33</f>
        <v>2825553953.048718</v>
      </c>
      <c r="H35" s="76">
        <f t="shared" si="29"/>
        <v>635227095.12831342</v>
      </c>
      <c r="I35" s="76">
        <f t="shared" si="29"/>
        <v>622772212.59075439</v>
      </c>
      <c r="J35" s="76">
        <f t="shared" si="29"/>
        <v>373398152.99828219</v>
      </c>
      <c r="K35" s="76">
        <f t="shared" si="29"/>
        <v>255174926.68910235</v>
      </c>
      <c r="L35" s="76">
        <f t="shared" ref="L35:M35" si="30">L30+L32+L33</f>
        <v>1415617.7414043113</v>
      </c>
      <c r="M35" s="76">
        <f t="shared" si="30"/>
        <v>34124013.96352651</v>
      </c>
      <c r="N35" s="76">
        <f t="shared" si="29"/>
        <v>124851706.57603724</v>
      </c>
      <c r="O35" s="76">
        <f t="shared" si="29"/>
        <v>106715280.35380587</v>
      </c>
      <c r="P35" s="76">
        <f t="shared" si="29"/>
        <v>60855919.302659035</v>
      </c>
      <c r="Q35" s="76">
        <f t="shared" si="29"/>
        <v>55930430.382587329</v>
      </c>
      <c r="R35" s="76">
        <f t="shared" si="29"/>
        <v>1728459.6835672273</v>
      </c>
      <c r="T35" s="76">
        <f t="shared" si="12"/>
        <v>-1.4906702041625977</v>
      </c>
    </row>
    <row r="36" spans="1:21" x14ac:dyDescent="0.25">
      <c r="T36" s="76">
        <f t="shared" si="12"/>
        <v>0</v>
      </c>
    </row>
    <row r="37" spans="1:21" x14ac:dyDescent="0.25">
      <c r="A37" s="60" t="s">
        <v>503</v>
      </c>
      <c r="F37" s="90">
        <f>F25/F35</f>
        <v>5.9909296597986487E-2</v>
      </c>
      <c r="G37" s="90">
        <f t="shared" ref="G37:R37" si="31">G25/G35</f>
        <v>5.8283605776705161E-2</v>
      </c>
      <c r="H37" s="90">
        <f t="shared" si="31"/>
        <v>7.3625906335097649E-2</v>
      </c>
      <c r="I37" s="90">
        <f t="shared" si="31"/>
        <v>6.7805388816027129E-2</v>
      </c>
      <c r="J37" s="90">
        <f t="shared" si="31"/>
        <v>5.7004308932506485E-2</v>
      </c>
      <c r="K37" s="90">
        <f t="shared" si="31"/>
        <v>5.8103230952028503E-2</v>
      </c>
      <c r="L37" s="90">
        <f t="shared" ref="L37:M37" si="32">L25/L35</f>
        <v>-4.6186124718085628E-2</v>
      </c>
      <c r="M37" s="90">
        <f t="shared" si="32"/>
        <v>4.2688221387102515E-2</v>
      </c>
      <c r="N37" s="90">
        <f t="shared" si="31"/>
        <v>3.8304951522692851E-2</v>
      </c>
      <c r="O37" s="90">
        <f t="shared" si="31"/>
        <v>4.6580571735824847E-2</v>
      </c>
      <c r="P37" s="90">
        <f t="shared" si="31"/>
        <v>3.0225984336639016E-2</v>
      </c>
      <c r="Q37" s="90">
        <f t="shared" si="31"/>
        <v>4.8569549025614014E-2</v>
      </c>
      <c r="R37" s="90">
        <f t="shared" si="31"/>
        <v>-5.1964439079387768E-2</v>
      </c>
      <c r="S37" s="90"/>
      <c r="T37" s="76">
        <f t="shared" si="12"/>
        <v>0.3631318584247783</v>
      </c>
      <c r="U37" s="90"/>
    </row>
    <row r="38" spans="1:21" x14ac:dyDescent="0.25">
      <c r="A38" s="60" t="s">
        <v>504</v>
      </c>
      <c r="F38" s="91">
        <f>F37/$F37</f>
        <v>1</v>
      </c>
      <c r="G38" s="91">
        <f t="shared" ref="G38:R38" si="33">G37/$F37</f>
        <v>0.97286413105147418</v>
      </c>
      <c r="H38" s="91">
        <f t="shared" si="33"/>
        <v>1.2289562808449359</v>
      </c>
      <c r="I38" s="91">
        <f t="shared" si="33"/>
        <v>1.13180078329122</v>
      </c>
      <c r="J38" s="91">
        <f t="shared" si="33"/>
        <v>0.95151023579906902</v>
      </c>
      <c r="K38" s="91">
        <f t="shared" si="33"/>
        <v>0.96985333247897476</v>
      </c>
      <c r="L38" s="91">
        <f t="shared" ref="L38:M38" si="34">L37/$F37</f>
        <v>-0.77093418452250551</v>
      </c>
      <c r="M38" s="91">
        <f t="shared" si="34"/>
        <v>0.71254753120465175</v>
      </c>
      <c r="N38" s="91">
        <f t="shared" si="33"/>
        <v>0.63938242806843859</v>
      </c>
      <c r="O38" s="91">
        <f t="shared" si="33"/>
        <v>0.77751825477767988</v>
      </c>
      <c r="P38" s="91">
        <f t="shared" si="33"/>
        <v>0.50452911406165457</v>
      </c>
      <c r="Q38" s="91">
        <f t="shared" si="33"/>
        <v>0.81071806520336287</v>
      </c>
      <c r="R38" s="91">
        <f t="shared" si="33"/>
        <v>-0.86738523117853228</v>
      </c>
      <c r="S38" s="90"/>
      <c r="T38" s="76">
        <f t="shared" si="12"/>
        <v>6.0613607410804242</v>
      </c>
      <c r="U38" s="90"/>
    </row>
    <row r="39" spans="1:21" x14ac:dyDescent="0.25">
      <c r="T39" s="76">
        <f t="shared" si="12"/>
        <v>0</v>
      </c>
    </row>
    <row r="40" spans="1:21" x14ac:dyDescent="0.25">
      <c r="T40" s="76">
        <f t="shared" si="12"/>
        <v>0</v>
      </c>
    </row>
    <row r="41" spans="1:21" x14ac:dyDescent="0.25">
      <c r="A41" s="20" t="s">
        <v>510</v>
      </c>
      <c r="B41" s="20"/>
      <c r="C41" s="20"/>
      <c r="D41" s="20"/>
      <c r="E41" s="20"/>
      <c r="F41" s="20"/>
      <c r="T41" s="76">
        <f t="shared" si="12"/>
        <v>0</v>
      </c>
    </row>
    <row r="42" spans="1:21" x14ac:dyDescent="0.25">
      <c r="A42" s="67" t="s">
        <v>506</v>
      </c>
      <c r="B42" s="67"/>
      <c r="F42" s="21">
        <v>7.7399999999999997E-2</v>
      </c>
      <c r="G42" s="21">
        <v>7.7399999999999997E-2</v>
      </c>
      <c r="H42" s="21">
        <v>7.7399999999999997E-2</v>
      </c>
      <c r="I42" s="21">
        <v>7.7399999999999997E-2</v>
      </c>
      <c r="J42" s="21">
        <v>7.7399999999999997E-2</v>
      </c>
      <c r="K42" s="21">
        <v>7.7399999999999997E-2</v>
      </c>
      <c r="L42" s="21">
        <v>7.7399999999999997E-2</v>
      </c>
      <c r="M42" s="21">
        <v>7.7399999999999997E-2</v>
      </c>
      <c r="N42" s="21">
        <v>7.7399999999999997E-2</v>
      </c>
      <c r="O42" s="21">
        <v>7.7399999999999997E-2</v>
      </c>
      <c r="P42" s="21">
        <v>7.7399999999999997E-2</v>
      </c>
      <c r="Q42" s="21">
        <v>7.7399999999999997E-2</v>
      </c>
      <c r="R42" s="21">
        <v>7.7399999999999997E-2</v>
      </c>
      <c r="T42" s="76">
        <f t="shared" si="12"/>
        <v>0.85140000000000016</v>
      </c>
    </row>
    <row r="43" spans="1:21" x14ac:dyDescent="0.25">
      <c r="A43" s="65" t="s">
        <v>505</v>
      </c>
      <c r="B43" s="65"/>
      <c r="F43" s="61">
        <f>F35*F42</f>
        <v>394565677.39408576</v>
      </c>
      <c r="G43" s="61">
        <f t="shared" ref="G43:R43" si="35">G35*G42</f>
        <v>218697875.96597075</v>
      </c>
      <c r="H43" s="61">
        <f t="shared" si="35"/>
        <v>49166577.162931457</v>
      </c>
      <c r="I43" s="61">
        <f t="shared" si="35"/>
        <v>48202569.254524387</v>
      </c>
      <c r="J43" s="61">
        <f t="shared" si="35"/>
        <v>28901017.04206704</v>
      </c>
      <c r="K43" s="61">
        <f t="shared" si="35"/>
        <v>19750539.325736523</v>
      </c>
      <c r="L43" s="61">
        <f t="shared" ref="L43:M43" si="36">L35*L42</f>
        <v>109568.81318469369</v>
      </c>
      <c r="M43" s="61">
        <f t="shared" si="36"/>
        <v>2641198.6807769518</v>
      </c>
      <c r="N43" s="61">
        <f t="shared" si="35"/>
        <v>9663522.0889852829</v>
      </c>
      <c r="O43" s="61">
        <f t="shared" si="35"/>
        <v>8259762.6993845738</v>
      </c>
      <c r="P43" s="61">
        <f t="shared" si="35"/>
        <v>4710248.1540258089</v>
      </c>
      <c r="Q43" s="61">
        <f t="shared" si="35"/>
        <v>4329015.3116122587</v>
      </c>
      <c r="R43" s="61">
        <f t="shared" si="35"/>
        <v>133782.77950810338</v>
      </c>
      <c r="T43" s="76">
        <f t="shared" si="12"/>
        <v>-0.11537796258926392</v>
      </c>
    </row>
    <row r="44" spans="1:21" x14ac:dyDescent="0.25">
      <c r="A44" s="65" t="s">
        <v>511</v>
      </c>
      <c r="B44" s="65"/>
      <c r="F44" s="61">
        <f>F43-F25</f>
        <v>89163194.262461245</v>
      </c>
      <c r="G44" s="61">
        <f t="shared" ref="G44:R44" si="37">G43-G25</f>
        <v>54014403.265668392</v>
      </c>
      <c r="H44" s="61">
        <f t="shared" si="37"/>
        <v>2397406.5554980934</v>
      </c>
      <c r="I44" s="61">
        <f t="shared" si="37"/>
        <v>5975257.2359907776</v>
      </c>
      <c r="J44" s="61">
        <f t="shared" si="37"/>
        <v>7615713.3737256378</v>
      </c>
      <c r="K44" s="61">
        <f t="shared" si="37"/>
        <v>4924051.6271526664</v>
      </c>
      <c r="L44" s="61">
        <f t="shared" ref="L44:M44" si="38">L43-L25</f>
        <v>174950.71074232791</v>
      </c>
      <c r="M44" s="61">
        <f t="shared" si="38"/>
        <v>1184505.2180853547</v>
      </c>
      <c r="N44" s="61">
        <f t="shared" si="37"/>
        <v>4881083.5210647043</v>
      </c>
      <c r="O44" s="61">
        <f t="shared" si="37"/>
        <v>3288903.9275554596</v>
      </c>
      <c r="P44" s="61">
        <f t="shared" si="37"/>
        <v>2870818.0903918687</v>
      </c>
      <c r="Q44" s="61">
        <f t="shared" si="37"/>
        <v>1612499.5311214919</v>
      </c>
      <c r="R44" s="61">
        <f t="shared" si="37"/>
        <v>223601.21743601043</v>
      </c>
      <c r="T44" s="76">
        <f t="shared" si="12"/>
        <v>1.1971533298492432E-2</v>
      </c>
    </row>
    <row r="45" spans="1:21" x14ac:dyDescent="0.25">
      <c r="A45" s="16"/>
      <c r="B45" s="16"/>
      <c r="C45" s="63"/>
      <c r="D45" s="63"/>
      <c r="E45" s="63"/>
      <c r="F45" s="62"/>
      <c r="G45" s="16"/>
      <c r="H45" s="16"/>
      <c r="I45" s="63"/>
      <c r="J45" s="64"/>
      <c r="K45" s="64"/>
      <c r="L45" s="64"/>
      <c r="M45" s="64"/>
      <c r="N45" s="64"/>
      <c r="O45" s="64"/>
      <c r="P45" s="64"/>
      <c r="Q45" s="64"/>
      <c r="R45" s="64"/>
      <c r="T45" s="76">
        <f t="shared" si="12"/>
        <v>0</v>
      </c>
    </row>
    <row r="46" spans="1:21" x14ac:dyDescent="0.25">
      <c r="A46" s="65" t="s">
        <v>518</v>
      </c>
      <c r="B46" s="65"/>
      <c r="C46" s="68"/>
      <c r="D46" s="68"/>
      <c r="E46" s="68"/>
      <c r="F46" s="66"/>
      <c r="G46" s="67"/>
      <c r="H46" s="67"/>
      <c r="I46" s="68"/>
      <c r="J46" s="69"/>
      <c r="K46" s="69"/>
      <c r="L46" s="69"/>
      <c r="M46" s="69"/>
      <c r="N46" s="69"/>
      <c r="O46" s="69"/>
      <c r="P46" s="69"/>
      <c r="Q46" s="69"/>
      <c r="R46" s="69"/>
      <c r="T46" s="76">
        <f t="shared" si="12"/>
        <v>0</v>
      </c>
    </row>
    <row r="47" spans="1:21" x14ac:dyDescent="0.25">
      <c r="A47" s="65" t="s">
        <v>519</v>
      </c>
      <c r="D47" s="60">
        <v>18</v>
      </c>
      <c r="F47" s="92">
        <v>1030837</v>
      </c>
      <c r="G47" s="22">
        <f t="shared" ref="G47:R47" si="39">INDEX(Alloc,($D47),(G$1))*$F47</f>
        <v>916569.29377686966</v>
      </c>
      <c r="H47" s="22">
        <f t="shared" si="39"/>
        <v>72935.291421053582</v>
      </c>
      <c r="I47" s="22">
        <f t="shared" si="39"/>
        <v>22661.796612450518</v>
      </c>
      <c r="J47" s="22">
        <f t="shared" si="39"/>
        <v>16058.998967511714</v>
      </c>
      <c r="K47" s="22">
        <f t="shared" si="39"/>
        <v>106.07585757000368</v>
      </c>
      <c r="L47" s="22">
        <f t="shared" si="39"/>
        <v>0</v>
      </c>
      <c r="M47" s="22">
        <f t="shared" si="39"/>
        <v>0</v>
      </c>
      <c r="N47" s="22">
        <f t="shared" si="39"/>
        <v>0</v>
      </c>
      <c r="O47" s="22">
        <f t="shared" si="39"/>
        <v>0</v>
      </c>
      <c r="P47" s="22">
        <f t="shared" si="39"/>
        <v>0</v>
      </c>
      <c r="Q47" s="22">
        <f t="shared" si="39"/>
        <v>2505.5433645445028</v>
      </c>
      <c r="R47" s="22">
        <f t="shared" si="39"/>
        <v>0</v>
      </c>
      <c r="T47" s="76">
        <f t="shared" si="12"/>
        <v>0</v>
      </c>
    </row>
    <row r="48" spans="1:21" x14ac:dyDescent="0.25">
      <c r="A48" s="65" t="s">
        <v>520</v>
      </c>
      <c r="D48" s="60" t="s">
        <v>529</v>
      </c>
      <c r="F48" s="92">
        <v>288064</v>
      </c>
      <c r="G48" s="22">
        <f>G44/$F44*$F48</f>
        <v>174507.03949120714</v>
      </c>
      <c r="H48" s="22">
        <f t="shared" ref="H48:R48" si="40">H44/$F44*$F48</f>
        <v>7745.4215017255865</v>
      </c>
      <c r="I48" s="22">
        <f t="shared" si="40"/>
        <v>19304.56299447671</v>
      </c>
      <c r="J48" s="22">
        <f t="shared" si="40"/>
        <v>24604.466847959517</v>
      </c>
      <c r="K48" s="22">
        <f t="shared" si="40"/>
        <v>15908.380354216251</v>
      </c>
      <c r="L48" s="22">
        <f t="shared" ref="L48:M48" si="41">L44/$F44*$F48</f>
        <v>565.22202862011738</v>
      </c>
      <c r="M48" s="22">
        <f t="shared" si="41"/>
        <v>3826.8403679902081</v>
      </c>
      <c r="N48" s="22">
        <f t="shared" si="40"/>
        <v>15769.561140587723</v>
      </c>
      <c r="O48" s="22">
        <f t="shared" si="40"/>
        <v>10625.626737850156</v>
      </c>
      <c r="P48" s="22">
        <f t="shared" si="40"/>
        <v>9274.8958719036309</v>
      </c>
      <c r="Q48" s="22">
        <f t="shared" si="40"/>
        <v>5209.5830434884128</v>
      </c>
      <c r="R48" s="22">
        <f t="shared" si="40"/>
        <v>722.39965865158433</v>
      </c>
      <c r="T48" s="76">
        <f t="shared" si="12"/>
        <v>3.8677011616528034E-5</v>
      </c>
    </row>
    <row r="49" spans="1:20" ht="15.75" customHeight="1" x14ac:dyDescent="0.25">
      <c r="A49" s="65" t="s">
        <v>521</v>
      </c>
      <c r="D49" s="60" t="s">
        <v>529</v>
      </c>
      <c r="F49" s="92">
        <v>5539041</v>
      </c>
      <c r="G49" s="22">
        <f>G44/$F44*$F49</f>
        <v>3355510.0482198941</v>
      </c>
      <c r="H49" s="22">
        <f t="shared" ref="H49:R49" si="42">H44/$F44*$F49</f>
        <v>148932.90123146106</v>
      </c>
      <c r="I49" s="22">
        <f t="shared" si="42"/>
        <v>371197.94876655628</v>
      </c>
      <c r="J49" s="22">
        <f t="shared" si="42"/>
        <v>473107.19372774294</v>
      </c>
      <c r="K49" s="22">
        <f t="shared" si="42"/>
        <v>305894.42285602621</v>
      </c>
      <c r="L49" s="22">
        <f t="shared" ref="L49:M49" si="43">L44/$F44*$F49</f>
        <v>10868.376439367652</v>
      </c>
      <c r="M49" s="22">
        <f t="shared" si="43"/>
        <v>73584.431580318444</v>
      </c>
      <c r="N49" s="22">
        <f t="shared" si="42"/>
        <v>303225.13646176597</v>
      </c>
      <c r="O49" s="22">
        <f t="shared" si="42"/>
        <v>204314.95137069633</v>
      </c>
      <c r="P49" s="22">
        <f t="shared" si="42"/>
        <v>178342.41177378973</v>
      </c>
      <c r="Q49" s="22">
        <f t="shared" si="42"/>
        <v>100172.51052122827</v>
      </c>
      <c r="R49" s="22">
        <f t="shared" si="42"/>
        <v>13890.66779485507</v>
      </c>
      <c r="T49" s="76">
        <f t="shared" si="12"/>
        <v>7.4370205402374268E-4</v>
      </c>
    </row>
    <row r="50" spans="1:20" s="63" customFormat="1" x14ac:dyDescent="0.25">
      <c r="A50" s="16" t="s">
        <v>526</v>
      </c>
      <c r="E50" s="93"/>
      <c r="F50" s="64">
        <v>48010929</v>
      </c>
      <c r="G50" s="17">
        <f>($F50/$F44)*G44</f>
        <v>29084665.501459893</v>
      </c>
      <c r="H50" s="17">
        <f t="shared" ref="H50:R50" si="44">($F50/$F44)*H44</f>
        <v>1290910.6372001378</v>
      </c>
      <c r="I50" s="17">
        <f t="shared" si="44"/>
        <v>3217444.7459725915</v>
      </c>
      <c r="J50" s="17">
        <f t="shared" si="44"/>
        <v>4100766.8813882964</v>
      </c>
      <c r="K50" s="17">
        <f t="shared" si="44"/>
        <v>2651411.2131028911</v>
      </c>
      <c r="L50" s="17">
        <f t="shared" ref="L50:M50" si="45">($F50/$F44)*L44</f>
        <v>94204.186171532769</v>
      </c>
      <c r="M50" s="17">
        <f t="shared" si="45"/>
        <v>637810.21301485691</v>
      </c>
      <c r="N50" s="17">
        <f t="shared" si="44"/>
        <v>2628274.5510786357</v>
      </c>
      <c r="O50" s="17">
        <f t="shared" si="44"/>
        <v>1770947.4661583032</v>
      </c>
      <c r="P50" s="17">
        <f t="shared" si="44"/>
        <v>1545824.4250873358</v>
      </c>
      <c r="Q50" s="17">
        <f t="shared" si="44"/>
        <v>868268.58483019774</v>
      </c>
      <c r="R50" s="17">
        <f t="shared" si="44"/>
        <v>120400.60098153692</v>
      </c>
      <c r="T50" s="88">
        <f t="shared" si="12"/>
        <v>6.4461976289749146E-3</v>
      </c>
    </row>
    <row r="51" spans="1:20" x14ac:dyDescent="0.25">
      <c r="A51" s="65"/>
      <c r="B51" s="65"/>
      <c r="C51" s="68"/>
      <c r="D51" s="68"/>
      <c r="E51" s="68"/>
      <c r="F51" s="66"/>
      <c r="G51" s="70"/>
      <c r="H51" s="71"/>
      <c r="I51" s="70"/>
      <c r="J51" s="72"/>
      <c r="K51" s="69"/>
      <c r="L51" s="69"/>
      <c r="M51" s="69"/>
      <c r="N51" s="69"/>
      <c r="O51" s="69"/>
      <c r="P51" s="69"/>
      <c r="Q51" s="69"/>
      <c r="R51" s="69"/>
      <c r="T51" s="76">
        <f t="shared" si="12"/>
        <v>0</v>
      </c>
    </row>
    <row r="52" spans="1:20" ht="16.5" thickBot="1" x14ac:dyDescent="0.3">
      <c r="A52" s="26" t="s">
        <v>512</v>
      </c>
      <c r="B52" s="26"/>
      <c r="C52" s="94"/>
      <c r="D52" s="94"/>
      <c r="E52" s="94"/>
      <c r="F52" s="23">
        <f>SUM(F44,F47:F50)</f>
        <v>144032065.26246125</v>
      </c>
      <c r="G52" s="23">
        <f t="shared" ref="G52:R52" si="46">SUM(G44,G47:G50)</f>
        <v>87545655.148616254</v>
      </c>
      <c r="H52" s="23">
        <f t="shared" si="46"/>
        <v>3917930.8068524711</v>
      </c>
      <c r="I52" s="23">
        <f t="shared" si="46"/>
        <v>9605866.2903368529</v>
      </c>
      <c r="J52" s="23">
        <f t="shared" si="46"/>
        <v>12230250.914657149</v>
      </c>
      <c r="K52" s="23">
        <f t="shared" si="46"/>
        <v>7897371.7193233706</v>
      </c>
      <c r="L52" s="23">
        <f t="shared" ref="L52:M52" si="47">SUM(L44,L47:L50)</f>
        <v>280588.49538184842</v>
      </c>
      <c r="M52" s="23">
        <f t="shared" si="47"/>
        <v>1899726.7030485203</v>
      </c>
      <c r="N52" s="23">
        <f t="shared" si="46"/>
        <v>7828352.7697456945</v>
      </c>
      <c r="O52" s="23">
        <f t="shared" si="46"/>
        <v>5274791.9718223093</v>
      </c>
      <c r="P52" s="23">
        <f t="shared" si="46"/>
        <v>4604259.8231248977</v>
      </c>
      <c r="Q52" s="23">
        <f t="shared" si="46"/>
        <v>2588655.7528809505</v>
      </c>
      <c r="R52" s="23">
        <f t="shared" si="46"/>
        <v>358614.88587105402</v>
      </c>
      <c r="T52" s="76">
        <f t="shared" si="12"/>
        <v>1.9200116395950317E-2</v>
      </c>
    </row>
    <row r="53" spans="1:20" ht="16.5" thickTop="1" x14ac:dyDescent="0.25">
      <c r="A53" s="65"/>
      <c r="B53" s="65"/>
      <c r="F53" s="65"/>
      <c r="G53" s="65"/>
      <c r="H53" s="65"/>
      <c r="J53" s="73"/>
      <c r="K53" s="73"/>
      <c r="L53" s="73"/>
      <c r="M53" s="73"/>
      <c r="N53" s="73"/>
      <c r="O53" s="73"/>
      <c r="P53" s="73"/>
      <c r="Q53" s="73"/>
      <c r="R53" s="73"/>
      <c r="T53" s="76">
        <f t="shared" si="12"/>
        <v>0</v>
      </c>
    </row>
    <row r="54" spans="1:20" x14ac:dyDescent="0.25">
      <c r="A54" s="65" t="s">
        <v>507</v>
      </c>
      <c r="B54" s="65"/>
      <c r="F54" s="61">
        <f>SUM(G54:R54)</f>
        <v>2211366514.8833833</v>
      </c>
      <c r="G54" s="61">
        <f t="shared" ref="G54:R54" si="48">G11+G52</f>
        <v>1208827214.6977119</v>
      </c>
      <c r="H54" s="61">
        <f t="shared" si="48"/>
        <v>287107205.41388565</v>
      </c>
      <c r="I54" s="61">
        <f t="shared" si="48"/>
        <v>273854964.10678858</v>
      </c>
      <c r="J54" s="61">
        <f t="shared" si="48"/>
        <v>171120206.54293466</v>
      </c>
      <c r="K54" s="61">
        <f t="shared" si="48"/>
        <v>114681222.98412625</v>
      </c>
      <c r="L54" s="61">
        <f t="shared" ref="L54:M54" si="49">L11+L52</f>
        <v>555339.8946038431</v>
      </c>
      <c r="M54" s="61">
        <f t="shared" si="49"/>
        <v>12758761.799875043</v>
      </c>
      <c r="N54" s="61">
        <f t="shared" si="48"/>
        <v>58018383.595230296</v>
      </c>
      <c r="O54" s="61">
        <f t="shared" si="48"/>
        <v>50556268.485370182</v>
      </c>
      <c r="P54" s="61">
        <f t="shared" si="48"/>
        <v>12995400.870607968</v>
      </c>
      <c r="Q54" s="61">
        <f t="shared" si="48"/>
        <v>20181644.219925128</v>
      </c>
      <c r="R54" s="61">
        <f t="shared" si="48"/>
        <v>709902.27232412575</v>
      </c>
      <c r="S54" s="68"/>
      <c r="T54" s="76">
        <f t="shared" si="12"/>
        <v>0</v>
      </c>
    </row>
    <row r="55" spans="1:20" x14ac:dyDescent="0.25">
      <c r="A55" s="65" t="s">
        <v>508</v>
      </c>
      <c r="B55" s="65"/>
      <c r="F55" s="61">
        <f>SUM(G55:R55)</f>
        <v>103830975.60172242</v>
      </c>
      <c r="G55" s="61">
        <f t="shared" ref="G55:R55" si="50">SUM(G9:G10)</f>
        <v>54654105.54909578</v>
      </c>
      <c r="H55" s="61">
        <f t="shared" si="50"/>
        <v>16245003.607033206</v>
      </c>
      <c r="I55" s="61">
        <f t="shared" si="50"/>
        <v>11326277.816451684</v>
      </c>
      <c r="J55" s="61">
        <f t="shared" si="50"/>
        <v>7055220.6282775244</v>
      </c>
      <c r="K55" s="61">
        <f t="shared" si="50"/>
        <v>5389176.2648028908</v>
      </c>
      <c r="L55" s="61">
        <f t="shared" ref="L55:M55" si="51">SUM(L9:L10)</f>
        <v>26537.399221994667</v>
      </c>
      <c r="M55" s="61">
        <f t="shared" si="51"/>
        <v>521209.09682652354</v>
      </c>
      <c r="N55" s="61">
        <f t="shared" si="50"/>
        <v>2353408.8254846041</v>
      </c>
      <c r="O55" s="61">
        <f t="shared" si="50"/>
        <v>4921384.5135478796</v>
      </c>
      <c r="P55" s="61">
        <f t="shared" si="50"/>
        <v>877862.04748307029</v>
      </c>
      <c r="Q55" s="61">
        <f t="shared" si="50"/>
        <v>425891.46704417613</v>
      </c>
      <c r="R55" s="61">
        <f t="shared" si="50"/>
        <v>34898.386453071616</v>
      </c>
      <c r="T55" s="76">
        <f t="shared" si="12"/>
        <v>0</v>
      </c>
    </row>
    <row r="56" spans="1:20" x14ac:dyDescent="0.25">
      <c r="A56" s="25" t="s">
        <v>509</v>
      </c>
      <c r="B56" s="25"/>
      <c r="C56" s="95"/>
      <c r="D56" s="95"/>
      <c r="E56" s="95"/>
      <c r="F56" s="24">
        <f>SUM(G56:R56)</f>
        <v>2107535539.2816613</v>
      </c>
      <c r="G56" s="24">
        <f>G54-G55</f>
        <v>1154173109.1486161</v>
      </c>
      <c r="H56" s="24">
        <f t="shared" ref="H56:R56" si="52">H54-H55</f>
        <v>270862201.80685246</v>
      </c>
      <c r="I56" s="24">
        <f t="shared" si="52"/>
        <v>262528686.29033691</v>
      </c>
      <c r="J56" s="24">
        <f t="shared" si="52"/>
        <v>164064985.91465715</v>
      </c>
      <c r="K56" s="24">
        <f t="shared" si="52"/>
        <v>109292046.71932337</v>
      </c>
      <c r="L56" s="24">
        <f t="shared" ref="L56:M56" si="53">L54-L55</f>
        <v>528802.49538184842</v>
      </c>
      <c r="M56" s="24">
        <f t="shared" si="53"/>
        <v>12237552.70304852</v>
      </c>
      <c r="N56" s="24">
        <f t="shared" si="52"/>
        <v>55664974.769745693</v>
      </c>
      <c r="O56" s="24">
        <f t="shared" si="52"/>
        <v>45634883.971822299</v>
      </c>
      <c r="P56" s="24">
        <f t="shared" si="52"/>
        <v>12117538.823124899</v>
      </c>
      <c r="Q56" s="24">
        <f t="shared" si="52"/>
        <v>19755752.752880953</v>
      </c>
      <c r="R56" s="24">
        <f t="shared" si="52"/>
        <v>675003.88587105414</v>
      </c>
      <c r="T56" s="76">
        <f t="shared" si="12"/>
        <v>0</v>
      </c>
    </row>
    <row r="57" spans="1:20" x14ac:dyDescent="0.25">
      <c r="A57" s="67" t="s">
        <v>513</v>
      </c>
      <c r="B57" s="67"/>
      <c r="F57" s="21">
        <f t="shared" ref="F57:R57" si="54">IF(F8=0,0,(F56/F8)-1)</f>
        <v>7.3354627027624852E-2</v>
      </c>
      <c r="G57" s="21">
        <f t="shared" si="54"/>
        <v>8.2077069008778869E-2</v>
      </c>
      <c r="H57" s="21">
        <f t="shared" si="54"/>
        <v>1.4676961570201597E-2</v>
      </c>
      <c r="I57" s="21">
        <f t="shared" si="54"/>
        <v>3.7979436929957089E-2</v>
      </c>
      <c r="J57" s="21">
        <f t="shared" si="54"/>
        <v>8.0549756382537474E-2</v>
      </c>
      <c r="K57" s="21">
        <f t="shared" si="54"/>
        <v>7.7887440531994034E-2</v>
      </c>
      <c r="L57" s="21">
        <f t="shared" ref="L57:M57" si="55">IF(L8=0,0,(L56/L8)-1)</f>
        <v>1.1304297718172562</v>
      </c>
      <c r="M57" s="21">
        <f t="shared" si="55"/>
        <v>0.18376462353385703</v>
      </c>
      <c r="N57" s="21">
        <f t="shared" si="54"/>
        <v>0.16364769171505666</v>
      </c>
      <c r="O57" s="21">
        <f t="shared" si="54"/>
        <v>0.13069325936676002</v>
      </c>
      <c r="P57" s="21">
        <f t="shared" si="54"/>
        <v>0.61281629806704885</v>
      </c>
      <c r="Q57" s="21">
        <f t="shared" si="54"/>
        <v>0.15079170070984937</v>
      </c>
      <c r="R57" s="21">
        <f t="shared" si="54"/>
        <v>1.1334619277884319</v>
      </c>
      <c r="T57" s="76">
        <f t="shared" si="12"/>
        <v>3.7254213103941041</v>
      </c>
    </row>
    <row r="58" spans="1:20" x14ac:dyDescent="0.25">
      <c r="A58" s="65"/>
      <c r="B58" s="65"/>
      <c r="F58" s="65"/>
      <c r="G58" s="65"/>
      <c r="H58" s="65"/>
      <c r="J58" s="74"/>
      <c r="K58" s="74"/>
      <c r="L58" s="74"/>
      <c r="M58" s="74"/>
      <c r="N58" s="74"/>
      <c r="O58" s="74"/>
      <c r="P58" s="74"/>
      <c r="Q58" s="74"/>
      <c r="R58" s="74"/>
      <c r="T58" s="76">
        <f t="shared" si="12"/>
        <v>0</v>
      </c>
    </row>
    <row r="59" spans="1:20" x14ac:dyDescent="0.25">
      <c r="A59" s="65" t="s">
        <v>522</v>
      </c>
      <c r="B59" s="65"/>
      <c r="F59" s="65"/>
      <c r="G59" s="65"/>
      <c r="H59" s="65"/>
      <c r="J59" s="74"/>
      <c r="K59" s="74"/>
      <c r="L59" s="74"/>
      <c r="M59" s="74"/>
      <c r="N59" s="74"/>
      <c r="O59" s="74"/>
      <c r="P59" s="74"/>
      <c r="Q59" s="74"/>
      <c r="R59" s="74"/>
      <c r="T59" s="76">
        <f t="shared" si="12"/>
        <v>0</v>
      </c>
    </row>
    <row r="60" spans="1:20" x14ac:dyDescent="0.25">
      <c r="A60" s="65" t="s">
        <v>523</v>
      </c>
      <c r="B60" s="65"/>
      <c r="F60" s="75">
        <f>SUM(G60:R60)</f>
        <v>144032066.19512072</v>
      </c>
      <c r="G60" s="75">
        <v>87074329.326721296</v>
      </c>
      <c r="H60" s="75">
        <v>16344024.036372812</v>
      </c>
      <c r="I60" s="76">
        <v>15485552.924843471</v>
      </c>
      <c r="J60" s="77">
        <v>9296296.9354939181</v>
      </c>
      <c r="K60" s="77">
        <v>6208051</v>
      </c>
      <c r="L60" s="77">
        <v>15179</v>
      </c>
      <c r="M60" s="77">
        <v>843931</v>
      </c>
      <c r="N60" s="77">
        <v>4036075.9298589071</v>
      </c>
      <c r="O60" s="77">
        <v>2471103.6062626243</v>
      </c>
      <c r="P60" s="77">
        <v>450939.70287600026</v>
      </c>
      <c r="Q60" s="77">
        <v>1401439.7326917185</v>
      </c>
      <c r="R60" s="77">
        <v>405143</v>
      </c>
      <c r="T60" s="76">
        <f t="shared" si="12"/>
        <v>0</v>
      </c>
    </row>
    <row r="61" spans="1:20" x14ac:dyDescent="0.25">
      <c r="A61" s="65" t="s">
        <v>514</v>
      </c>
      <c r="B61" s="65"/>
      <c r="F61" s="61">
        <f>SUM(G61:R61)</f>
        <v>2107535540.195121</v>
      </c>
      <c r="G61" s="61">
        <f>G8+G60</f>
        <v>1153701783.3267212</v>
      </c>
      <c r="H61" s="61">
        <f t="shared" ref="H61:R61" si="56">H8+H60</f>
        <v>283288295.03637284</v>
      </c>
      <c r="I61" s="61">
        <f t="shared" si="56"/>
        <v>268408372.92484346</v>
      </c>
      <c r="J61" s="61">
        <f t="shared" si="56"/>
        <v>161131031.93549392</v>
      </c>
      <c r="K61" s="61">
        <f t="shared" si="56"/>
        <v>107602726</v>
      </c>
      <c r="L61" s="61">
        <f t="shared" ref="L61:M61" si="57">L8+L60</f>
        <v>263393</v>
      </c>
      <c r="M61" s="61">
        <f t="shared" si="57"/>
        <v>11181757</v>
      </c>
      <c r="N61" s="61">
        <f t="shared" si="56"/>
        <v>51872697.929858908</v>
      </c>
      <c r="O61" s="61">
        <f t="shared" si="56"/>
        <v>42831195.606262624</v>
      </c>
      <c r="P61" s="61">
        <f t="shared" si="56"/>
        <v>7964218.7028760007</v>
      </c>
      <c r="Q61" s="61">
        <f t="shared" si="56"/>
        <v>18568536.73269172</v>
      </c>
      <c r="R61" s="61">
        <f t="shared" si="56"/>
        <v>721532</v>
      </c>
      <c r="T61" s="76">
        <f t="shared" si="12"/>
        <v>0</v>
      </c>
    </row>
    <row r="62" spans="1:20" s="68" customFormat="1" x14ac:dyDescent="0.25">
      <c r="A62" s="67" t="s">
        <v>489</v>
      </c>
      <c r="B62" s="67"/>
      <c r="F62" s="78">
        <f>SUM(G62:R62)</f>
        <v>103830975.60172242</v>
      </c>
      <c r="G62" s="78">
        <f>G9+G10</f>
        <v>54654105.54909578</v>
      </c>
      <c r="H62" s="78">
        <f t="shared" ref="H62:R62" si="58">H9+H10</f>
        <v>16245003.607033206</v>
      </c>
      <c r="I62" s="78">
        <f t="shared" si="58"/>
        <v>11326277.816451684</v>
      </c>
      <c r="J62" s="78">
        <f t="shared" si="58"/>
        <v>7055220.6282775244</v>
      </c>
      <c r="K62" s="78">
        <f t="shared" si="58"/>
        <v>5389176.2648028908</v>
      </c>
      <c r="L62" s="78">
        <f t="shared" ref="L62:M62" si="59">L9+L10</f>
        <v>26537.399221994667</v>
      </c>
      <c r="M62" s="78">
        <f t="shared" si="59"/>
        <v>521209.09682652354</v>
      </c>
      <c r="N62" s="78">
        <f t="shared" si="58"/>
        <v>2353408.8254846041</v>
      </c>
      <c r="O62" s="78">
        <f t="shared" si="58"/>
        <v>4921384.5135478796</v>
      </c>
      <c r="P62" s="78">
        <f t="shared" si="58"/>
        <v>877862.04748307029</v>
      </c>
      <c r="Q62" s="78">
        <f t="shared" si="58"/>
        <v>425891.46704417613</v>
      </c>
      <c r="R62" s="78">
        <f t="shared" si="58"/>
        <v>34898.386453071616</v>
      </c>
      <c r="T62" s="76">
        <f t="shared" si="12"/>
        <v>0</v>
      </c>
    </row>
    <row r="63" spans="1:20" s="81" customFormat="1" ht="16.5" thickBot="1" x14ac:dyDescent="0.3">
      <c r="A63" s="79" t="s">
        <v>524</v>
      </c>
      <c r="B63" s="79"/>
      <c r="F63" s="80">
        <f>SUM(G63:R63)</f>
        <v>2211366515.7968435</v>
      </c>
      <c r="G63" s="80">
        <f>SUM(G61:G62)</f>
        <v>1208355888.8758171</v>
      </c>
      <c r="H63" s="80">
        <f t="shared" ref="H63:R63" si="60">SUM(H61:H62)</f>
        <v>299533298.64340603</v>
      </c>
      <c r="I63" s="80">
        <f t="shared" si="60"/>
        <v>279734650.74129516</v>
      </c>
      <c r="J63" s="80">
        <f t="shared" si="60"/>
        <v>168186252.56377143</v>
      </c>
      <c r="K63" s="80">
        <f t="shared" si="60"/>
        <v>112991902.26480289</v>
      </c>
      <c r="L63" s="80">
        <f t="shared" ref="L63:M63" si="61">SUM(L61:L62)</f>
        <v>289930.39922199468</v>
      </c>
      <c r="M63" s="80">
        <f t="shared" si="61"/>
        <v>11702966.096826524</v>
      </c>
      <c r="N63" s="80">
        <f t="shared" si="60"/>
        <v>54226106.755343512</v>
      </c>
      <c r="O63" s="80">
        <f t="shared" si="60"/>
        <v>47752580.119810507</v>
      </c>
      <c r="P63" s="80">
        <f t="shared" si="60"/>
        <v>8842080.7503590714</v>
      </c>
      <c r="Q63" s="80">
        <f t="shared" si="60"/>
        <v>18994428.199735895</v>
      </c>
      <c r="R63" s="80">
        <f t="shared" si="60"/>
        <v>756430.38645307161</v>
      </c>
      <c r="T63" s="89">
        <f t="shared" si="12"/>
        <v>0</v>
      </c>
    </row>
    <row r="64" spans="1:20" s="68" customFormat="1" ht="16.5" thickTop="1" x14ac:dyDescent="0.25">
      <c r="A64" s="67" t="s">
        <v>515</v>
      </c>
      <c r="B64" s="67"/>
      <c r="F64" s="78">
        <f>SUM(G64:R64)</f>
        <v>144032066.1951209</v>
      </c>
      <c r="G64" s="78">
        <f t="shared" ref="G64:R64" si="62">+G63-G11</f>
        <v>87074329.32672143</v>
      </c>
      <c r="H64" s="78">
        <f t="shared" si="62"/>
        <v>16344024.03637284</v>
      </c>
      <c r="I64" s="78">
        <f t="shared" si="62"/>
        <v>15485552.92484346</v>
      </c>
      <c r="J64" s="78">
        <f t="shared" si="62"/>
        <v>9296296.9354939163</v>
      </c>
      <c r="K64" s="78">
        <f t="shared" si="62"/>
        <v>6208051</v>
      </c>
      <c r="L64" s="78">
        <f t="shared" ref="L64:M64" si="63">+L63-L11</f>
        <v>15179</v>
      </c>
      <c r="M64" s="78">
        <f t="shared" si="63"/>
        <v>843931</v>
      </c>
      <c r="N64" s="78">
        <f t="shared" si="62"/>
        <v>4036075.9298589081</v>
      </c>
      <c r="O64" s="78">
        <f t="shared" si="62"/>
        <v>2471103.6062626317</v>
      </c>
      <c r="P64" s="78">
        <f t="shared" si="62"/>
        <v>450939.7028760016</v>
      </c>
      <c r="Q64" s="78">
        <f t="shared" si="62"/>
        <v>1401439.7326917164</v>
      </c>
      <c r="R64" s="78">
        <f t="shared" si="62"/>
        <v>405142.99999999994</v>
      </c>
      <c r="T64" s="96">
        <f t="shared" si="12"/>
        <v>0</v>
      </c>
    </row>
    <row r="65" spans="1:20" s="68" customFormat="1" x14ac:dyDescent="0.25">
      <c r="A65" s="67"/>
      <c r="B65" s="67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T65" s="76"/>
    </row>
    <row r="66" spans="1:20" s="68" customFormat="1" x14ac:dyDescent="0.25">
      <c r="A66" s="67"/>
      <c r="B66" s="67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T66" s="76"/>
    </row>
    <row r="67" spans="1:20" s="68" customFormat="1" x14ac:dyDescent="0.25">
      <c r="A67" s="65" t="s">
        <v>522</v>
      </c>
      <c r="B67" s="67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T67" s="76"/>
    </row>
    <row r="68" spans="1:20" s="68" customFormat="1" x14ac:dyDescent="0.25">
      <c r="A68" s="65" t="s">
        <v>555</v>
      </c>
      <c r="B68" s="67"/>
      <c r="F68" s="78">
        <f>SUM(G68:R68)</f>
        <v>144032069</v>
      </c>
      <c r="G68" s="61">
        <v>77879682</v>
      </c>
      <c r="H68" s="61">
        <v>19490906</v>
      </c>
      <c r="I68" s="60">
        <v>18467131</v>
      </c>
      <c r="J68" s="61">
        <v>11086196</v>
      </c>
      <c r="K68" s="61">
        <v>7403321</v>
      </c>
      <c r="L68" s="60">
        <v>27239</v>
      </c>
      <c r="M68" s="61">
        <v>754815</v>
      </c>
      <c r="N68" s="61">
        <v>3492786</v>
      </c>
      <c r="O68" s="61">
        <v>2946888</v>
      </c>
      <c r="P68" s="60">
        <v>824508</v>
      </c>
      <c r="Q68" s="61">
        <v>1253454</v>
      </c>
      <c r="R68" s="61">
        <v>405143</v>
      </c>
      <c r="T68" s="76"/>
    </row>
    <row r="69" spans="1:20" s="68" customFormat="1" x14ac:dyDescent="0.25">
      <c r="A69" s="65" t="s">
        <v>556</v>
      </c>
      <c r="B69" s="67"/>
      <c r="F69" s="78">
        <f t="shared" ref="F69:F72" si="64">SUM(G69:R69)</f>
        <v>2107535543</v>
      </c>
      <c r="G69" s="61">
        <f>+G8+G68</f>
        <v>1144507136</v>
      </c>
      <c r="H69" s="61">
        <f t="shared" ref="H69:R69" si="65">+H8+H68</f>
        <v>286435177</v>
      </c>
      <c r="I69" s="61">
        <f t="shared" si="65"/>
        <v>271389951</v>
      </c>
      <c r="J69" s="61">
        <f t="shared" si="65"/>
        <v>162920931</v>
      </c>
      <c r="K69" s="61">
        <f t="shared" si="65"/>
        <v>108797996</v>
      </c>
      <c r="L69" s="61">
        <f t="shared" si="65"/>
        <v>275453</v>
      </c>
      <c r="M69" s="61">
        <f t="shared" si="65"/>
        <v>11092641</v>
      </c>
      <c r="N69" s="61">
        <f t="shared" si="65"/>
        <v>51329408</v>
      </c>
      <c r="O69" s="61">
        <f t="shared" si="65"/>
        <v>43306980</v>
      </c>
      <c r="P69" s="61">
        <f t="shared" si="65"/>
        <v>8337787</v>
      </c>
      <c r="Q69" s="61">
        <f t="shared" si="65"/>
        <v>18420551</v>
      </c>
      <c r="R69" s="61">
        <f t="shared" si="65"/>
        <v>721532</v>
      </c>
      <c r="T69" s="76"/>
    </row>
    <row r="70" spans="1:20" s="68" customFormat="1" x14ac:dyDescent="0.25">
      <c r="A70" s="67" t="s">
        <v>489</v>
      </c>
      <c r="B70" s="67"/>
      <c r="F70" s="78">
        <f t="shared" si="64"/>
        <v>103830975.60172242</v>
      </c>
      <c r="G70" s="61">
        <f>+G62</f>
        <v>54654105.54909578</v>
      </c>
      <c r="H70" s="61">
        <f t="shared" ref="H70:R70" si="66">+H62</f>
        <v>16245003.607033206</v>
      </c>
      <c r="I70" s="61">
        <f t="shared" si="66"/>
        <v>11326277.816451684</v>
      </c>
      <c r="J70" s="61">
        <f t="shared" si="66"/>
        <v>7055220.6282775244</v>
      </c>
      <c r="K70" s="61">
        <f t="shared" si="66"/>
        <v>5389176.2648028908</v>
      </c>
      <c r="L70" s="61">
        <f t="shared" si="66"/>
        <v>26537.399221994667</v>
      </c>
      <c r="M70" s="61">
        <f t="shared" si="66"/>
        <v>521209.09682652354</v>
      </c>
      <c r="N70" s="61">
        <f t="shared" si="66"/>
        <v>2353408.8254846041</v>
      </c>
      <c r="O70" s="61">
        <f t="shared" si="66"/>
        <v>4921384.5135478796</v>
      </c>
      <c r="P70" s="61">
        <f t="shared" si="66"/>
        <v>877862.04748307029</v>
      </c>
      <c r="Q70" s="61">
        <f t="shared" si="66"/>
        <v>425891.46704417613</v>
      </c>
      <c r="R70" s="61">
        <f t="shared" si="66"/>
        <v>34898.386453071616</v>
      </c>
      <c r="T70" s="76"/>
    </row>
    <row r="71" spans="1:20" s="81" customFormat="1" ht="16.5" thickBot="1" x14ac:dyDescent="0.3">
      <c r="A71" s="79" t="s">
        <v>557</v>
      </c>
      <c r="B71" s="79"/>
      <c r="F71" s="80">
        <f t="shared" si="64"/>
        <v>2211366518.6017227</v>
      </c>
      <c r="G71" s="80">
        <f>+G70+G69</f>
        <v>1199161241.5490959</v>
      </c>
      <c r="H71" s="80">
        <f t="shared" ref="H71:R71" si="67">+H70+H69</f>
        <v>302680180.60703319</v>
      </c>
      <c r="I71" s="80">
        <f t="shared" si="67"/>
        <v>282716228.81645167</v>
      </c>
      <c r="J71" s="80">
        <f t="shared" si="67"/>
        <v>169976151.62827751</v>
      </c>
      <c r="K71" s="80">
        <f t="shared" si="67"/>
        <v>114187172.26480289</v>
      </c>
      <c r="L71" s="80">
        <f t="shared" si="67"/>
        <v>301990.39922199468</v>
      </c>
      <c r="M71" s="80">
        <f t="shared" si="67"/>
        <v>11613850.096826524</v>
      </c>
      <c r="N71" s="80">
        <f t="shared" si="67"/>
        <v>53682816.825484604</v>
      </c>
      <c r="O71" s="80">
        <f t="shared" si="67"/>
        <v>48228364.513547882</v>
      </c>
      <c r="P71" s="80">
        <f t="shared" si="67"/>
        <v>9215649.0474830698</v>
      </c>
      <c r="Q71" s="80">
        <f t="shared" si="67"/>
        <v>18846442.467044175</v>
      </c>
      <c r="R71" s="80">
        <f t="shared" si="67"/>
        <v>756430.38645307161</v>
      </c>
      <c r="T71" s="89"/>
    </row>
    <row r="72" spans="1:20" s="68" customFormat="1" ht="16.5" thickTop="1" x14ac:dyDescent="0.25">
      <c r="A72" s="67" t="s">
        <v>515</v>
      </c>
      <c r="B72" s="67"/>
      <c r="F72" s="78">
        <f t="shared" si="64"/>
        <v>144032069</v>
      </c>
      <c r="G72" s="78">
        <f>+G68</f>
        <v>77879682</v>
      </c>
      <c r="H72" s="78">
        <f t="shared" ref="H72:R72" si="68">+H68</f>
        <v>19490906</v>
      </c>
      <c r="I72" s="78">
        <f t="shared" si="68"/>
        <v>18467131</v>
      </c>
      <c r="J72" s="78">
        <f t="shared" si="68"/>
        <v>11086196</v>
      </c>
      <c r="K72" s="78">
        <f t="shared" si="68"/>
        <v>7403321</v>
      </c>
      <c r="L72" s="78">
        <f t="shared" si="68"/>
        <v>27239</v>
      </c>
      <c r="M72" s="78">
        <f t="shared" si="68"/>
        <v>754815</v>
      </c>
      <c r="N72" s="78">
        <f t="shared" si="68"/>
        <v>3492786</v>
      </c>
      <c r="O72" s="78">
        <f t="shared" si="68"/>
        <v>2946888</v>
      </c>
      <c r="P72" s="78">
        <f t="shared" si="68"/>
        <v>824508</v>
      </c>
      <c r="Q72" s="78">
        <f t="shared" si="68"/>
        <v>1253454</v>
      </c>
      <c r="R72" s="78">
        <f t="shared" si="68"/>
        <v>405143</v>
      </c>
      <c r="T72" s="96"/>
    </row>
    <row r="73" spans="1:20" x14ac:dyDescent="0.25">
      <c r="A73" s="65"/>
      <c r="B73" s="65"/>
      <c r="C73" s="63"/>
      <c r="D73" s="63"/>
      <c r="E73" s="63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T73" s="76">
        <f t="shared" si="12"/>
        <v>0</v>
      </c>
    </row>
    <row r="74" spans="1:20" x14ac:dyDescent="0.25">
      <c r="A74" s="108" t="s">
        <v>516</v>
      </c>
      <c r="B74" s="100"/>
      <c r="C74" s="101"/>
      <c r="D74" s="101"/>
      <c r="E74" s="101"/>
      <c r="F74" s="102">
        <f t="shared" ref="F74:G74" si="69">F8/F56</f>
        <v>0.93165853560368839</v>
      </c>
      <c r="G74" s="102">
        <f t="shared" si="69"/>
        <v>0.92414859222184209</v>
      </c>
      <c r="H74" s="102">
        <f t="shared" ref="H74:R74" si="70">H8/H56</f>
        <v>0.98553533575110541</v>
      </c>
      <c r="I74" s="102">
        <f t="shared" si="70"/>
        <v>0.96341022222724437</v>
      </c>
      <c r="J74" s="102">
        <f t="shared" si="70"/>
        <v>0.92545483823697128</v>
      </c>
      <c r="K74" s="102">
        <f t="shared" si="70"/>
        <v>0.92774065491146962</v>
      </c>
      <c r="L74" s="102">
        <f t="shared" si="70"/>
        <v>0.46938885910658307</v>
      </c>
      <c r="M74" s="102">
        <f t="shared" si="70"/>
        <v>0.84476253143528646</v>
      </c>
      <c r="N74" s="102">
        <f t="shared" si="70"/>
        <v>0.85936663400770175</v>
      </c>
      <c r="O74" s="102">
        <f t="shared" si="70"/>
        <v>0.88441316132020253</v>
      </c>
      <c r="P74" s="102">
        <f t="shared" si="70"/>
        <v>0.62003341682403279</v>
      </c>
      <c r="Q74" s="102">
        <f t="shared" si="70"/>
        <v>0.86896698975423992</v>
      </c>
      <c r="R74" s="102">
        <f t="shared" si="70"/>
        <v>0.46872174608553252</v>
      </c>
      <c r="T74" s="76">
        <f t="shared" si="12"/>
        <v>8.8102844462785246</v>
      </c>
    </row>
    <row r="75" spans="1:20" s="97" customFormat="1" x14ac:dyDescent="0.25">
      <c r="A75" s="108" t="s">
        <v>517</v>
      </c>
      <c r="B75" s="99"/>
      <c r="C75" s="103"/>
      <c r="D75" s="103"/>
      <c r="E75" s="103"/>
      <c r="F75" s="111">
        <f>+F74/$F$74</f>
        <v>1</v>
      </c>
      <c r="G75" s="111">
        <f t="shared" ref="G75:R75" si="71">+G74/$F$74</f>
        <v>0.99193916752237976</v>
      </c>
      <c r="H75" s="112">
        <f t="shared" si="71"/>
        <v>1.0578289127276728</v>
      </c>
      <c r="I75" s="112">
        <f t="shared" si="71"/>
        <v>1.0340808197533249</v>
      </c>
      <c r="J75" s="112">
        <f t="shared" si="71"/>
        <v>0.99334123272675512</v>
      </c>
      <c r="K75" s="112">
        <f t="shared" si="71"/>
        <v>0.99579472463086482</v>
      </c>
      <c r="L75" s="112">
        <f t="shared" si="71"/>
        <v>0.50382070379726873</v>
      </c>
      <c r="M75" s="112">
        <f t="shared" si="71"/>
        <v>0.90672977185563397</v>
      </c>
      <c r="N75" s="112">
        <f t="shared" si="71"/>
        <v>0.92240515292532199</v>
      </c>
      <c r="O75" s="112">
        <f t="shared" si="71"/>
        <v>0.94928895890716847</v>
      </c>
      <c r="P75" s="112">
        <f t="shared" si="71"/>
        <v>0.66551573685982346</v>
      </c>
      <c r="Q75" s="112">
        <f t="shared" si="71"/>
        <v>0.93270973918697997</v>
      </c>
      <c r="R75" s="112">
        <f t="shared" si="71"/>
        <v>0.50310465494937384</v>
      </c>
      <c r="T75" s="98">
        <f t="shared" si="12"/>
        <v>9.4565595758425669</v>
      </c>
    </row>
    <row r="76" spans="1:20" ht="16.5" thickBot="1" x14ac:dyDescent="0.3">
      <c r="A76" s="110" t="s">
        <v>558</v>
      </c>
      <c r="B76" s="104"/>
      <c r="C76" s="105"/>
      <c r="D76" s="105"/>
      <c r="E76" s="105"/>
      <c r="F76" s="106">
        <f>+F63/F54</f>
        <v>1.0000000004130749</v>
      </c>
      <c r="G76" s="106">
        <f t="shared" ref="G76:R76" si="72">G63/G54</f>
        <v>0.99961009661582378</v>
      </c>
      <c r="H76" s="106">
        <f t="shared" si="72"/>
        <v>1.0432803252416019</v>
      </c>
      <c r="I76" s="106">
        <f t="shared" si="72"/>
        <v>1.0214700750584671</v>
      </c>
      <c r="J76" s="106">
        <f t="shared" si="72"/>
        <v>0.98285442708119286</v>
      </c>
      <c r="K76" s="106">
        <f t="shared" si="72"/>
        <v>0.98526942183414634</v>
      </c>
      <c r="L76" s="106">
        <f t="shared" si="72"/>
        <v>0.52207738366936385</v>
      </c>
      <c r="M76" s="106">
        <f t="shared" si="72"/>
        <v>0.91724936011746372</v>
      </c>
      <c r="N76" s="106">
        <f t="shared" si="72"/>
        <v>0.93463663403062214</v>
      </c>
      <c r="O76" s="106">
        <f t="shared" si="72"/>
        <v>0.94454320998055863</v>
      </c>
      <c r="P76" s="106">
        <f t="shared" si="72"/>
        <v>0.68040076934890348</v>
      </c>
      <c r="Q76" s="106">
        <f t="shared" si="72"/>
        <v>0.9411734739126405</v>
      </c>
      <c r="R76" s="106">
        <f t="shared" si="72"/>
        <v>1.0655415765561913</v>
      </c>
      <c r="T76" s="76">
        <f t="shared" si="12"/>
        <v>10.038106753033901</v>
      </c>
    </row>
    <row r="77" spans="1:20" ht="16.5" thickTop="1" x14ac:dyDescent="0.25">
      <c r="A77" s="109" t="s">
        <v>559</v>
      </c>
      <c r="B77" s="101"/>
      <c r="C77" s="101"/>
      <c r="D77" s="101"/>
      <c r="E77" s="101"/>
      <c r="F77" s="107">
        <f t="shared" ref="F77:R77" si="73">+F71/F54</f>
        <v>1.0000000016814667</v>
      </c>
      <c r="G77" s="107">
        <f t="shared" si="73"/>
        <v>0.99200384221078841</v>
      </c>
      <c r="H77" s="107">
        <f t="shared" si="73"/>
        <v>1.054240976539401</v>
      </c>
      <c r="I77" s="107">
        <f t="shared" si="73"/>
        <v>1.0323575098905553</v>
      </c>
      <c r="J77" s="107">
        <f t="shared" si="73"/>
        <v>0.99331432016259225</v>
      </c>
      <c r="K77" s="107">
        <f t="shared" si="73"/>
        <v>0.99569196502733714</v>
      </c>
      <c r="L77" s="107">
        <f t="shared" si="73"/>
        <v>0.5437938137641315</v>
      </c>
      <c r="M77" s="107">
        <f t="shared" si="73"/>
        <v>0.91026466980050269</v>
      </c>
      <c r="N77" s="107">
        <f t="shared" si="73"/>
        <v>0.92527253430579681</v>
      </c>
      <c r="O77" s="107">
        <f t="shared" si="73"/>
        <v>0.95395419714380347</v>
      </c>
      <c r="P77" s="107">
        <f t="shared" si="73"/>
        <v>0.70914696200917815</v>
      </c>
      <c r="Q77" s="107">
        <f t="shared" si="73"/>
        <v>0.93384078431217599</v>
      </c>
      <c r="R77" s="107">
        <f t="shared" si="73"/>
        <v>1.0655415765561913</v>
      </c>
      <c r="T77" s="76">
        <f t="shared" si="12"/>
        <v>10.109423150040985</v>
      </c>
    </row>
    <row r="78" spans="1:20" x14ac:dyDescent="0.25">
      <c r="A78" s="68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</row>
  </sheetData>
  <mergeCells count="3">
    <mergeCell ref="A2:R2"/>
    <mergeCell ref="A3:R3"/>
    <mergeCell ref="A4:R4"/>
  </mergeCells>
  <conditionalFormatting sqref="F75">
    <cfRule type="cellIs" dxfId="3" priority="5" stopIfTrue="1" operator="lessThan">
      <formula>0.95</formula>
    </cfRule>
    <cfRule type="cellIs" dxfId="2" priority="6" stopIfTrue="1" operator="greaterThan">
      <formula>1.05</formula>
    </cfRule>
  </conditionalFormatting>
  <conditionalFormatting sqref="G75">
    <cfRule type="cellIs" dxfId="1" priority="3" stopIfTrue="1" operator="lessThan">
      <formula>0.95</formula>
    </cfRule>
    <cfRule type="cellIs" dxfId="0" priority="4" stopIfTrue="1" operator="greaterThan">
      <formula>1.05</formula>
    </cfRule>
  </conditionalFormatting>
  <printOptions horizontalCentered="1"/>
  <pageMargins left="0.7" right="0.7" top="0.5" bottom="0.2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4"/>
  <sheetViews>
    <sheetView topLeftCell="A22" zoomScale="85" zoomScaleNormal="85" workbookViewId="0">
      <selection activeCell="B34" sqref="B34"/>
    </sheetView>
  </sheetViews>
  <sheetFormatPr defaultRowHeight="15.75" x14ac:dyDescent="0.25"/>
  <cols>
    <col min="1" max="1" width="12.7109375" style="37" customWidth="1"/>
    <col min="2" max="2" width="46.28515625" style="8" bestFit="1" customWidth="1"/>
    <col min="3" max="3" width="16" style="8" hidden="1" customWidth="1"/>
    <col min="4" max="4" width="13.28515625" style="54" bestFit="1" customWidth="1"/>
    <col min="5" max="5" width="17.85546875" style="8" bestFit="1" customWidth="1"/>
    <col min="6" max="6" width="17" style="39" bestFit="1" customWidth="1"/>
    <col min="7" max="7" width="18.28515625" style="8" bestFit="1" customWidth="1"/>
    <col min="8" max="9" width="17" style="8" bestFit="1" customWidth="1"/>
    <col min="10" max="11" width="16.140625" style="8" bestFit="1" customWidth="1"/>
    <col min="12" max="12" width="12.5703125" style="8" bestFit="1" customWidth="1"/>
    <col min="13" max="13" width="14.7109375" style="8" bestFit="1" customWidth="1"/>
    <col min="14" max="15" width="16.140625" style="8" bestFit="1" customWidth="1"/>
    <col min="16" max="17" width="15.5703125" style="8" bestFit="1" customWidth="1"/>
    <col min="18" max="18" width="13.42578125" style="8" bestFit="1" customWidth="1"/>
    <col min="19" max="19" width="5.5703125" style="8" bestFit="1" customWidth="1"/>
    <col min="20" max="20" width="3.5703125" style="8" bestFit="1" customWidth="1"/>
    <col min="21" max="21" width="14" style="8" bestFit="1" customWidth="1"/>
    <col min="22" max="31" width="3.5703125" style="8" bestFit="1" customWidth="1"/>
    <col min="32" max="37" width="9.28515625" style="8" bestFit="1" customWidth="1"/>
    <col min="38" max="16384" width="9.140625" style="8"/>
  </cols>
  <sheetData>
    <row r="1" spans="1:37" x14ac:dyDescent="0.25">
      <c r="A1" s="29"/>
      <c r="B1" s="30"/>
      <c r="C1" s="30">
        <v>2</v>
      </c>
      <c r="D1" s="53">
        <f>C1+1</f>
        <v>3</v>
      </c>
      <c r="E1" s="30"/>
      <c r="F1" s="30">
        <f>D1+1</f>
        <v>4</v>
      </c>
      <c r="G1" s="30">
        <f t="shared" ref="G1:K1" si="0">F1+1</f>
        <v>5</v>
      </c>
      <c r="H1" s="30">
        <f t="shared" si="0"/>
        <v>6</v>
      </c>
      <c r="I1" s="30">
        <f t="shared" si="0"/>
        <v>7</v>
      </c>
      <c r="J1" s="30">
        <f t="shared" si="0"/>
        <v>8</v>
      </c>
      <c r="K1" s="30">
        <f t="shared" si="0"/>
        <v>9</v>
      </c>
      <c r="L1" s="30">
        <f t="shared" ref="L1" si="1">K1+1</f>
        <v>10</v>
      </c>
      <c r="M1" s="30">
        <f t="shared" ref="M1" si="2">L1+1</f>
        <v>11</v>
      </c>
      <c r="N1" s="30">
        <f t="shared" ref="N1" si="3">M1+1</f>
        <v>12</v>
      </c>
      <c r="O1" s="30">
        <f t="shared" ref="O1" si="4">N1+1</f>
        <v>13</v>
      </c>
      <c r="P1" s="30">
        <f t="shared" ref="P1" si="5">O1+1</f>
        <v>14</v>
      </c>
      <c r="Q1" s="30">
        <f t="shared" ref="Q1" si="6">P1+1</f>
        <v>15</v>
      </c>
      <c r="R1" s="30">
        <f t="shared" ref="R1" si="7">Q1+1</f>
        <v>16</v>
      </c>
      <c r="S1" s="8">
        <f t="shared" ref="S1" si="8">R1+1</f>
        <v>17</v>
      </c>
      <c r="T1" s="8">
        <f t="shared" ref="T1" si="9">S1+1</f>
        <v>18</v>
      </c>
      <c r="U1" s="8">
        <f t="shared" ref="U1" si="10">T1+1</f>
        <v>19</v>
      </c>
      <c r="V1" s="8">
        <f t="shared" ref="V1" si="11">U1+1</f>
        <v>20</v>
      </c>
      <c r="W1" s="8">
        <f t="shared" ref="W1" si="12">V1+1</f>
        <v>21</v>
      </c>
      <c r="X1" s="8">
        <f t="shared" ref="X1" si="13">W1+1</f>
        <v>22</v>
      </c>
      <c r="Y1" s="8">
        <f t="shared" ref="Y1" si="14">X1+1</f>
        <v>23</v>
      </c>
      <c r="Z1" s="8">
        <f t="shared" ref="Z1" si="15">Y1+1</f>
        <v>24</v>
      </c>
      <c r="AA1" s="8">
        <f t="shared" ref="AA1" si="16">Z1+1</f>
        <v>25</v>
      </c>
      <c r="AB1" s="8">
        <f t="shared" ref="AB1" si="17">AA1+1</f>
        <v>26</v>
      </c>
      <c r="AC1" s="8">
        <f t="shared" ref="AC1" si="18">AB1+1</f>
        <v>27</v>
      </c>
      <c r="AD1" s="8">
        <f t="shared" ref="AD1" si="19">AC1+1</f>
        <v>28</v>
      </c>
      <c r="AE1" s="8">
        <f t="shared" ref="AE1" si="20">AD1+1</f>
        <v>29</v>
      </c>
      <c r="AF1" s="8">
        <f t="shared" ref="AF1" si="21">AE1+1</f>
        <v>30</v>
      </c>
      <c r="AG1" s="8">
        <f t="shared" ref="AG1" si="22">AF1+1</f>
        <v>31</v>
      </c>
      <c r="AH1" s="8">
        <f t="shared" ref="AH1" si="23">AG1+1</f>
        <v>32</v>
      </c>
      <c r="AI1" s="8">
        <f t="shared" ref="AI1" si="24">AH1+1</f>
        <v>33</v>
      </c>
      <c r="AJ1" s="8">
        <f t="shared" ref="AJ1" si="25">AI1+1</f>
        <v>34</v>
      </c>
      <c r="AK1" s="8">
        <f t="shared" ref="AK1" si="26">AJ1+1</f>
        <v>35</v>
      </c>
    </row>
    <row r="2" spans="1:37" x14ac:dyDescent="0.25">
      <c r="A2" s="128" t="s">
        <v>562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7" x14ac:dyDescent="0.25">
      <c r="A3" s="128" t="s">
        <v>563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7" x14ac:dyDescent="0.25">
      <c r="A4" s="129" t="s">
        <v>565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37" s="36" customFormat="1" ht="63" x14ac:dyDescent="0.25">
      <c r="A5" s="31"/>
      <c r="B5" s="28" t="s">
        <v>0</v>
      </c>
      <c r="C5" s="28" t="s">
        <v>432</v>
      </c>
      <c r="D5" s="32" t="s">
        <v>561</v>
      </c>
      <c r="E5" s="33"/>
      <c r="F5" s="34" t="s">
        <v>1</v>
      </c>
      <c r="G5" s="35" t="s">
        <v>293</v>
      </c>
      <c r="H5" s="35" t="s">
        <v>294</v>
      </c>
      <c r="I5" s="35" t="s">
        <v>295</v>
      </c>
      <c r="J5" s="35" t="s">
        <v>296</v>
      </c>
      <c r="K5" s="35" t="s">
        <v>553</v>
      </c>
      <c r="L5" s="35">
        <v>35</v>
      </c>
      <c r="M5" s="35">
        <v>43</v>
      </c>
      <c r="N5" s="35" t="s">
        <v>297</v>
      </c>
      <c r="O5" s="35" t="s">
        <v>298</v>
      </c>
      <c r="P5" s="35" t="s">
        <v>301</v>
      </c>
      <c r="Q5" s="35" t="s">
        <v>299</v>
      </c>
      <c r="R5" s="35" t="s">
        <v>300</v>
      </c>
      <c r="U5" s="35" t="s">
        <v>483</v>
      </c>
    </row>
    <row r="6" spans="1:37" x14ac:dyDescent="0.25">
      <c r="B6" s="30"/>
      <c r="C6" s="30" t="s">
        <v>292</v>
      </c>
      <c r="D6" s="53"/>
      <c r="E6" s="30"/>
      <c r="F6" s="38"/>
    </row>
    <row r="7" spans="1:37" x14ac:dyDescent="0.25">
      <c r="A7" s="29" t="s">
        <v>2</v>
      </c>
    </row>
    <row r="8" spans="1:37" x14ac:dyDescent="0.25"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37" x14ac:dyDescent="0.25">
      <c r="A9" s="29" t="s">
        <v>3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37" x14ac:dyDescent="0.25"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37" x14ac:dyDescent="0.25">
      <c r="B11" s="8" t="s">
        <v>4</v>
      </c>
      <c r="F11" s="40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37" x14ac:dyDescent="0.25">
      <c r="A12" s="37">
        <v>300</v>
      </c>
      <c r="B12" s="8" t="s">
        <v>5</v>
      </c>
      <c r="D12" s="54">
        <v>73</v>
      </c>
      <c r="F12" s="43">
        <v>70587020.038332</v>
      </c>
      <c r="G12" s="15">
        <f>INDEX(Alloc,($D12),(G$1))*$F12</f>
        <v>35487483.150231332</v>
      </c>
      <c r="H12" s="15">
        <f t="shared" ref="G12:R14" si="27">INDEX(Alloc,($D12),(H$1))*$F12</f>
        <v>9535600.536978269</v>
      </c>
      <c r="I12" s="15">
        <f t="shared" si="27"/>
        <v>9746867.4879529998</v>
      </c>
      <c r="J12" s="15">
        <f t="shared" si="27"/>
        <v>6531911.0732871275</v>
      </c>
      <c r="K12" s="15">
        <f t="shared" si="27"/>
        <v>4250467.998628201</v>
      </c>
      <c r="L12" s="15">
        <f t="shared" si="27"/>
        <v>16376.188648893027</v>
      </c>
      <c r="M12" s="15">
        <f t="shared" si="27"/>
        <v>370652.44222128135</v>
      </c>
      <c r="N12" s="15">
        <f t="shared" si="27"/>
        <v>2261184.5999079277</v>
      </c>
      <c r="O12" s="15">
        <f t="shared" si="27"/>
        <v>2081681.8079504492</v>
      </c>
      <c r="P12" s="15">
        <f t="shared" si="27"/>
        <v>0</v>
      </c>
      <c r="Q12" s="15">
        <f t="shared" si="27"/>
        <v>282348.08015332808</v>
      </c>
      <c r="R12" s="15">
        <f t="shared" si="27"/>
        <v>22446.67237218958</v>
      </c>
      <c r="U12" s="9">
        <f>SUM(G12:R12)-F12</f>
        <v>0</v>
      </c>
    </row>
    <row r="13" spans="1:37" x14ac:dyDescent="0.25">
      <c r="A13" s="37">
        <v>300.01</v>
      </c>
      <c r="B13" s="8" t="s">
        <v>6</v>
      </c>
      <c r="D13" s="55">
        <v>82</v>
      </c>
      <c r="F13" s="43">
        <v>16203260.800000003</v>
      </c>
      <c r="G13" s="15">
        <f t="shared" si="27"/>
        <v>7590617.3947592014</v>
      </c>
      <c r="H13" s="15">
        <f t="shared" si="27"/>
        <v>2039623.2383978062</v>
      </c>
      <c r="I13" s="15">
        <f t="shared" si="27"/>
        <v>2084812.3149580599</v>
      </c>
      <c r="J13" s="15">
        <f t="shared" si="27"/>
        <v>1397147.2026916705</v>
      </c>
      <c r="K13" s="15">
        <f t="shared" si="27"/>
        <v>909156.50990719011</v>
      </c>
      <c r="L13" s="15">
        <f t="shared" si="27"/>
        <v>3502.7951092478434</v>
      </c>
      <c r="M13" s="15">
        <f t="shared" si="27"/>
        <v>79280.93585629492</v>
      </c>
      <c r="N13" s="15">
        <f t="shared" si="27"/>
        <v>483657.49366226466</v>
      </c>
      <c r="O13" s="15">
        <f t="shared" si="27"/>
        <v>445262.63175356959</v>
      </c>
      <c r="P13" s="15">
        <f t="shared" si="27"/>
        <v>1105006.0187592977</v>
      </c>
      <c r="Q13" s="15">
        <f t="shared" si="27"/>
        <v>60393.019124962819</v>
      </c>
      <c r="R13" s="15">
        <f t="shared" si="27"/>
        <v>4801.2450204345432</v>
      </c>
      <c r="U13" s="9">
        <f t="shared" ref="U13:U76" si="28">SUM(G13:R13)-F13</f>
        <v>0</v>
      </c>
    </row>
    <row r="14" spans="1:37" x14ac:dyDescent="0.25">
      <c r="A14" s="37">
        <v>300.02</v>
      </c>
      <c r="B14" s="10" t="s">
        <v>7</v>
      </c>
      <c r="C14" s="10"/>
      <c r="D14" s="56">
        <v>70</v>
      </c>
      <c r="E14" s="10"/>
      <c r="F14" s="44">
        <v>177634269</v>
      </c>
      <c r="G14" s="45">
        <f t="shared" si="27"/>
        <v>105551395.21875143</v>
      </c>
      <c r="H14" s="45">
        <f t="shared" si="27"/>
        <v>22299318.077996682</v>
      </c>
      <c r="I14" s="45">
        <f t="shared" si="27"/>
        <v>18906922.065985132</v>
      </c>
      <c r="J14" s="45">
        <f t="shared" si="27"/>
        <v>11154818.136158502</v>
      </c>
      <c r="K14" s="45">
        <f t="shared" si="27"/>
        <v>7588870.2874583751</v>
      </c>
      <c r="L14" s="45">
        <f t="shared" si="27"/>
        <v>43611.061996158707</v>
      </c>
      <c r="M14" s="45">
        <f t="shared" si="27"/>
        <v>1042062.5821009397</v>
      </c>
      <c r="N14" s="45">
        <f t="shared" si="27"/>
        <v>3869488.7585769864</v>
      </c>
      <c r="O14" s="45">
        <f t="shared" si="27"/>
        <v>3087152.5843378124</v>
      </c>
      <c r="P14" s="45">
        <f t="shared" si="27"/>
        <v>1882525.7592752983</v>
      </c>
      <c r="Q14" s="45">
        <f t="shared" si="27"/>
        <v>2156426.7486128057</v>
      </c>
      <c r="R14" s="45">
        <f t="shared" si="27"/>
        <v>51677.718749899621</v>
      </c>
      <c r="U14" s="9">
        <f t="shared" si="28"/>
        <v>0</v>
      </c>
    </row>
    <row r="15" spans="1:37" x14ac:dyDescent="0.25">
      <c r="B15" s="30" t="s">
        <v>8</v>
      </c>
      <c r="C15" s="30"/>
      <c r="F15" s="46">
        <f t="shared" ref="F15:R15" si="29">SUM(F12:F14)</f>
        <v>264424549.838332</v>
      </c>
      <c r="G15" s="46">
        <f t="shared" si="29"/>
        <v>148629495.76374197</v>
      </c>
      <c r="H15" s="46">
        <f t="shared" si="29"/>
        <v>33874541.85337276</v>
      </c>
      <c r="I15" s="46">
        <f t="shared" si="29"/>
        <v>30738601.868896194</v>
      </c>
      <c r="J15" s="46">
        <f t="shared" si="29"/>
        <v>19083876.4121373</v>
      </c>
      <c r="K15" s="46">
        <f t="shared" si="29"/>
        <v>12748494.795993766</v>
      </c>
      <c r="L15" s="46">
        <f t="shared" ref="L15:M15" si="30">SUM(L12:L14)</f>
        <v>63490.045754299579</v>
      </c>
      <c r="M15" s="46">
        <f t="shared" si="30"/>
        <v>1491995.9601785159</v>
      </c>
      <c r="N15" s="46">
        <f t="shared" si="29"/>
        <v>6614330.8521471787</v>
      </c>
      <c r="O15" s="46">
        <f t="shared" si="29"/>
        <v>5614097.0240418315</v>
      </c>
      <c r="P15" s="46">
        <f t="shared" si="29"/>
        <v>2987531.7780345958</v>
      </c>
      <c r="Q15" s="46">
        <f t="shared" si="29"/>
        <v>2499167.8478910965</v>
      </c>
      <c r="R15" s="46">
        <f t="shared" si="29"/>
        <v>78925.636142523741</v>
      </c>
      <c r="U15" s="9">
        <f t="shared" si="28"/>
        <v>0</v>
      </c>
    </row>
    <row r="16" spans="1:37" x14ac:dyDescent="0.25">
      <c r="F16" s="4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U16" s="9">
        <f t="shared" si="28"/>
        <v>0</v>
      </c>
    </row>
    <row r="17" spans="1:21" x14ac:dyDescent="0.25">
      <c r="B17" s="30" t="s">
        <v>5</v>
      </c>
      <c r="E17" s="39">
        <v>3887841988.9148149</v>
      </c>
      <c r="F17" s="4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U17" s="9">
        <f t="shared" si="28"/>
        <v>0</v>
      </c>
    </row>
    <row r="18" spans="1:21" x14ac:dyDescent="0.25">
      <c r="D18" s="57"/>
      <c r="E18" s="47"/>
      <c r="F18" s="43">
        <f>E17*E18</f>
        <v>0</v>
      </c>
      <c r="G18" s="15">
        <f t="shared" ref="G18:R19" si="31">INDEX(Alloc,($D18),(G$1))*$F18</f>
        <v>0</v>
      </c>
      <c r="H18" s="15">
        <f t="shared" si="31"/>
        <v>0</v>
      </c>
      <c r="I18" s="15">
        <f t="shared" si="31"/>
        <v>0</v>
      </c>
      <c r="J18" s="15">
        <f t="shared" si="31"/>
        <v>0</v>
      </c>
      <c r="K18" s="15">
        <f t="shared" si="31"/>
        <v>0</v>
      </c>
      <c r="L18" s="15">
        <f t="shared" si="31"/>
        <v>0</v>
      </c>
      <c r="M18" s="15">
        <f t="shared" si="31"/>
        <v>0</v>
      </c>
      <c r="N18" s="15">
        <f t="shared" si="31"/>
        <v>0</v>
      </c>
      <c r="O18" s="15">
        <f t="shared" si="31"/>
        <v>0</v>
      </c>
      <c r="P18" s="15">
        <f t="shared" si="31"/>
        <v>0</v>
      </c>
      <c r="Q18" s="15">
        <f t="shared" si="31"/>
        <v>0</v>
      </c>
      <c r="R18" s="15">
        <f t="shared" si="31"/>
        <v>0</v>
      </c>
      <c r="U18" s="9">
        <f t="shared" si="28"/>
        <v>0</v>
      </c>
    </row>
    <row r="19" spans="1:21" x14ac:dyDescent="0.25">
      <c r="B19" s="10" t="s">
        <v>551</v>
      </c>
      <c r="C19" s="10"/>
      <c r="D19" s="58">
        <v>88</v>
      </c>
      <c r="E19" s="48">
        <v>1</v>
      </c>
      <c r="F19" s="44">
        <f>E17*E19</f>
        <v>3887841988.9148149</v>
      </c>
      <c r="G19" s="45">
        <f t="shared" si="31"/>
        <v>1954604784.2429452</v>
      </c>
      <c r="H19" s="45">
        <f t="shared" si="31"/>
        <v>525208574.28250229</v>
      </c>
      <c r="I19" s="45">
        <f t="shared" si="31"/>
        <v>536844885.35532445</v>
      </c>
      <c r="J19" s="45">
        <f t="shared" si="31"/>
        <v>359769234.12821019</v>
      </c>
      <c r="K19" s="45">
        <f t="shared" si="31"/>
        <v>234110293.20449451</v>
      </c>
      <c r="L19" s="45">
        <f t="shared" si="31"/>
        <v>901979.34142823704</v>
      </c>
      <c r="M19" s="45">
        <f t="shared" si="31"/>
        <v>20415058.283791691</v>
      </c>
      <c r="N19" s="45">
        <f t="shared" si="31"/>
        <v>124543130.27289718</v>
      </c>
      <c r="O19" s="45">
        <f t="shared" si="31"/>
        <v>114656348.09508681</v>
      </c>
      <c r="P19" s="45">
        <f t="shared" si="31"/>
        <v>0</v>
      </c>
      <c r="Q19" s="45">
        <f t="shared" si="31"/>
        <v>15551367.955659261</v>
      </c>
      <c r="R19" s="45">
        <f t="shared" si="31"/>
        <v>1236333.752474911</v>
      </c>
      <c r="U19" s="9">
        <f t="shared" si="28"/>
        <v>0</v>
      </c>
    </row>
    <row r="20" spans="1:21" x14ac:dyDescent="0.25">
      <c r="B20" s="30" t="s">
        <v>8</v>
      </c>
      <c r="F20" s="46">
        <f t="shared" ref="F20:R20" si="32">SUM(F18:F19)</f>
        <v>3887841988.9148149</v>
      </c>
      <c r="G20" s="46">
        <f t="shared" si="32"/>
        <v>1954604784.2429452</v>
      </c>
      <c r="H20" s="46">
        <f t="shared" si="32"/>
        <v>525208574.28250229</v>
      </c>
      <c r="I20" s="46">
        <f t="shared" si="32"/>
        <v>536844885.35532445</v>
      </c>
      <c r="J20" s="46">
        <f t="shared" si="32"/>
        <v>359769234.12821019</v>
      </c>
      <c r="K20" s="46">
        <f t="shared" si="32"/>
        <v>234110293.20449451</v>
      </c>
      <c r="L20" s="46">
        <f t="shared" ref="L20:M20" si="33">SUM(L18:L19)</f>
        <v>901979.34142823704</v>
      </c>
      <c r="M20" s="46">
        <f t="shared" si="33"/>
        <v>20415058.283791691</v>
      </c>
      <c r="N20" s="46">
        <f t="shared" si="32"/>
        <v>124543130.27289718</v>
      </c>
      <c r="O20" s="46">
        <f t="shared" si="32"/>
        <v>114656348.09508681</v>
      </c>
      <c r="P20" s="46">
        <f t="shared" si="32"/>
        <v>0</v>
      </c>
      <c r="Q20" s="46">
        <f t="shared" si="32"/>
        <v>15551367.955659261</v>
      </c>
      <c r="R20" s="46">
        <f t="shared" si="32"/>
        <v>1236333.752474911</v>
      </c>
      <c r="U20" s="9">
        <f t="shared" si="28"/>
        <v>0</v>
      </c>
    </row>
    <row r="21" spans="1:21" x14ac:dyDescent="0.25">
      <c r="F21" s="4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U21" s="9">
        <f t="shared" si="28"/>
        <v>0</v>
      </c>
    </row>
    <row r="22" spans="1:21" x14ac:dyDescent="0.25">
      <c r="B22" s="30" t="s">
        <v>6</v>
      </c>
      <c r="E22" s="49">
        <v>1389050215</v>
      </c>
      <c r="F22" s="4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U22" s="9">
        <f t="shared" si="28"/>
        <v>0</v>
      </c>
    </row>
    <row r="23" spans="1:21" x14ac:dyDescent="0.25">
      <c r="A23" s="37">
        <v>350</v>
      </c>
      <c r="B23" s="8" t="s">
        <v>9</v>
      </c>
      <c r="E23" s="49">
        <v>174349685</v>
      </c>
      <c r="F23" s="4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U23" s="9">
        <f t="shared" si="28"/>
        <v>0</v>
      </c>
    </row>
    <row r="24" spans="1:21" x14ac:dyDescent="0.25">
      <c r="B24" s="50"/>
      <c r="C24" s="10"/>
      <c r="D24" s="56"/>
      <c r="E24" s="48">
        <v>0</v>
      </c>
      <c r="F24" s="44">
        <f>E23*E24</f>
        <v>0</v>
      </c>
      <c r="G24" s="45">
        <f t="shared" ref="G24:R31" si="34">INDEX(Alloc,($D24),(G$1))*$F24</f>
        <v>0</v>
      </c>
      <c r="H24" s="45">
        <f t="shared" si="34"/>
        <v>0</v>
      </c>
      <c r="I24" s="45">
        <f t="shared" si="34"/>
        <v>0</v>
      </c>
      <c r="J24" s="45">
        <f t="shared" si="34"/>
        <v>0</v>
      </c>
      <c r="K24" s="45">
        <f t="shared" si="34"/>
        <v>0</v>
      </c>
      <c r="L24" s="45">
        <f t="shared" si="34"/>
        <v>0</v>
      </c>
      <c r="M24" s="45">
        <f t="shared" si="34"/>
        <v>0</v>
      </c>
      <c r="N24" s="45">
        <f t="shared" si="34"/>
        <v>0</v>
      </c>
      <c r="O24" s="45">
        <f t="shared" si="34"/>
        <v>0</v>
      </c>
      <c r="P24" s="45">
        <f t="shared" si="34"/>
        <v>0</v>
      </c>
      <c r="Q24" s="45">
        <f t="shared" si="34"/>
        <v>0</v>
      </c>
      <c r="R24" s="45">
        <f t="shared" si="34"/>
        <v>0</v>
      </c>
      <c r="U24" s="9">
        <f t="shared" si="28"/>
        <v>0</v>
      </c>
    </row>
    <row r="25" spans="1:21" x14ac:dyDescent="0.25">
      <c r="B25" s="8" t="s">
        <v>551</v>
      </c>
      <c r="D25" s="54">
        <v>88</v>
      </c>
      <c r="E25" s="47">
        <v>1</v>
      </c>
      <c r="F25" s="43">
        <f>E23*E25</f>
        <v>174349685</v>
      </c>
      <c r="G25" s="15">
        <f t="shared" si="34"/>
        <v>87653955.434379995</v>
      </c>
      <c r="H25" s="15">
        <f t="shared" si="34"/>
        <v>23552898.946649998</v>
      </c>
      <c r="I25" s="15">
        <f t="shared" si="34"/>
        <v>24074727.553855002</v>
      </c>
      <c r="J25" s="15">
        <f t="shared" si="34"/>
        <v>16133796.800844999</v>
      </c>
      <c r="K25" s="15">
        <f t="shared" si="34"/>
        <v>10498640.631959999</v>
      </c>
      <c r="L25" s="15">
        <f t="shared" si="34"/>
        <v>40449.126920000002</v>
      </c>
      <c r="M25" s="15">
        <f t="shared" si="34"/>
        <v>915510.19593499997</v>
      </c>
      <c r="N25" s="15">
        <f t="shared" si="34"/>
        <v>5585117.8092900002</v>
      </c>
      <c r="O25" s="15">
        <f t="shared" si="34"/>
        <v>5141746.560335</v>
      </c>
      <c r="P25" s="15">
        <f t="shared" si="34"/>
        <v>0</v>
      </c>
      <c r="Q25" s="15">
        <f t="shared" si="34"/>
        <v>697398.74</v>
      </c>
      <c r="R25" s="15">
        <f t="shared" si="34"/>
        <v>55443.199829999998</v>
      </c>
      <c r="U25" s="9">
        <f t="shared" si="28"/>
        <v>0</v>
      </c>
    </row>
    <row r="26" spans="1:21" x14ac:dyDescent="0.25">
      <c r="A26" s="37">
        <v>350.01</v>
      </c>
      <c r="B26" s="8" t="s">
        <v>10</v>
      </c>
      <c r="E26" s="49">
        <v>1214311299</v>
      </c>
      <c r="F26" s="4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U26" s="9">
        <f t="shared" si="28"/>
        <v>0</v>
      </c>
    </row>
    <row r="27" spans="1:21" x14ac:dyDescent="0.25">
      <c r="E27" s="47"/>
      <c r="F27" s="43">
        <f>E26*E27</f>
        <v>0</v>
      </c>
      <c r="G27" s="15">
        <f t="shared" si="34"/>
        <v>0</v>
      </c>
      <c r="H27" s="15">
        <f t="shared" si="34"/>
        <v>0</v>
      </c>
      <c r="I27" s="15">
        <f t="shared" si="34"/>
        <v>0</v>
      </c>
      <c r="J27" s="15">
        <f t="shared" si="34"/>
        <v>0</v>
      </c>
      <c r="K27" s="15">
        <f t="shared" si="34"/>
        <v>0</v>
      </c>
      <c r="L27" s="15">
        <f t="shared" si="34"/>
        <v>0</v>
      </c>
      <c r="M27" s="15">
        <f t="shared" si="34"/>
        <v>0</v>
      </c>
      <c r="N27" s="15">
        <f t="shared" si="34"/>
        <v>0</v>
      </c>
      <c r="O27" s="15">
        <f t="shared" si="34"/>
        <v>0</v>
      </c>
      <c r="P27" s="15">
        <f t="shared" si="34"/>
        <v>0</v>
      </c>
      <c r="Q27" s="15">
        <f t="shared" si="34"/>
        <v>0</v>
      </c>
      <c r="R27" s="15">
        <f t="shared" si="34"/>
        <v>0</v>
      </c>
      <c r="U27" s="9">
        <f t="shared" si="28"/>
        <v>0</v>
      </c>
    </row>
    <row r="28" spans="1:21" x14ac:dyDescent="0.25">
      <c r="B28" s="8" t="s">
        <v>552</v>
      </c>
      <c r="D28" s="54">
        <v>91</v>
      </c>
      <c r="E28" s="47">
        <v>1</v>
      </c>
      <c r="F28" s="43">
        <f>E26*E28</f>
        <v>1214311299</v>
      </c>
      <c r="G28" s="15">
        <f t="shared" si="34"/>
        <v>563063752.21203446</v>
      </c>
      <c r="H28" s="15">
        <f t="shared" si="34"/>
        <v>151297036.06244823</v>
      </c>
      <c r="I28" s="15">
        <f t="shared" si="34"/>
        <v>154649112.67015356</v>
      </c>
      <c r="J28" s="15">
        <f t="shared" si="34"/>
        <v>103638861.69302519</v>
      </c>
      <c r="K28" s="15">
        <f t="shared" si="34"/>
        <v>67440242.235075757</v>
      </c>
      <c r="L28" s="15">
        <f t="shared" si="34"/>
        <v>259833.53591300611</v>
      </c>
      <c r="M28" s="15">
        <f t="shared" si="34"/>
        <v>5880973.6943068746</v>
      </c>
      <c r="N28" s="15">
        <f t="shared" si="34"/>
        <v>35877187.454470851</v>
      </c>
      <c r="O28" s="15">
        <f t="shared" si="34"/>
        <v>33029098.30866579</v>
      </c>
      <c r="P28" s="15">
        <f t="shared" si="34"/>
        <v>94339161.443939224</v>
      </c>
      <c r="Q28" s="15">
        <f t="shared" si="34"/>
        <v>4479888.5502242437</v>
      </c>
      <c r="R28" s="15">
        <f t="shared" si="34"/>
        <v>356151.13974282733</v>
      </c>
      <c r="U28" s="9">
        <f t="shared" si="28"/>
        <v>0</v>
      </c>
    </row>
    <row r="29" spans="1:21" x14ac:dyDescent="0.25">
      <c r="A29" s="37">
        <v>350.02</v>
      </c>
      <c r="B29" s="8" t="s">
        <v>11</v>
      </c>
      <c r="E29" s="49">
        <v>389231</v>
      </c>
      <c r="F29" s="4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U29" s="9">
        <f t="shared" si="28"/>
        <v>0</v>
      </c>
    </row>
    <row r="30" spans="1:21" x14ac:dyDescent="0.25">
      <c r="B30" s="8" t="s">
        <v>433</v>
      </c>
      <c r="D30" s="54">
        <v>6</v>
      </c>
      <c r="E30" s="47">
        <v>1</v>
      </c>
      <c r="F30" s="43">
        <f>E29*E30</f>
        <v>389231</v>
      </c>
      <c r="G30" s="15">
        <f t="shared" si="34"/>
        <v>0</v>
      </c>
      <c r="H30" s="15">
        <f t="shared" si="34"/>
        <v>0</v>
      </c>
      <c r="I30" s="15">
        <f t="shared" si="34"/>
        <v>0</v>
      </c>
      <c r="J30" s="15">
        <f t="shared" si="34"/>
        <v>0</v>
      </c>
      <c r="K30" s="15">
        <f t="shared" si="34"/>
        <v>0</v>
      </c>
      <c r="L30" s="15">
        <f t="shared" si="34"/>
        <v>0</v>
      </c>
      <c r="M30" s="15">
        <f t="shared" si="34"/>
        <v>0</v>
      </c>
      <c r="N30" s="15">
        <f t="shared" si="34"/>
        <v>0</v>
      </c>
      <c r="O30" s="15">
        <f t="shared" si="34"/>
        <v>0</v>
      </c>
      <c r="P30" s="15">
        <f t="shared" si="34"/>
        <v>389231</v>
      </c>
      <c r="Q30" s="15">
        <f t="shared" si="34"/>
        <v>0</v>
      </c>
      <c r="R30" s="15">
        <f t="shared" si="34"/>
        <v>0</v>
      </c>
      <c r="U30" s="9">
        <f t="shared" si="28"/>
        <v>0</v>
      </c>
    </row>
    <row r="31" spans="1:21" x14ac:dyDescent="0.25">
      <c r="B31" s="10" t="s">
        <v>434</v>
      </c>
      <c r="C31" s="10"/>
      <c r="D31" s="56"/>
      <c r="E31" s="48">
        <v>0</v>
      </c>
      <c r="F31" s="44">
        <f>E29*E31</f>
        <v>0</v>
      </c>
      <c r="G31" s="45">
        <f t="shared" si="34"/>
        <v>0</v>
      </c>
      <c r="H31" s="45">
        <f t="shared" si="34"/>
        <v>0</v>
      </c>
      <c r="I31" s="45">
        <f t="shared" si="34"/>
        <v>0</v>
      </c>
      <c r="J31" s="45">
        <f t="shared" si="34"/>
        <v>0</v>
      </c>
      <c r="K31" s="45">
        <f t="shared" si="34"/>
        <v>0</v>
      </c>
      <c r="L31" s="45">
        <f t="shared" si="34"/>
        <v>0</v>
      </c>
      <c r="M31" s="45">
        <f t="shared" si="34"/>
        <v>0</v>
      </c>
      <c r="N31" s="45">
        <f t="shared" si="34"/>
        <v>0</v>
      </c>
      <c r="O31" s="45">
        <f t="shared" si="34"/>
        <v>0</v>
      </c>
      <c r="P31" s="45">
        <f t="shared" si="34"/>
        <v>0</v>
      </c>
      <c r="Q31" s="45">
        <f t="shared" si="34"/>
        <v>0</v>
      </c>
      <c r="R31" s="45">
        <f t="shared" si="34"/>
        <v>0</v>
      </c>
      <c r="U31" s="9">
        <f t="shared" si="28"/>
        <v>0</v>
      </c>
    </row>
    <row r="32" spans="1:21" x14ac:dyDescent="0.25">
      <c r="B32" s="30" t="s">
        <v>8</v>
      </c>
      <c r="F32" s="46">
        <f>SUM(F23:F31)</f>
        <v>1389050215</v>
      </c>
      <c r="G32" s="46">
        <f t="shared" ref="G32:R32" si="35">SUM(G23:G31)</f>
        <v>650717707.64641452</v>
      </c>
      <c r="H32" s="46">
        <f t="shared" si="35"/>
        <v>174849935.00909823</v>
      </c>
      <c r="I32" s="46">
        <f t="shared" si="35"/>
        <v>178723840.22400856</v>
      </c>
      <c r="J32" s="46">
        <f t="shared" si="35"/>
        <v>119772658.49387018</v>
      </c>
      <c r="K32" s="46">
        <f t="shared" si="35"/>
        <v>77938882.867035761</v>
      </c>
      <c r="L32" s="46">
        <f t="shared" ref="L32:M32" si="36">SUM(L23:L31)</f>
        <v>300282.66283300612</v>
      </c>
      <c r="M32" s="46">
        <f t="shared" si="36"/>
        <v>6796483.8902418744</v>
      </c>
      <c r="N32" s="46">
        <f t="shared" si="35"/>
        <v>41462305.26376085</v>
      </c>
      <c r="O32" s="46">
        <f t="shared" si="35"/>
        <v>38170844.869000793</v>
      </c>
      <c r="P32" s="46">
        <f t="shared" si="35"/>
        <v>94728392.443939224</v>
      </c>
      <c r="Q32" s="46">
        <f t="shared" si="35"/>
        <v>5177287.2902242439</v>
      </c>
      <c r="R32" s="46">
        <f t="shared" si="35"/>
        <v>411594.33957282733</v>
      </c>
      <c r="U32" s="9">
        <f t="shared" si="28"/>
        <v>0</v>
      </c>
    </row>
    <row r="33" spans="1:21" x14ac:dyDescent="0.25">
      <c r="F33" s="4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U33" s="9">
        <f t="shared" si="28"/>
        <v>0</v>
      </c>
    </row>
    <row r="34" spans="1:21" x14ac:dyDescent="0.25">
      <c r="B34" s="30" t="s">
        <v>12</v>
      </c>
      <c r="F34" s="4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U34" s="9">
        <f t="shared" si="28"/>
        <v>0</v>
      </c>
    </row>
    <row r="35" spans="1:21" x14ac:dyDescent="0.25">
      <c r="A35" s="37">
        <v>360.01</v>
      </c>
      <c r="B35" s="8" t="s">
        <v>13</v>
      </c>
      <c r="D35" s="54">
        <v>36</v>
      </c>
      <c r="F35" s="43">
        <v>5346857.3397640157</v>
      </c>
      <c r="G35" s="15">
        <f t="shared" ref="G35:R44" si="37">INDEX(Alloc,($D35),(G$1))*$F35</f>
        <v>0</v>
      </c>
      <c r="H35" s="15">
        <f t="shared" si="37"/>
        <v>0</v>
      </c>
      <c r="I35" s="15">
        <f t="shared" si="37"/>
        <v>0</v>
      </c>
      <c r="J35" s="15">
        <f t="shared" si="37"/>
        <v>0</v>
      </c>
      <c r="K35" s="15">
        <f t="shared" si="37"/>
        <v>0</v>
      </c>
      <c r="L35" s="15">
        <f t="shared" si="37"/>
        <v>0</v>
      </c>
      <c r="M35" s="15">
        <f t="shared" si="37"/>
        <v>0</v>
      </c>
      <c r="N35" s="15">
        <f t="shared" si="37"/>
        <v>4604125.9627512153</v>
      </c>
      <c r="O35" s="15">
        <f t="shared" si="37"/>
        <v>742731.37701280019</v>
      </c>
      <c r="P35" s="15">
        <f t="shared" si="37"/>
        <v>0</v>
      </c>
      <c r="Q35" s="15">
        <f t="shared" si="37"/>
        <v>0</v>
      </c>
      <c r="R35" s="15">
        <f t="shared" si="37"/>
        <v>0</v>
      </c>
      <c r="U35" s="9">
        <f t="shared" si="28"/>
        <v>0</v>
      </c>
    </row>
    <row r="36" spans="1:21" x14ac:dyDescent="0.25">
      <c r="A36" s="37">
        <v>360.02</v>
      </c>
      <c r="B36" s="8" t="s">
        <v>14</v>
      </c>
      <c r="D36" s="54">
        <v>42</v>
      </c>
      <c r="F36" s="43">
        <v>40695723.896902584</v>
      </c>
      <c r="G36" s="15">
        <f t="shared" si="37"/>
        <v>16661052.06712766</v>
      </c>
      <c r="H36" s="15">
        <f t="shared" si="37"/>
        <v>6514455.771899946</v>
      </c>
      <c r="I36" s="15">
        <f t="shared" si="37"/>
        <v>8195036.9604089633</v>
      </c>
      <c r="J36" s="15">
        <f t="shared" si="37"/>
        <v>4653114.1930973371</v>
      </c>
      <c r="K36" s="15">
        <f t="shared" si="37"/>
        <v>4413472.7417712733</v>
      </c>
      <c r="L36" s="15">
        <f t="shared" si="37"/>
        <v>826.25288572807881</v>
      </c>
      <c r="M36" s="15">
        <f t="shared" si="37"/>
        <v>221452.9544370212</v>
      </c>
      <c r="N36" s="15">
        <f t="shared" si="37"/>
        <v>0</v>
      </c>
      <c r="O36" s="15">
        <f t="shared" si="37"/>
        <v>0</v>
      </c>
      <c r="P36" s="15">
        <f t="shared" si="37"/>
        <v>0</v>
      </c>
      <c r="Q36" s="15">
        <f t="shared" si="37"/>
        <v>33623.338130564</v>
      </c>
      <c r="R36" s="15">
        <f t="shared" si="37"/>
        <v>2689.6171440902681</v>
      </c>
      <c r="U36" s="9">
        <f t="shared" si="28"/>
        <v>0</v>
      </c>
    </row>
    <row r="37" spans="1:21" x14ac:dyDescent="0.25">
      <c r="A37" s="37">
        <v>361.01</v>
      </c>
      <c r="B37" s="8" t="s">
        <v>15</v>
      </c>
      <c r="D37" s="54">
        <v>37</v>
      </c>
      <c r="F37" s="43">
        <v>720950.67220432428</v>
      </c>
      <c r="G37" s="15">
        <f t="shared" si="37"/>
        <v>0</v>
      </c>
      <c r="H37" s="15">
        <f t="shared" si="37"/>
        <v>0</v>
      </c>
      <c r="I37" s="15">
        <f t="shared" si="37"/>
        <v>0</v>
      </c>
      <c r="J37" s="15">
        <f t="shared" si="37"/>
        <v>0</v>
      </c>
      <c r="K37" s="15">
        <f t="shared" si="37"/>
        <v>0</v>
      </c>
      <c r="L37" s="15">
        <f t="shared" si="37"/>
        <v>0</v>
      </c>
      <c r="M37" s="15">
        <f t="shared" si="37"/>
        <v>0</v>
      </c>
      <c r="N37" s="15">
        <f t="shared" si="37"/>
        <v>365041.24012752424</v>
      </c>
      <c r="O37" s="15">
        <f t="shared" si="37"/>
        <v>162866.1520768</v>
      </c>
      <c r="P37" s="15">
        <f t="shared" si="37"/>
        <v>193043.27999999997</v>
      </c>
      <c r="Q37" s="15">
        <f t="shared" si="37"/>
        <v>0</v>
      </c>
      <c r="R37" s="15">
        <f t="shared" si="37"/>
        <v>0</v>
      </c>
      <c r="U37" s="9">
        <f t="shared" si="28"/>
        <v>0</v>
      </c>
    </row>
    <row r="38" spans="1:21" x14ac:dyDescent="0.25">
      <c r="A38" s="37">
        <v>361.02</v>
      </c>
      <c r="B38" s="8" t="s">
        <v>16</v>
      </c>
      <c r="D38" s="54">
        <v>43</v>
      </c>
      <c r="F38" s="43">
        <v>7250175.1598790055</v>
      </c>
      <c r="G38" s="15">
        <f t="shared" si="37"/>
        <v>3596168.5303501668</v>
      </c>
      <c r="H38" s="15">
        <f t="shared" si="37"/>
        <v>1058931.0908890173</v>
      </c>
      <c r="I38" s="15">
        <f t="shared" si="37"/>
        <v>1271969.2086512116</v>
      </c>
      <c r="J38" s="15">
        <f t="shared" si="37"/>
        <v>793312.45037655835</v>
      </c>
      <c r="K38" s="15">
        <f t="shared" si="37"/>
        <v>458786.98959444842</v>
      </c>
      <c r="L38" s="15">
        <f t="shared" si="37"/>
        <v>0</v>
      </c>
      <c r="M38" s="15">
        <f t="shared" si="37"/>
        <v>63878.178937131051</v>
      </c>
      <c r="N38" s="15">
        <f t="shared" si="37"/>
        <v>0</v>
      </c>
      <c r="O38" s="15">
        <f t="shared" si="37"/>
        <v>0</v>
      </c>
      <c r="P38" s="15">
        <f t="shared" si="37"/>
        <v>0</v>
      </c>
      <c r="Q38" s="15">
        <f t="shared" si="37"/>
        <v>6349.380061216606</v>
      </c>
      <c r="R38" s="15">
        <f t="shared" si="37"/>
        <v>779.33101925499852</v>
      </c>
      <c r="U38" s="9">
        <f t="shared" si="28"/>
        <v>0</v>
      </c>
    </row>
    <row r="39" spans="1:21" x14ac:dyDescent="0.25">
      <c r="A39" s="37">
        <v>362.01</v>
      </c>
      <c r="B39" s="8" t="s">
        <v>17</v>
      </c>
      <c r="D39" s="54">
        <v>38</v>
      </c>
      <c r="F39" s="43">
        <v>36037590.329062611</v>
      </c>
      <c r="G39" s="15">
        <f t="shared" si="37"/>
        <v>0</v>
      </c>
      <c r="H39" s="15">
        <f t="shared" si="37"/>
        <v>0</v>
      </c>
      <c r="I39" s="15">
        <f t="shared" si="37"/>
        <v>0</v>
      </c>
      <c r="J39" s="15">
        <f t="shared" si="37"/>
        <v>0</v>
      </c>
      <c r="K39" s="15">
        <f t="shared" si="37"/>
        <v>761867.27362632507</v>
      </c>
      <c r="L39" s="15">
        <f t="shared" si="37"/>
        <v>0</v>
      </c>
      <c r="M39" s="15">
        <f t="shared" si="37"/>
        <v>0</v>
      </c>
      <c r="N39" s="15">
        <f t="shared" si="37"/>
        <v>14491048.15719921</v>
      </c>
      <c r="O39" s="15">
        <f t="shared" si="37"/>
        <v>14207847.025270712</v>
      </c>
      <c r="P39" s="15">
        <f t="shared" si="37"/>
        <v>6576827.8729663622</v>
      </c>
      <c r="Q39" s="15">
        <f t="shared" si="37"/>
        <v>0</v>
      </c>
      <c r="R39" s="15">
        <f t="shared" si="37"/>
        <v>0</v>
      </c>
      <c r="U39" s="9">
        <f t="shared" si="28"/>
        <v>0</v>
      </c>
    </row>
    <row r="40" spans="1:21" x14ac:dyDescent="0.25">
      <c r="A40" s="37">
        <v>362.02</v>
      </c>
      <c r="B40" s="8" t="s">
        <v>18</v>
      </c>
      <c r="D40" s="54">
        <v>44</v>
      </c>
      <c r="F40" s="43">
        <v>381836222.71196634</v>
      </c>
      <c r="G40" s="15">
        <f t="shared" si="37"/>
        <v>207938553.65897152</v>
      </c>
      <c r="H40" s="15">
        <f t="shared" si="37"/>
        <v>53792849.553696178</v>
      </c>
      <c r="I40" s="15">
        <f t="shared" si="37"/>
        <v>57936633.265027665</v>
      </c>
      <c r="J40" s="15">
        <f t="shared" si="37"/>
        <v>32837746.987296835</v>
      </c>
      <c r="K40" s="15">
        <f t="shared" si="37"/>
        <v>25468772.476487</v>
      </c>
      <c r="L40" s="15">
        <f t="shared" si="37"/>
        <v>93053.160155270147</v>
      </c>
      <c r="M40" s="15">
        <f t="shared" si="37"/>
        <v>3291031.4116360145</v>
      </c>
      <c r="N40" s="15">
        <f t="shared" si="37"/>
        <v>0</v>
      </c>
      <c r="O40" s="15">
        <f t="shared" si="37"/>
        <v>0</v>
      </c>
      <c r="P40" s="15">
        <f t="shared" si="37"/>
        <v>0</v>
      </c>
      <c r="Q40" s="15">
        <f t="shared" si="37"/>
        <v>368205.3219365796</v>
      </c>
      <c r="R40" s="15">
        <f t="shared" si="37"/>
        <v>109376.87675931495</v>
      </c>
      <c r="T40" s="9"/>
      <c r="U40" s="9">
        <f t="shared" si="28"/>
        <v>0</v>
      </c>
    </row>
    <row r="41" spans="1:21" x14ac:dyDescent="0.25">
      <c r="A41" s="37">
        <v>363.01</v>
      </c>
      <c r="B41" s="8" t="s">
        <v>19</v>
      </c>
      <c r="D41" s="54">
        <v>44</v>
      </c>
      <c r="F41" s="43">
        <v>2897295.0557666672</v>
      </c>
      <c r="G41" s="15">
        <f t="shared" si="37"/>
        <v>1577795.1581976237</v>
      </c>
      <c r="H41" s="15">
        <f t="shared" si="37"/>
        <v>408169.12534013449</v>
      </c>
      <c r="I41" s="15">
        <f t="shared" si="37"/>
        <v>439611.30747187947</v>
      </c>
      <c r="J41" s="15">
        <f t="shared" si="37"/>
        <v>249166.09878728064</v>
      </c>
      <c r="K41" s="15">
        <f t="shared" si="37"/>
        <v>193251.82940601997</v>
      </c>
      <c r="L41" s="15">
        <f t="shared" si="37"/>
        <v>706.06832145597537</v>
      </c>
      <c r="M41" s="15">
        <f t="shared" si="37"/>
        <v>24971.672330046335</v>
      </c>
      <c r="N41" s="15">
        <f t="shared" si="37"/>
        <v>0</v>
      </c>
      <c r="O41" s="15">
        <f t="shared" si="37"/>
        <v>0</v>
      </c>
      <c r="P41" s="15">
        <f t="shared" si="37"/>
        <v>0</v>
      </c>
      <c r="Q41" s="15">
        <f t="shared" si="37"/>
        <v>2793.8665723669537</v>
      </c>
      <c r="R41" s="15">
        <f t="shared" si="37"/>
        <v>829.92933985996103</v>
      </c>
      <c r="U41" s="9">
        <f t="shared" si="28"/>
        <v>0</v>
      </c>
    </row>
    <row r="42" spans="1:21" x14ac:dyDescent="0.25">
      <c r="A42" s="37">
        <v>364.01</v>
      </c>
      <c r="B42" s="8" t="s">
        <v>20</v>
      </c>
      <c r="D42" s="54">
        <v>45</v>
      </c>
      <c r="F42" s="43">
        <v>332823919.61817998</v>
      </c>
      <c r="G42" s="15">
        <f t="shared" si="37"/>
        <v>226093115.02757889</v>
      </c>
      <c r="H42" s="15">
        <f t="shared" si="37"/>
        <v>43352802.788722634</v>
      </c>
      <c r="I42" s="15">
        <f t="shared" si="37"/>
        <v>33490419.039243501</v>
      </c>
      <c r="J42" s="15">
        <f t="shared" si="37"/>
        <v>13955010.378855238</v>
      </c>
      <c r="K42" s="15">
        <f t="shared" si="37"/>
        <v>11887452.742172142</v>
      </c>
      <c r="L42" s="15">
        <f t="shared" si="37"/>
        <v>266306.77650481323</v>
      </c>
      <c r="M42" s="15">
        <f t="shared" si="37"/>
        <v>3324820.0312874797</v>
      </c>
      <c r="N42" s="15">
        <f t="shared" si="37"/>
        <v>0</v>
      </c>
      <c r="O42" s="15">
        <f t="shared" si="37"/>
        <v>0</v>
      </c>
      <c r="P42" s="15">
        <f t="shared" si="37"/>
        <v>0</v>
      </c>
      <c r="Q42" s="15">
        <f t="shared" si="37"/>
        <v>217796.11998069525</v>
      </c>
      <c r="R42" s="15">
        <f t="shared" si="37"/>
        <v>236196.71383467104</v>
      </c>
      <c r="U42" s="9">
        <f t="shared" si="28"/>
        <v>0</v>
      </c>
    </row>
    <row r="43" spans="1:21" x14ac:dyDescent="0.25">
      <c r="A43" s="37">
        <v>365.01</v>
      </c>
      <c r="B43" s="8" t="s">
        <v>21</v>
      </c>
      <c r="D43" s="54" t="s">
        <v>482</v>
      </c>
      <c r="F43" s="43">
        <v>1638327.3314998201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1638327</v>
      </c>
      <c r="O43" s="15">
        <v>0</v>
      </c>
      <c r="P43" s="15">
        <v>0</v>
      </c>
      <c r="Q43" s="15">
        <v>0</v>
      </c>
      <c r="R43" s="15">
        <v>0</v>
      </c>
      <c r="U43" s="9">
        <f t="shared" si="28"/>
        <v>-0.33149982010945678</v>
      </c>
    </row>
    <row r="44" spans="1:21" x14ac:dyDescent="0.25">
      <c r="A44" s="37">
        <v>365.02</v>
      </c>
      <c r="B44" s="8" t="s">
        <v>22</v>
      </c>
      <c r="D44" s="54">
        <v>45</v>
      </c>
      <c r="F44" s="43">
        <v>390407001.33487219</v>
      </c>
      <c r="G44" s="15">
        <f t="shared" si="37"/>
        <v>265210310.48982298</v>
      </c>
      <c r="H44" s="15">
        <f t="shared" si="37"/>
        <v>50853429.511989839</v>
      </c>
      <c r="I44" s="15">
        <f t="shared" si="37"/>
        <v>39284718.735237114</v>
      </c>
      <c r="J44" s="15">
        <f t="shared" si="37"/>
        <v>16369417.684450276</v>
      </c>
      <c r="K44" s="15">
        <f t="shared" si="37"/>
        <v>13944144.350879537</v>
      </c>
      <c r="L44" s="15">
        <f t="shared" si="37"/>
        <v>312381.48438872315</v>
      </c>
      <c r="M44" s="15">
        <f t="shared" si="37"/>
        <v>3900059.2862501638</v>
      </c>
      <c r="N44" s="15">
        <f t="shared" si="37"/>
        <v>0</v>
      </c>
      <c r="O44" s="15">
        <f t="shared" si="37"/>
        <v>0</v>
      </c>
      <c r="P44" s="15">
        <f t="shared" si="37"/>
        <v>0</v>
      </c>
      <c r="Q44" s="15">
        <f t="shared" si="37"/>
        <v>255477.82203148084</v>
      </c>
      <c r="R44" s="15">
        <f t="shared" si="37"/>
        <v>277061.96982215898</v>
      </c>
      <c r="U44" s="9">
        <f t="shared" si="28"/>
        <v>0</v>
      </c>
    </row>
    <row r="45" spans="1:21" x14ac:dyDescent="0.25">
      <c r="A45" s="37">
        <v>366.01</v>
      </c>
      <c r="B45" s="8" t="s">
        <v>23</v>
      </c>
      <c r="D45" s="54">
        <v>40</v>
      </c>
      <c r="F45" s="43">
        <v>34343068.147723362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f t="shared" ref="G45:R55" si="38">INDEX(Alloc,($D45),(N$1))*$F45</f>
        <v>27686863.057723358</v>
      </c>
      <c r="O45" s="15">
        <f t="shared" si="38"/>
        <v>6656205.0899999999</v>
      </c>
      <c r="P45" s="15">
        <f t="shared" si="38"/>
        <v>0</v>
      </c>
      <c r="Q45" s="15">
        <f t="shared" si="38"/>
        <v>0</v>
      </c>
      <c r="R45" s="15">
        <f t="shared" si="38"/>
        <v>0</v>
      </c>
      <c r="U45" s="9">
        <f t="shared" si="28"/>
        <v>0</v>
      </c>
    </row>
    <row r="46" spans="1:21" x14ac:dyDescent="0.25">
      <c r="A46" s="37">
        <v>366.02</v>
      </c>
      <c r="B46" s="8" t="s">
        <v>24</v>
      </c>
      <c r="D46" s="54">
        <v>47</v>
      </c>
      <c r="F46" s="43">
        <v>624479928.47685969</v>
      </c>
      <c r="G46" s="15">
        <f t="shared" si="38"/>
        <v>416925685.90571171</v>
      </c>
      <c r="H46" s="15">
        <f t="shared" si="38"/>
        <v>77151788.488924995</v>
      </c>
      <c r="I46" s="15">
        <f t="shared" si="38"/>
        <v>71201808.54622519</v>
      </c>
      <c r="J46" s="15">
        <f t="shared" si="38"/>
        <v>30574164.157850333</v>
      </c>
      <c r="K46" s="15">
        <f t="shared" si="38"/>
        <v>20812199.846640788</v>
      </c>
      <c r="L46" s="15">
        <f t="shared" si="38"/>
        <v>231685.14111496869</v>
      </c>
      <c r="M46" s="15">
        <f t="shared" si="38"/>
        <v>7112224.6341171982</v>
      </c>
      <c r="N46" s="15">
        <f t="shared" si="38"/>
        <v>0</v>
      </c>
      <c r="O46" s="15">
        <f t="shared" si="38"/>
        <v>0</v>
      </c>
      <c r="P46" s="15">
        <f t="shared" si="38"/>
        <v>0</v>
      </c>
      <c r="Q46" s="15">
        <f t="shared" si="38"/>
        <v>305518.86740435427</v>
      </c>
      <c r="R46" s="15">
        <f t="shared" si="38"/>
        <v>164852.88887026618</v>
      </c>
      <c r="U46" s="9">
        <f t="shared" si="28"/>
        <v>0</v>
      </c>
    </row>
    <row r="47" spans="1:21" x14ac:dyDescent="0.25">
      <c r="A47" s="37">
        <v>367.01</v>
      </c>
      <c r="B47" s="8" t="s">
        <v>25</v>
      </c>
      <c r="D47" s="54">
        <v>47</v>
      </c>
      <c r="F47" s="43">
        <v>839507907.99583304</v>
      </c>
      <c r="G47" s="15">
        <f t="shared" si="38"/>
        <v>560486245.27954161</v>
      </c>
      <c r="H47" s="15">
        <f t="shared" si="38"/>
        <v>103717563.36580877</v>
      </c>
      <c r="I47" s="15">
        <f t="shared" si="38"/>
        <v>95718819.152369767</v>
      </c>
      <c r="J47" s="15">
        <f t="shared" si="38"/>
        <v>41101805.551191904</v>
      </c>
      <c r="K47" s="15">
        <f t="shared" si="38"/>
        <v>27978491.473152347</v>
      </c>
      <c r="L47" s="15">
        <f t="shared" si="38"/>
        <v>311461.58469103469</v>
      </c>
      <c r="M47" s="15">
        <f t="shared" si="38"/>
        <v>9561186.1190594006</v>
      </c>
      <c r="N47" s="15">
        <f t="shared" si="38"/>
        <v>0</v>
      </c>
      <c r="O47" s="15">
        <f t="shared" si="38"/>
        <v>0</v>
      </c>
      <c r="P47" s="15">
        <f t="shared" si="38"/>
        <v>0</v>
      </c>
      <c r="Q47" s="15">
        <f t="shared" si="38"/>
        <v>410718.57321894681</v>
      </c>
      <c r="R47" s="15">
        <f t="shared" si="38"/>
        <v>221616.89679939006</v>
      </c>
      <c r="U47" s="9">
        <f t="shared" si="28"/>
        <v>0</v>
      </c>
    </row>
    <row r="48" spans="1:21" x14ac:dyDescent="0.25">
      <c r="A48" s="37" t="s">
        <v>26</v>
      </c>
      <c r="B48" s="8" t="s">
        <v>27</v>
      </c>
      <c r="D48" s="54">
        <v>21</v>
      </c>
      <c r="F48" s="43">
        <v>158181415.66</v>
      </c>
      <c r="G48" s="15">
        <f t="shared" si="38"/>
        <v>115526683.12460129</v>
      </c>
      <c r="H48" s="15">
        <f t="shared" si="38"/>
        <v>18108248.172830954</v>
      </c>
      <c r="I48" s="15">
        <f t="shared" si="38"/>
        <v>2322391.4985946612</v>
      </c>
      <c r="J48" s="15">
        <f t="shared" si="38"/>
        <v>29481.619275960766</v>
      </c>
      <c r="K48" s="15">
        <f t="shared" si="38"/>
        <v>0</v>
      </c>
      <c r="L48" s="15">
        <f t="shared" si="38"/>
        <v>0</v>
      </c>
      <c r="M48" s="15">
        <f t="shared" si="38"/>
        <v>0</v>
      </c>
      <c r="N48" s="15">
        <f t="shared" si="38"/>
        <v>0</v>
      </c>
      <c r="O48" s="15">
        <f t="shared" si="38"/>
        <v>0</v>
      </c>
      <c r="P48" s="15">
        <f t="shared" si="38"/>
        <v>0</v>
      </c>
      <c r="Q48" s="15">
        <f t="shared" si="38"/>
        <v>22194611.244697127</v>
      </c>
      <c r="R48" s="15">
        <f t="shared" si="38"/>
        <v>0</v>
      </c>
      <c r="U48" s="9">
        <f t="shared" si="28"/>
        <v>0</v>
      </c>
    </row>
    <row r="49" spans="1:21" x14ac:dyDescent="0.25">
      <c r="A49" s="37" t="s">
        <v>28</v>
      </c>
      <c r="B49" s="8" t="s">
        <v>29</v>
      </c>
      <c r="D49" s="54">
        <v>25</v>
      </c>
      <c r="F49" s="43">
        <v>295925429.44</v>
      </c>
      <c r="G49" s="15">
        <f t="shared" si="38"/>
        <v>217662652.45164084</v>
      </c>
      <c r="H49" s="15">
        <f t="shared" si="38"/>
        <v>42890899.34515518</v>
      </c>
      <c r="I49" s="15">
        <f t="shared" si="38"/>
        <v>25965513.2978139</v>
      </c>
      <c r="J49" s="15">
        <f t="shared" si="38"/>
        <v>8706892.3517976124</v>
      </c>
      <c r="K49" s="15">
        <f t="shared" si="38"/>
        <v>0</v>
      </c>
      <c r="L49" s="15">
        <f t="shared" si="38"/>
        <v>0</v>
      </c>
      <c r="M49" s="15">
        <f t="shared" si="38"/>
        <v>0</v>
      </c>
      <c r="N49" s="15">
        <f t="shared" si="38"/>
        <v>0</v>
      </c>
      <c r="O49" s="15">
        <f t="shared" si="38"/>
        <v>0</v>
      </c>
      <c r="P49" s="15">
        <f t="shared" si="38"/>
        <v>0</v>
      </c>
      <c r="Q49" s="15">
        <f t="shared" si="38"/>
        <v>681987.01044993114</v>
      </c>
      <c r="R49" s="15">
        <f t="shared" si="38"/>
        <v>17484.983142559689</v>
      </c>
      <c r="U49" s="9">
        <f t="shared" si="28"/>
        <v>0</v>
      </c>
    </row>
    <row r="50" spans="1:21" x14ac:dyDescent="0.25">
      <c r="A50" s="37">
        <v>368.03</v>
      </c>
      <c r="B50" s="8" t="s">
        <v>30</v>
      </c>
      <c r="D50" s="54">
        <v>41</v>
      </c>
      <c r="F50" s="43">
        <v>3221790.9</v>
      </c>
      <c r="G50" s="15">
        <f t="shared" si="38"/>
        <v>0</v>
      </c>
      <c r="H50" s="15">
        <f t="shared" si="38"/>
        <v>0</v>
      </c>
      <c r="I50" s="15">
        <f t="shared" si="38"/>
        <v>0</v>
      </c>
      <c r="J50" s="15">
        <f t="shared" si="38"/>
        <v>0</v>
      </c>
      <c r="K50" s="15">
        <f t="shared" si="38"/>
        <v>813608.53999999992</v>
      </c>
      <c r="L50" s="15">
        <f t="shared" si="38"/>
        <v>0</v>
      </c>
      <c r="M50" s="15">
        <f t="shared" si="38"/>
        <v>47249.630000000005</v>
      </c>
      <c r="N50" s="15">
        <f t="shared" si="38"/>
        <v>2341535.54</v>
      </c>
      <c r="O50" s="15">
        <f t="shared" si="38"/>
        <v>0</v>
      </c>
      <c r="P50" s="15">
        <f t="shared" si="38"/>
        <v>0</v>
      </c>
      <c r="Q50" s="15">
        <f t="shared" si="38"/>
        <v>0</v>
      </c>
      <c r="R50" s="15">
        <f t="shared" si="38"/>
        <v>19397.189999999999</v>
      </c>
      <c r="U50" s="9">
        <f t="shared" si="28"/>
        <v>0</v>
      </c>
    </row>
    <row r="51" spans="1:21" x14ac:dyDescent="0.25">
      <c r="A51" s="37" t="s">
        <v>31</v>
      </c>
      <c r="B51" s="8" t="s">
        <v>32</v>
      </c>
      <c r="D51" s="54">
        <v>20</v>
      </c>
      <c r="F51" s="43">
        <v>39681227</v>
      </c>
      <c r="G51" s="15">
        <f t="shared" si="38"/>
        <v>34421864.686668307</v>
      </c>
      <c r="H51" s="15">
        <f t="shared" si="38"/>
        <v>5076816.6766513577</v>
      </c>
      <c r="I51" s="15">
        <f t="shared" si="38"/>
        <v>179788.74464848876</v>
      </c>
      <c r="J51" s="15">
        <f t="shared" si="38"/>
        <v>2756.892031849773</v>
      </c>
      <c r="K51" s="15">
        <f t="shared" si="38"/>
        <v>0</v>
      </c>
      <c r="L51" s="15">
        <f t="shared" si="38"/>
        <v>0</v>
      </c>
      <c r="M51" s="15">
        <f t="shared" si="38"/>
        <v>0</v>
      </c>
      <c r="N51" s="15">
        <f t="shared" si="38"/>
        <v>0</v>
      </c>
      <c r="O51" s="15">
        <f t="shared" si="38"/>
        <v>0</v>
      </c>
      <c r="P51" s="15">
        <f t="shared" si="38"/>
        <v>0</v>
      </c>
      <c r="Q51" s="15">
        <f t="shared" si="38"/>
        <v>0</v>
      </c>
      <c r="R51" s="15">
        <f t="shared" si="38"/>
        <v>0</v>
      </c>
      <c r="U51" s="9">
        <f t="shared" si="28"/>
        <v>0</v>
      </c>
    </row>
    <row r="52" spans="1:21" x14ac:dyDescent="0.25">
      <c r="A52" s="37" t="s">
        <v>33</v>
      </c>
      <c r="B52" s="8" t="s">
        <v>34</v>
      </c>
      <c r="D52" s="54">
        <v>24</v>
      </c>
      <c r="F52" s="43">
        <v>141200591</v>
      </c>
      <c r="G52" s="15">
        <f t="shared" si="38"/>
        <v>141200591</v>
      </c>
      <c r="H52" s="15">
        <f t="shared" si="38"/>
        <v>0</v>
      </c>
      <c r="I52" s="15">
        <f t="shared" si="38"/>
        <v>0</v>
      </c>
      <c r="J52" s="15">
        <f t="shared" si="38"/>
        <v>0</v>
      </c>
      <c r="K52" s="15">
        <f t="shared" si="38"/>
        <v>0</v>
      </c>
      <c r="L52" s="15">
        <f t="shared" si="38"/>
        <v>0</v>
      </c>
      <c r="M52" s="15">
        <f t="shared" si="38"/>
        <v>0</v>
      </c>
      <c r="N52" s="15">
        <f t="shared" si="38"/>
        <v>0</v>
      </c>
      <c r="O52" s="15">
        <f t="shared" si="38"/>
        <v>0</v>
      </c>
      <c r="P52" s="15">
        <f t="shared" si="38"/>
        <v>0</v>
      </c>
      <c r="Q52" s="15">
        <f t="shared" si="38"/>
        <v>0</v>
      </c>
      <c r="R52" s="15">
        <f t="shared" si="38"/>
        <v>0</v>
      </c>
      <c r="U52" s="9">
        <f t="shared" si="28"/>
        <v>0</v>
      </c>
    </row>
    <row r="53" spans="1:21" x14ac:dyDescent="0.25">
      <c r="A53" s="37">
        <v>370.01</v>
      </c>
      <c r="B53" s="8" t="s">
        <v>35</v>
      </c>
      <c r="D53" s="54">
        <v>19</v>
      </c>
      <c r="F53" s="43">
        <v>136044280.14375001</v>
      </c>
      <c r="G53" s="15">
        <f t="shared" si="38"/>
        <v>88452023.525747895</v>
      </c>
      <c r="H53" s="15">
        <f t="shared" si="38"/>
        <v>25064056.785852611</v>
      </c>
      <c r="I53" s="15">
        <f t="shared" si="38"/>
        <v>6808147.5456820754</v>
      </c>
      <c r="J53" s="15">
        <f t="shared" si="38"/>
        <v>770934.07285703754</v>
      </c>
      <c r="K53" s="15">
        <f t="shared" si="38"/>
        <v>9567586.0425776914</v>
      </c>
      <c r="L53" s="15">
        <f t="shared" si="38"/>
        <v>22484.476366603812</v>
      </c>
      <c r="M53" s="15">
        <f t="shared" si="38"/>
        <v>3344153.1241300781</v>
      </c>
      <c r="N53" s="15">
        <f t="shared" si="38"/>
        <v>809283.09371419554</v>
      </c>
      <c r="O53" s="15">
        <f t="shared" si="38"/>
        <v>418776.31203883816</v>
      </c>
      <c r="P53" s="15">
        <f t="shared" si="38"/>
        <v>588094.24947242101</v>
      </c>
      <c r="Q53" s="15">
        <f t="shared" si="38"/>
        <v>0</v>
      </c>
      <c r="R53" s="15">
        <f t="shared" si="38"/>
        <v>198740.91531056986</v>
      </c>
      <c r="U53" s="9">
        <f t="shared" si="28"/>
        <v>0</v>
      </c>
    </row>
    <row r="54" spans="1:21" x14ac:dyDescent="0.25">
      <c r="A54" s="37">
        <v>373</v>
      </c>
      <c r="B54" s="8" t="s">
        <v>36</v>
      </c>
      <c r="D54" s="54">
        <v>12</v>
      </c>
      <c r="F54" s="43">
        <v>52258330.571666598</v>
      </c>
      <c r="G54" s="15">
        <f t="shared" si="38"/>
        <v>0</v>
      </c>
      <c r="H54" s="15">
        <f t="shared" si="38"/>
        <v>0</v>
      </c>
      <c r="I54" s="15">
        <f t="shared" si="38"/>
        <v>0</v>
      </c>
      <c r="J54" s="15">
        <f t="shared" si="38"/>
        <v>0</v>
      </c>
      <c r="K54" s="15">
        <f t="shared" si="38"/>
        <v>0</v>
      </c>
      <c r="L54" s="15">
        <f t="shared" si="38"/>
        <v>0</v>
      </c>
      <c r="M54" s="15">
        <f t="shared" si="38"/>
        <v>0</v>
      </c>
      <c r="N54" s="15">
        <f t="shared" si="38"/>
        <v>0</v>
      </c>
      <c r="O54" s="15">
        <f t="shared" si="38"/>
        <v>0</v>
      </c>
      <c r="P54" s="15">
        <f t="shared" si="38"/>
        <v>0</v>
      </c>
      <c r="Q54" s="15">
        <f t="shared" si="38"/>
        <v>52258330.571666598</v>
      </c>
      <c r="R54" s="15">
        <f t="shared" si="38"/>
        <v>0</v>
      </c>
      <c r="U54" s="9">
        <f t="shared" si="28"/>
        <v>0</v>
      </c>
    </row>
    <row r="55" spans="1:21" x14ac:dyDescent="0.25">
      <c r="A55" s="37">
        <v>374</v>
      </c>
      <c r="B55" s="10" t="s">
        <v>37</v>
      </c>
      <c r="C55" s="10"/>
      <c r="D55" s="56">
        <v>71</v>
      </c>
      <c r="E55" s="10"/>
      <c r="F55" s="44">
        <v>2659127.9012499899</v>
      </c>
      <c r="G55" s="45">
        <f t="shared" si="38"/>
        <v>1756702.8229471559</v>
      </c>
      <c r="H55" s="45">
        <f t="shared" si="38"/>
        <v>329012.73415876768</v>
      </c>
      <c r="I55" s="45">
        <f t="shared" si="38"/>
        <v>286695.59825422231</v>
      </c>
      <c r="J55" s="45">
        <f t="shared" si="38"/>
        <v>122000.75793494435</v>
      </c>
      <c r="K55" s="45">
        <f t="shared" si="38"/>
        <v>89254.316101060962</v>
      </c>
      <c r="L55" s="45">
        <f t="shared" si="38"/>
        <v>1341.8057345300469</v>
      </c>
      <c r="M55" s="45">
        <f t="shared" si="38"/>
        <v>28584.29541111763</v>
      </c>
      <c r="N55" s="45">
        <f t="shared" si="38"/>
        <v>35075.308447458381</v>
      </c>
      <c r="O55" s="45">
        <f t="shared" si="38"/>
        <v>7961.3617562831114</v>
      </c>
      <c r="P55" s="45">
        <f t="shared" si="38"/>
        <v>0</v>
      </c>
      <c r="Q55" s="45">
        <f t="shared" si="38"/>
        <v>1422.7521992381301</v>
      </c>
      <c r="R55" s="45">
        <f t="shared" si="38"/>
        <v>1076.1483052102035</v>
      </c>
      <c r="U55" s="9">
        <f t="shared" si="28"/>
        <v>0</v>
      </c>
    </row>
    <row r="56" spans="1:21" x14ac:dyDescent="0.25">
      <c r="B56" s="30" t="s">
        <v>8</v>
      </c>
      <c r="F56" s="46">
        <f>SUM(F35:F55)</f>
        <v>3527157160.6871805</v>
      </c>
      <c r="G56" s="46">
        <f t="shared" ref="G56:R56" si="39">SUM(G35:G55)</f>
        <v>2297509443.7289076</v>
      </c>
      <c r="H56" s="46">
        <f t="shared" si="39"/>
        <v>428319023.41192037</v>
      </c>
      <c r="I56" s="46">
        <f t="shared" si="39"/>
        <v>343101552.89962864</v>
      </c>
      <c r="J56" s="46">
        <f t="shared" si="39"/>
        <v>150165803.19580317</v>
      </c>
      <c r="K56" s="46">
        <f t="shared" si="39"/>
        <v>116388888.62240864</v>
      </c>
      <c r="L56" s="46">
        <f t="shared" ref="L56:M56" si="40">SUM(L35:L55)</f>
        <v>1240246.7501631279</v>
      </c>
      <c r="M56" s="46">
        <f t="shared" si="40"/>
        <v>30919611.337595645</v>
      </c>
      <c r="N56" s="46">
        <f t="shared" si="39"/>
        <v>51971299.359962955</v>
      </c>
      <c r="O56" s="46">
        <f t="shared" si="39"/>
        <v>22196387.318155434</v>
      </c>
      <c r="P56" s="46">
        <f t="shared" si="39"/>
        <v>7357965.4024387831</v>
      </c>
      <c r="Q56" s="46">
        <f t="shared" si="39"/>
        <v>76736834.86834909</v>
      </c>
      <c r="R56" s="46">
        <f t="shared" si="39"/>
        <v>1250103.460347346</v>
      </c>
      <c r="U56" s="9">
        <f t="shared" si="28"/>
        <v>-0.33150005340576172</v>
      </c>
    </row>
    <row r="57" spans="1:21" x14ac:dyDescent="0.25">
      <c r="F57" s="4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U57" s="9">
        <f t="shared" si="28"/>
        <v>0</v>
      </c>
    </row>
    <row r="58" spans="1:21" x14ac:dyDescent="0.25">
      <c r="B58" s="30" t="s">
        <v>7</v>
      </c>
      <c r="F58" s="4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U58" s="9">
        <f t="shared" si="28"/>
        <v>0</v>
      </c>
    </row>
    <row r="59" spans="1:21" x14ac:dyDescent="0.25">
      <c r="A59" s="37">
        <v>389</v>
      </c>
      <c r="B59" s="8" t="s">
        <v>38</v>
      </c>
      <c r="D59" s="54">
        <v>78</v>
      </c>
      <c r="F59" s="43">
        <v>34591566.081577167</v>
      </c>
      <c r="G59" s="15">
        <f t="shared" ref="G59:R69" si="41">INDEX(Alloc,($D59),(G$1))*$F59</f>
        <v>20648160.331970211</v>
      </c>
      <c r="H59" s="15">
        <f t="shared" si="41"/>
        <v>4335914.9027092913</v>
      </c>
      <c r="I59" s="15">
        <f t="shared" si="41"/>
        <v>3646558.1499348632</v>
      </c>
      <c r="J59" s="15">
        <f t="shared" si="41"/>
        <v>2150827.4253890989</v>
      </c>
      <c r="K59" s="15">
        <f t="shared" si="41"/>
        <v>1462996.0905221067</v>
      </c>
      <c r="L59" s="15">
        <f t="shared" si="41"/>
        <v>8403.1829801023523</v>
      </c>
      <c r="M59" s="15">
        <f t="shared" si="41"/>
        <v>200835.1984846355</v>
      </c>
      <c r="N59" s="15">
        <f t="shared" si="41"/>
        <v>746237.84553746367</v>
      </c>
      <c r="O59" s="15">
        <f t="shared" si="41"/>
        <v>595371.02297001798</v>
      </c>
      <c r="P59" s="15">
        <f t="shared" si="41"/>
        <v>364183.31783072057</v>
      </c>
      <c r="Q59" s="15">
        <f t="shared" si="41"/>
        <v>422118.3615606543</v>
      </c>
      <c r="R59" s="15">
        <f t="shared" si="41"/>
        <v>9960.2516879960622</v>
      </c>
      <c r="U59" s="9">
        <f t="shared" si="28"/>
        <v>0</v>
      </c>
    </row>
    <row r="60" spans="1:21" x14ac:dyDescent="0.25">
      <c r="A60" s="37">
        <v>390</v>
      </c>
      <c r="B60" s="8" t="s">
        <v>39</v>
      </c>
      <c r="D60" s="54">
        <v>78</v>
      </c>
      <c r="F60" s="43">
        <v>140669439.09722066</v>
      </c>
      <c r="G60" s="15">
        <f t="shared" si="41"/>
        <v>83967436.612667531</v>
      </c>
      <c r="H60" s="15">
        <f t="shared" si="41"/>
        <v>17632353.386342749</v>
      </c>
      <c r="I60" s="15">
        <f t="shared" si="41"/>
        <v>14829027.64150735</v>
      </c>
      <c r="J60" s="15">
        <f t="shared" si="41"/>
        <v>8746516.0383570902</v>
      </c>
      <c r="K60" s="15">
        <f t="shared" si="41"/>
        <v>5949393.5304876557</v>
      </c>
      <c r="L60" s="15">
        <f t="shared" si="41"/>
        <v>34172.232435346676</v>
      </c>
      <c r="M60" s="15">
        <f t="shared" si="41"/>
        <v>816712.79800363886</v>
      </c>
      <c r="N60" s="15">
        <f t="shared" si="41"/>
        <v>3034637.3713556733</v>
      </c>
      <c r="O60" s="15">
        <f t="shared" si="41"/>
        <v>2421125.0701521398</v>
      </c>
      <c r="P60" s="15">
        <f t="shared" si="41"/>
        <v>1480981.3157056272</v>
      </c>
      <c r="Q60" s="15">
        <f t="shared" si="41"/>
        <v>1716578.9202299018</v>
      </c>
      <c r="R60" s="15">
        <f t="shared" si="41"/>
        <v>40504.179975932144</v>
      </c>
      <c r="U60" s="9">
        <f t="shared" si="28"/>
        <v>0</v>
      </c>
    </row>
    <row r="61" spans="1:21" x14ac:dyDescent="0.25">
      <c r="A61" s="37">
        <v>391</v>
      </c>
      <c r="B61" s="8" t="s">
        <v>40</v>
      </c>
      <c r="D61" s="54">
        <v>78</v>
      </c>
      <c r="F61" s="43">
        <v>83991254.610513493</v>
      </c>
      <c r="G61" s="15">
        <f t="shared" si="41"/>
        <v>50135483.533509411</v>
      </c>
      <c r="H61" s="15">
        <f t="shared" si="41"/>
        <v>10527968.91890162</v>
      </c>
      <c r="I61" s="15">
        <f t="shared" si="41"/>
        <v>8854152.2896339949</v>
      </c>
      <c r="J61" s="15">
        <f t="shared" si="41"/>
        <v>5222391.3043746892</v>
      </c>
      <c r="K61" s="15">
        <f t="shared" si="41"/>
        <v>3552278.5190888233</v>
      </c>
      <c r="L61" s="15">
        <f t="shared" si="41"/>
        <v>20403.640574006942</v>
      </c>
      <c r="M61" s="15">
        <f t="shared" si="41"/>
        <v>487644.88577635796</v>
      </c>
      <c r="N61" s="15">
        <f t="shared" si="41"/>
        <v>1811928.7440391146</v>
      </c>
      <c r="O61" s="15">
        <f t="shared" si="41"/>
        <v>1445611.3105740221</v>
      </c>
      <c r="P61" s="15">
        <f t="shared" si="41"/>
        <v>884267.96580084099</v>
      </c>
      <c r="Q61" s="15">
        <f t="shared" si="41"/>
        <v>1024939.1628584283</v>
      </c>
      <c r="R61" s="15">
        <f t="shared" si="41"/>
        <v>24184.335382167563</v>
      </c>
      <c r="U61" s="9">
        <f t="shared" si="28"/>
        <v>0</v>
      </c>
    </row>
    <row r="62" spans="1:21" x14ac:dyDescent="0.25">
      <c r="A62" s="37">
        <v>392</v>
      </c>
      <c r="B62" s="8" t="s">
        <v>41</v>
      </c>
      <c r="D62" s="54">
        <v>78</v>
      </c>
      <c r="F62" s="43">
        <v>13379543.047083501</v>
      </c>
      <c r="G62" s="15">
        <f t="shared" si="41"/>
        <v>7986425.0538170906</v>
      </c>
      <c r="H62" s="15">
        <f t="shared" si="41"/>
        <v>1677072.3809520223</v>
      </c>
      <c r="I62" s="15">
        <f t="shared" si="41"/>
        <v>1410438.649284831</v>
      </c>
      <c r="J62" s="15">
        <f t="shared" si="41"/>
        <v>831910.5315144253</v>
      </c>
      <c r="K62" s="15">
        <f t="shared" si="41"/>
        <v>565866.81055993785</v>
      </c>
      <c r="L62" s="15">
        <f t="shared" si="41"/>
        <v>3250.2358566146963</v>
      </c>
      <c r="M62" s="15">
        <f t="shared" si="41"/>
        <v>77680.29863573685</v>
      </c>
      <c r="N62" s="15">
        <f t="shared" si="41"/>
        <v>288634.55774697667</v>
      </c>
      <c r="O62" s="15">
        <f t="shared" si="41"/>
        <v>230281.34118090506</v>
      </c>
      <c r="P62" s="15">
        <f t="shared" si="41"/>
        <v>140861.10951018429</v>
      </c>
      <c r="Q62" s="15">
        <f t="shared" si="41"/>
        <v>163269.58936019434</v>
      </c>
      <c r="R62" s="15">
        <f t="shared" si="41"/>
        <v>3852.4886645795195</v>
      </c>
      <c r="U62" s="9">
        <f t="shared" si="28"/>
        <v>0</v>
      </c>
    </row>
    <row r="63" spans="1:21" x14ac:dyDescent="0.25">
      <c r="A63" s="37">
        <v>393</v>
      </c>
      <c r="B63" s="8" t="s">
        <v>42</v>
      </c>
      <c r="D63" s="54">
        <v>75</v>
      </c>
      <c r="F63" s="43">
        <v>798002.50228599901</v>
      </c>
      <c r="G63" s="15">
        <f t="shared" si="41"/>
        <v>444394.61786630639</v>
      </c>
      <c r="H63" s="15">
        <f t="shared" si="41"/>
        <v>102276.58403132118</v>
      </c>
      <c r="I63" s="15">
        <f t="shared" si="41"/>
        <v>95958.291050771353</v>
      </c>
      <c r="J63" s="15">
        <f t="shared" si="41"/>
        <v>57076.953590327757</v>
      </c>
      <c r="K63" s="15">
        <f t="shared" si="41"/>
        <v>38833.794945294852</v>
      </c>
      <c r="L63" s="15">
        <f t="shared" si="41"/>
        <v>221.38995560341354</v>
      </c>
      <c r="M63" s="15">
        <f t="shared" si="41"/>
        <v>5269.0306521123675</v>
      </c>
      <c r="N63" s="15">
        <f t="shared" si="41"/>
        <v>19757.497111904093</v>
      </c>
      <c r="O63" s="15">
        <f t="shared" si="41"/>
        <v>15864.2062584411</v>
      </c>
      <c r="P63" s="15">
        <f t="shared" si="41"/>
        <v>9253.1476869364178</v>
      </c>
      <c r="Q63" s="15">
        <f t="shared" si="41"/>
        <v>8834.3104155383808</v>
      </c>
      <c r="R63" s="15">
        <f t="shared" si="41"/>
        <v>262.67872144157161</v>
      </c>
      <c r="U63" s="9">
        <f t="shared" si="28"/>
        <v>0</v>
      </c>
    </row>
    <row r="64" spans="1:21" x14ac:dyDescent="0.25">
      <c r="A64" s="37">
        <v>394</v>
      </c>
      <c r="B64" s="8" t="s">
        <v>43</v>
      </c>
      <c r="D64" s="54">
        <v>79</v>
      </c>
      <c r="F64" s="43">
        <v>13311690.639508801</v>
      </c>
      <c r="G64" s="15">
        <f t="shared" si="41"/>
        <v>7442054.4873388177</v>
      </c>
      <c r="H64" s="15">
        <f t="shared" si="41"/>
        <v>1703737.8136050375</v>
      </c>
      <c r="I64" s="15">
        <f t="shared" si="41"/>
        <v>1593200.5907622918</v>
      </c>
      <c r="J64" s="15">
        <f t="shared" si="41"/>
        <v>942801.18579006149</v>
      </c>
      <c r="K64" s="15">
        <f t="shared" si="41"/>
        <v>642738.686546718</v>
      </c>
      <c r="L64" s="15">
        <f t="shared" si="41"/>
        <v>3716.1136482507163</v>
      </c>
      <c r="M64" s="15">
        <f t="shared" si="41"/>
        <v>88568.795682637399</v>
      </c>
      <c r="N64" s="15">
        <f t="shared" si="41"/>
        <v>326354.8984877246</v>
      </c>
      <c r="O64" s="15">
        <f t="shared" si="41"/>
        <v>260288.02292040794</v>
      </c>
      <c r="P64" s="15">
        <f t="shared" si="41"/>
        <v>153102.33446524409</v>
      </c>
      <c r="Q64" s="15">
        <f t="shared" si="41"/>
        <v>150738.47196336451</v>
      </c>
      <c r="R64" s="15">
        <f t="shared" si="41"/>
        <v>4389.2382982462714</v>
      </c>
      <c r="U64" s="9">
        <f t="shared" si="28"/>
        <v>0</v>
      </c>
    </row>
    <row r="65" spans="1:21" x14ac:dyDescent="0.25">
      <c r="A65" s="37">
        <v>395</v>
      </c>
      <c r="B65" s="8" t="s">
        <v>44</v>
      </c>
      <c r="D65" s="54">
        <v>79</v>
      </c>
      <c r="F65" s="43">
        <v>12031126.7299999</v>
      </c>
      <c r="G65" s="15">
        <f t="shared" si="41"/>
        <v>6726140.4350095103</v>
      </c>
      <c r="H65" s="15">
        <f t="shared" si="41"/>
        <v>1539840.889130783</v>
      </c>
      <c r="I65" s="15">
        <f t="shared" si="41"/>
        <v>1439937.1749882505</v>
      </c>
      <c r="J65" s="15">
        <f t="shared" si="41"/>
        <v>852105.17992123077</v>
      </c>
      <c r="K65" s="15">
        <f t="shared" si="41"/>
        <v>580908.2258241683</v>
      </c>
      <c r="L65" s="15">
        <f t="shared" si="41"/>
        <v>3358.6293023135036</v>
      </c>
      <c r="M65" s="15">
        <f t="shared" si="41"/>
        <v>80048.615464263698</v>
      </c>
      <c r="N65" s="15">
        <f t="shared" si="41"/>
        <v>294960.06547872658</v>
      </c>
      <c r="O65" s="15">
        <f t="shared" si="41"/>
        <v>235248.7204564499</v>
      </c>
      <c r="P65" s="15">
        <f t="shared" si="41"/>
        <v>138374.12831268684</v>
      </c>
      <c r="Q65" s="15">
        <f t="shared" si="41"/>
        <v>136237.66570229543</v>
      </c>
      <c r="R65" s="15">
        <f t="shared" si="41"/>
        <v>3967.0004092221434</v>
      </c>
      <c r="U65" s="9">
        <f t="shared" si="28"/>
        <v>0</v>
      </c>
    </row>
    <row r="66" spans="1:21" x14ac:dyDescent="0.25">
      <c r="A66" s="37">
        <v>396</v>
      </c>
      <c r="B66" s="8" t="s">
        <v>45</v>
      </c>
      <c r="D66" s="54">
        <v>79</v>
      </c>
      <c r="F66" s="43">
        <v>6323256.5831426596</v>
      </c>
      <c r="G66" s="15">
        <f t="shared" si="41"/>
        <v>3535089.6669356483</v>
      </c>
      <c r="H66" s="15">
        <f t="shared" si="41"/>
        <v>809301.51079777966</v>
      </c>
      <c r="I66" s="15">
        <f t="shared" si="41"/>
        <v>756794.63988626562</v>
      </c>
      <c r="J66" s="15">
        <f t="shared" si="41"/>
        <v>447844.97822897823</v>
      </c>
      <c r="K66" s="15">
        <f t="shared" si="41"/>
        <v>305310.70327645243</v>
      </c>
      <c r="L66" s="15">
        <f t="shared" si="41"/>
        <v>1765.2108005174239</v>
      </c>
      <c r="M66" s="15">
        <f t="shared" si="41"/>
        <v>42071.532123730271</v>
      </c>
      <c r="N66" s="15">
        <f t="shared" si="41"/>
        <v>155023.56659180194</v>
      </c>
      <c r="O66" s="15">
        <f t="shared" si="41"/>
        <v>123640.79056643321</v>
      </c>
      <c r="P66" s="15">
        <f t="shared" si="41"/>
        <v>72725.94973237651</v>
      </c>
      <c r="Q66" s="15">
        <f t="shared" si="41"/>
        <v>71603.078901657922</v>
      </c>
      <c r="R66" s="15">
        <f t="shared" si="41"/>
        <v>2084.9553010189056</v>
      </c>
      <c r="U66" s="9">
        <f t="shared" si="28"/>
        <v>0</v>
      </c>
    </row>
    <row r="67" spans="1:21" x14ac:dyDescent="0.25">
      <c r="A67" s="37">
        <v>397</v>
      </c>
      <c r="B67" s="8" t="s">
        <v>46</v>
      </c>
      <c r="D67" s="54">
        <v>78</v>
      </c>
      <c r="F67" s="43">
        <v>147993975.31044</v>
      </c>
      <c r="G67" s="15">
        <f t="shared" si="41"/>
        <v>88339548.523738876</v>
      </c>
      <c r="H67" s="15">
        <f t="shared" si="41"/>
        <v>18550454.800064102</v>
      </c>
      <c r="I67" s="15">
        <f t="shared" si="41"/>
        <v>15601162.304616256</v>
      </c>
      <c r="J67" s="15">
        <f t="shared" si="41"/>
        <v>9201939.5750797577</v>
      </c>
      <c r="K67" s="15">
        <f t="shared" si="41"/>
        <v>6259173.3137896471</v>
      </c>
      <c r="L67" s="15">
        <f t="shared" si="41"/>
        <v>35951.55106749291</v>
      </c>
      <c r="M67" s="15">
        <f t="shared" si="41"/>
        <v>859238.32809154224</v>
      </c>
      <c r="N67" s="15">
        <f t="shared" si="41"/>
        <v>3192648.3186028679</v>
      </c>
      <c r="O67" s="15">
        <f t="shared" si="41"/>
        <v>2547190.9616981093</v>
      </c>
      <c r="P67" s="15">
        <f t="shared" si="41"/>
        <v>1558094.7338553227</v>
      </c>
      <c r="Q67" s="15">
        <f t="shared" si="41"/>
        <v>1805959.7021876888</v>
      </c>
      <c r="R67" s="15">
        <f t="shared" si="41"/>
        <v>42613.197648316753</v>
      </c>
      <c r="U67" s="9">
        <f t="shared" si="28"/>
        <v>0</v>
      </c>
    </row>
    <row r="68" spans="1:21" x14ac:dyDescent="0.25">
      <c r="A68" s="37">
        <v>398</v>
      </c>
      <c r="B68" s="8" t="s">
        <v>47</v>
      </c>
      <c r="D68" s="54">
        <v>78</v>
      </c>
      <c r="F68" s="43">
        <v>967417.93570825004</v>
      </c>
      <c r="G68" s="15">
        <f t="shared" si="41"/>
        <v>577464.47782733163</v>
      </c>
      <c r="H68" s="15">
        <f t="shared" si="41"/>
        <v>121261.98145216818</v>
      </c>
      <c r="I68" s="15">
        <f t="shared" si="41"/>
        <v>101982.8286909766</v>
      </c>
      <c r="J68" s="15">
        <f t="shared" si="41"/>
        <v>60151.917465303231</v>
      </c>
      <c r="K68" s="15">
        <f t="shared" si="41"/>
        <v>40915.425873011125</v>
      </c>
      <c r="L68" s="15">
        <f t="shared" si="41"/>
        <v>235.01075125704941</v>
      </c>
      <c r="M68" s="15">
        <f t="shared" si="41"/>
        <v>5616.7324913062803</v>
      </c>
      <c r="N68" s="15">
        <f t="shared" si="41"/>
        <v>20869.939058980868</v>
      </c>
      <c r="O68" s="15">
        <f t="shared" si="41"/>
        <v>16650.66579130444</v>
      </c>
      <c r="P68" s="15">
        <f t="shared" si="41"/>
        <v>10185.068600950537</v>
      </c>
      <c r="Q68" s="15">
        <f t="shared" si="41"/>
        <v>11805.330611586403</v>
      </c>
      <c r="R68" s="15">
        <f t="shared" si="41"/>
        <v>278.5570940735052</v>
      </c>
      <c r="U68" s="9">
        <f t="shared" si="28"/>
        <v>0</v>
      </c>
    </row>
    <row r="69" spans="1:21" x14ac:dyDescent="0.25">
      <c r="A69" s="37">
        <v>399</v>
      </c>
      <c r="B69" s="10" t="s">
        <v>48</v>
      </c>
      <c r="C69" s="10"/>
      <c r="D69" s="56">
        <v>78</v>
      </c>
      <c r="E69" s="10"/>
      <c r="F69" s="44">
        <v>545833.37664433336</v>
      </c>
      <c r="G69" s="45">
        <f t="shared" si="41"/>
        <v>325815.11484371091</v>
      </c>
      <c r="H69" s="45">
        <f t="shared" si="41"/>
        <v>68418.037697597989</v>
      </c>
      <c r="I69" s="45">
        <f t="shared" si="41"/>
        <v>57540.417320651963</v>
      </c>
      <c r="J69" s="45">
        <f t="shared" si="41"/>
        <v>33938.717703926603</v>
      </c>
      <c r="K69" s="45">
        <f t="shared" si="41"/>
        <v>23085.167471860561</v>
      </c>
      <c r="L69" s="45">
        <f t="shared" si="41"/>
        <v>132.5969957466676</v>
      </c>
      <c r="M69" s="45">
        <f t="shared" si="41"/>
        <v>3169.0543954957411</v>
      </c>
      <c r="N69" s="45">
        <f t="shared" si="41"/>
        <v>11775.168607542122</v>
      </c>
      <c r="O69" s="45">
        <f t="shared" si="41"/>
        <v>9394.5840745554087</v>
      </c>
      <c r="P69" s="45">
        <f t="shared" si="41"/>
        <v>5746.5860210054807</v>
      </c>
      <c r="Q69" s="45">
        <f t="shared" si="41"/>
        <v>6660.7649416872064</v>
      </c>
      <c r="R69" s="45">
        <f t="shared" si="41"/>
        <v>157.16657055263437</v>
      </c>
      <c r="U69" s="9">
        <f t="shared" si="28"/>
        <v>0</v>
      </c>
    </row>
    <row r="70" spans="1:21" x14ac:dyDescent="0.25">
      <c r="B70" s="30" t="s">
        <v>8</v>
      </c>
      <c r="F70" s="46">
        <f>SUM(F59:F69)</f>
        <v>454603105.91412473</v>
      </c>
      <c r="G70" s="46">
        <f t="shared" ref="G70:R70" si="42">SUM(G59:G69)</f>
        <v>270128012.85552442</v>
      </c>
      <c r="H70" s="46">
        <f t="shared" si="42"/>
        <v>57068601.205684476</v>
      </c>
      <c r="I70" s="46">
        <f t="shared" si="42"/>
        <v>48386752.977676503</v>
      </c>
      <c r="J70" s="46">
        <f t="shared" si="42"/>
        <v>28547503.807414893</v>
      </c>
      <c r="K70" s="46">
        <f t="shared" si="42"/>
        <v>19421500.268385675</v>
      </c>
      <c r="L70" s="46">
        <f t="shared" ref="L70:M70" si="43">SUM(L59:L69)</f>
        <v>111609.79436725237</v>
      </c>
      <c r="M70" s="46">
        <f t="shared" si="43"/>
        <v>2666855.2698014574</v>
      </c>
      <c r="N70" s="46">
        <f t="shared" si="42"/>
        <v>9902827.9726187754</v>
      </c>
      <c r="O70" s="46">
        <f t="shared" si="42"/>
        <v>7900666.6966427863</v>
      </c>
      <c r="P70" s="46">
        <f t="shared" si="42"/>
        <v>4817775.6575218961</v>
      </c>
      <c r="Q70" s="46">
        <f t="shared" si="42"/>
        <v>5518745.3587329974</v>
      </c>
      <c r="R70" s="46">
        <f t="shared" si="42"/>
        <v>132254.04975354706</v>
      </c>
      <c r="U70" s="9">
        <f t="shared" si="28"/>
        <v>0</v>
      </c>
    </row>
    <row r="71" spans="1:21" ht="16.5" thickBot="1" x14ac:dyDescent="0.3">
      <c r="B71" s="12"/>
      <c r="C71" s="12"/>
      <c r="D71" s="59"/>
      <c r="E71" s="12"/>
      <c r="F71" s="51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U71" s="9">
        <f t="shared" si="28"/>
        <v>0</v>
      </c>
    </row>
    <row r="72" spans="1:21" ht="16.5" thickTop="1" x14ac:dyDescent="0.25">
      <c r="B72" s="30" t="s">
        <v>49</v>
      </c>
      <c r="F72" s="46">
        <f>SUM(F15,F20,F32,F56,F70)</f>
        <v>9523077020.3544521</v>
      </c>
      <c r="G72" s="46">
        <f t="shared" ref="G72:R72" si="44">SUM(G15,G20,G32,G56,G70)</f>
        <v>5321589444.2375336</v>
      </c>
      <c r="H72" s="46">
        <f t="shared" si="44"/>
        <v>1219320675.762578</v>
      </c>
      <c r="I72" s="46">
        <f t="shared" si="44"/>
        <v>1137795633.3255343</v>
      </c>
      <c r="J72" s="46">
        <f t="shared" si="44"/>
        <v>677339076.03743565</v>
      </c>
      <c r="K72" s="46">
        <f t="shared" si="44"/>
        <v>460608059.75831831</v>
      </c>
      <c r="L72" s="46">
        <f t="shared" ref="L72:M72" si="45">SUM(L15,L20,L32,L56,L70)</f>
        <v>2617608.5945459227</v>
      </c>
      <c r="M72" s="46">
        <f t="shared" si="45"/>
        <v>62290004.741609193</v>
      </c>
      <c r="N72" s="46">
        <f t="shared" si="44"/>
        <v>234493893.72138694</v>
      </c>
      <c r="O72" s="46">
        <f t="shared" si="44"/>
        <v>188538344.00292766</v>
      </c>
      <c r="P72" s="46">
        <f t="shared" si="44"/>
        <v>109891665.2819345</v>
      </c>
      <c r="Q72" s="46">
        <f t="shared" si="44"/>
        <v>105483403.32085669</v>
      </c>
      <c r="R72" s="46">
        <f t="shared" si="44"/>
        <v>3109211.2382911551</v>
      </c>
      <c r="U72" s="9">
        <f t="shared" si="28"/>
        <v>-0.33150100708007813</v>
      </c>
    </row>
    <row r="73" spans="1:21" x14ac:dyDescent="0.25">
      <c r="F73" s="43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U73" s="9">
        <f t="shared" si="28"/>
        <v>0</v>
      </c>
    </row>
    <row r="74" spans="1:21" x14ac:dyDescent="0.25">
      <c r="A74" s="29" t="s">
        <v>50</v>
      </c>
      <c r="F74" s="4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U74" s="9">
        <f t="shared" si="28"/>
        <v>0</v>
      </c>
    </row>
    <row r="75" spans="1:21" x14ac:dyDescent="0.25">
      <c r="F75" s="4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U75" s="9">
        <f t="shared" si="28"/>
        <v>0</v>
      </c>
    </row>
    <row r="76" spans="1:21" x14ac:dyDescent="0.25">
      <c r="B76" s="8" t="s">
        <v>4</v>
      </c>
      <c r="F76" s="4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U76" s="9">
        <f t="shared" si="28"/>
        <v>0</v>
      </c>
    </row>
    <row r="77" spans="1:21" x14ac:dyDescent="0.25">
      <c r="A77" s="37">
        <v>111</v>
      </c>
      <c r="B77" s="8" t="s">
        <v>51</v>
      </c>
      <c r="D77" s="54">
        <v>73</v>
      </c>
      <c r="F77" s="43">
        <v>-9768706.2646949999</v>
      </c>
      <c r="G77" s="15">
        <f t="shared" ref="G77:R79" si="46">INDEX(Alloc,($D77),(G$1))*$F77</f>
        <v>-4911197.5371628813</v>
      </c>
      <c r="H77" s="15">
        <f t="shared" si="46"/>
        <v>-1319654.5292976475</v>
      </c>
      <c r="I77" s="15">
        <f t="shared" si="46"/>
        <v>-1348892.26714788</v>
      </c>
      <c r="J77" s="15">
        <f t="shared" si="46"/>
        <v>-903966.77161608113</v>
      </c>
      <c r="K77" s="15">
        <f t="shared" si="46"/>
        <v>-588232.41643487429</v>
      </c>
      <c r="L77" s="15">
        <f t="shared" si="46"/>
        <v>-2266.3398534092403</v>
      </c>
      <c r="M77" s="15">
        <f t="shared" si="46"/>
        <v>-51295.476595913446</v>
      </c>
      <c r="N77" s="15">
        <f t="shared" si="46"/>
        <v>-312930.73648323969</v>
      </c>
      <c r="O77" s="15">
        <f t="shared" si="46"/>
        <v>-288088.91645212029</v>
      </c>
      <c r="P77" s="15">
        <f t="shared" si="46"/>
        <v>0</v>
      </c>
      <c r="Q77" s="15">
        <f t="shared" si="46"/>
        <v>-39074.825058780007</v>
      </c>
      <c r="R77" s="15">
        <f t="shared" si="46"/>
        <v>-3106.4485921730102</v>
      </c>
      <c r="U77" s="9">
        <f t="shared" ref="U77:U140" si="47">SUM(G77:R77)-F77</f>
        <v>0</v>
      </c>
    </row>
    <row r="78" spans="1:21" x14ac:dyDescent="0.25">
      <c r="A78" s="37">
        <v>111.01</v>
      </c>
      <c r="B78" s="8" t="s">
        <v>52</v>
      </c>
      <c r="D78" s="54">
        <v>82</v>
      </c>
      <c r="F78" s="43">
        <v>-9434100.5500000026</v>
      </c>
      <c r="G78" s="15">
        <f t="shared" si="46"/>
        <v>-4419520.7756414907</v>
      </c>
      <c r="H78" s="15">
        <f t="shared" si="46"/>
        <v>-1187539.4065842307</v>
      </c>
      <c r="I78" s="15">
        <f t="shared" si="46"/>
        <v>-1213850.0546255854</v>
      </c>
      <c r="J78" s="15">
        <f t="shared" si="46"/>
        <v>-813467.57026489708</v>
      </c>
      <c r="K78" s="15">
        <f t="shared" si="46"/>
        <v>-529342.4598924868</v>
      </c>
      <c r="L78" s="15">
        <f t="shared" si="46"/>
        <v>-2039.448829132738</v>
      </c>
      <c r="M78" s="15">
        <f t="shared" si="46"/>
        <v>-46160.111214551747</v>
      </c>
      <c r="N78" s="15">
        <f t="shared" si="46"/>
        <v>-281602.17151912983</v>
      </c>
      <c r="O78" s="15">
        <f t="shared" si="46"/>
        <v>-259247.35094807576</v>
      </c>
      <c r="P78" s="15">
        <f t="shared" si="46"/>
        <v>-643372.83822095871</v>
      </c>
      <c r="Q78" s="15">
        <f t="shared" si="46"/>
        <v>-35162.910847116174</v>
      </c>
      <c r="R78" s="15">
        <f t="shared" si="46"/>
        <v>-2795.4514123457357</v>
      </c>
      <c r="U78" s="9">
        <f t="shared" si="47"/>
        <v>0</v>
      </c>
    </row>
    <row r="79" spans="1:21" x14ac:dyDescent="0.25">
      <c r="A79" s="37">
        <v>111.02</v>
      </c>
      <c r="B79" s="10" t="s">
        <v>53</v>
      </c>
      <c r="C79" s="10"/>
      <c r="D79" s="56">
        <v>70</v>
      </c>
      <c r="E79" s="10"/>
      <c r="F79" s="44">
        <v>-57900107</v>
      </c>
      <c r="G79" s="45">
        <f t="shared" si="46"/>
        <v>-34404606.225868478</v>
      </c>
      <c r="H79" s="45">
        <f t="shared" si="46"/>
        <v>-7268489.9710598206</v>
      </c>
      <c r="I79" s="45">
        <f t="shared" si="46"/>
        <v>-6162734.3463844825</v>
      </c>
      <c r="J79" s="45">
        <f t="shared" si="46"/>
        <v>-3635926.5995522398</v>
      </c>
      <c r="K79" s="45">
        <f t="shared" si="46"/>
        <v>-2473601.5416764021</v>
      </c>
      <c r="L79" s="45">
        <f t="shared" si="46"/>
        <v>-14215.078938181814</v>
      </c>
      <c r="M79" s="45">
        <f t="shared" si="46"/>
        <v>-339661.57174514956</v>
      </c>
      <c r="N79" s="45">
        <f t="shared" si="46"/>
        <v>-1261264.5882923901</v>
      </c>
      <c r="O79" s="45">
        <f t="shared" si="46"/>
        <v>-1006261.1565028921</v>
      </c>
      <c r="P79" s="45">
        <f t="shared" si="46"/>
        <v>-613611.57115632913</v>
      </c>
      <c r="Q79" s="45">
        <f t="shared" si="46"/>
        <v>-702889.93326137739</v>
      </c>
      <c r="R79" s="45">
        <f t="shared" si="46"/>
        <v>-16844.415562264589</v>
      </c>
      <c r="U79" s="9">
        <f t="shared" si="47"/>
        <v>0</v>
      </c>
    </row>
    <row r="80" spans="1:21" x14ac:dyDescent="0.25">
      <c r="B80" s="30" t="s">
        <v>8</v>
      </c>
      <c r="F80" s="46">
        <f>SUM(F77:F79)</f>
        <v>-77102913.814695001</v>
      </c>
      <c r="G80" s="46">
        <f t="shared" ref="G80:S80" si="48">SUM(G77:G79)</f>
        <v>-43735324.53867285</v>
      </c>
      <c r="H80" s="46">
        <f t="shared" si="48"/>
        <v>-9775683.9069416989</v>
      </c>
      <c r="I80" s="46">
        <f t="shared" si="48"/>
        <v>-8725476.6681579482</v>
      </c>
      <c r="J80" s="46">
        <f t="shared" si="48"/>
        <v>-5353360.9414332174</v>
      </c>
      <c r="K80" s="46">
        <f t="shared" si="48"/>
        <v>-3591176.4180037631</v>
      </c>
      <c r="L80" s="46">
        <f t="shared" ref="L80:M80" si="49">SUM(L77:L79)</f>
        <v>-18520.867620723791</v>
      </c>
      <c r="M80" s="46">
        <f t="shared" si="49"/>
        <v>-437117.15955561475</v>
      </c>
      <c r="N80" s="46">
        <f t="shared" si="48"/>
        <v>-1855797.4962947597</v>
      </c>
      <c r="O80" s="46">
        <f t="shared" si="48"/>
        <v>-1553597.4239030881</v>
      </c>
      <c r="P80" s="46">
        <f t="shared" si="48"/>
        <v>-1256984.4093772878</v>
      </c>
      <c r="Q80" s="46">
        <f t="shared" si="48"/>
        <v>-777127.66916727356</v>
      </c>
      <c r="R80" s="46">
        <f t="shared" si="48"/>
        <v>-22746.315566783334</v>
      </c>
      <c r="S80" s="38">
        <f t="shared" si="48"/>
        <v>0</v>
      </c>
      <c r="U80" s="9">
        <f t="shared" si="47"/>
        <v>0</v>
      </c>
    </row>
    <row r="81" spans="1:21" x14ac:dyDescent="0.25">
      <c r="F81" s="4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U81" s="9">
        <f t="shared" si="47"/>
        <v>0</v>
      </c>
    </row>
    <row r="82" spans="1:21" x14ac:dyDescent="0.25">
      <c r="B82" s="30" t="s">
        <v>5</v>
      </c>
      <c r="F82" s="43">
        <v>0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U82" s="9">
        <f t="shared" si="47"/>
        <v>0</v>
      </c>
    </row>
    <row r="83" spans="1:21" x14ac:dyDescent="0.25">
      <c r="A83" s="37">
        <v>108.01</v>
      </c>
      <c r="B83" s="8" t="s">
        <v>54</v>
      </c>
      <c r="D83" s="54">
        <v>89</v>
      </c>
      <c r="F83" s="43">
        <v>-849906233.73617113</v>
      </c>
      <c r="G83" s="15">
        <f t="shared" ref="G83:R85" si="50">INDEX(Alloc,($D83),(G$1))*$F83</f>
        <v>-426063944.31557876</v>
      </c>
      <c r="H83" s="15">
        <f t="shared" si="50"/>
        <v>-115072204.61047517</v>
      </c>
      <c r="I83" s="15">
        <f t="shared" si="50"/>
        <v>-118114868.92725065</v>
      </c>
      <c r="J83" s="15">
        <f t="shared" si="50"/>
        <v>-79023431.706555471</v>
      </c>
      <c r="K83" s="15">
        <f t="shared" si="50"/>
        <v>-51228948.144681461</v>
      </c>
      <c r="L83" s="15">
        <f t="shared" si="50"/>
        <v>-202277.68362920877</v>
      </c>
      <c r="M83" s="15">
        <f t="shared" si="50"/>
        <v>-4444159.6962064393</v>
      </c>
      <c r="N83" s="15">
        <f t="shared" si="50"/>
        <v>-27224196.479037039</v>
      </c>
      <c r="O83" s="15">
        <f t="shared" si="50"/>
        <v>-24969395.240934972</v>
      </c>
      <c r="P83" s="15">
        <f t="shared" si="50"/>
        <v>0</v>
      </c>
      <c r="Q83" s="15">
        <f t="shared" si="50"/>
        <v>-3301885.7180650253</v>
      </c>
      <c r="R83" s="15">
        <f t="shared" si="50"/>
        <v>-260921.21375700456</v>
      </c>
      <c r="U83" s="9">
        <f t="shared" si="47"/>
        <v>0</v>
      </c>
    </row>
    <row r="84" spans="1:21" x14ac:dyDescent="0.25">
      <c r="A84" s="37">
        <v>108.02</v>
      </c>
      <c r="B84" s="8" t="s">
        <v>55</v>
      </c>
      <c r="D84" s="54">
        <v>89</v>
      </c>
      <c r="F84" s="43">
        <v>-142074117.2418308</v>
      </c>
      <c r="G84" s="15">
        <f t="shared" si="50"/>
        <v>-71222749.492150486</v>
      </c>
      <c r="H84" s="15">
        <f t="shared" si="50"/>
        <v>-19235983.02984044</v>
      </c>
      <c r="I84" s="15">
        <f t="shared" si="50"/>
        <v>-19744608.369566195</v>
      </c>
      <c r="J84" s="15">
        <f t="shared" si="50"/>
        <v>-13209909.347028188</v>
      </c>
      <c r="K84" s="15">
        <f t="shared" si="50"/>
        <v>-8563659.4908685945</v>
      </c>
      <c r="L84" s="15">
        <f t="shared" si="50"/>
        <v>-33813.639903555733</v>
      </c>
      <c r="M84" s="15">
        <f t="shared" si="50"/>
        <v>-742905.55905753339</v>
      </c>
      <c r="N84" s="15">
        <f t="shared" si="50"/>
        <v>-4550918.1234903252</v>
      </c>
      <c r="O84" s="15">
        <f t="shared" si="50"/>
        <v>-4173995.4904477471</v>
      </c>
      <c r="P84" s="15">
        <f t="shared" si="50"/>
        <v>0</v>
      </c>
      <c r="Q84" s="15">
        <f t="shared" si="50"/>
        <v>-551957.94548451272</v>
      </c>
      <c r="R84" s="15">
        <f t="shared" si="50"/>
        <v>-43616.753993242062</v>
      </c>
      <c r="U84" s="9">
        <f t="shared" si="47"/>
        <v>0</v>
      </c>
    </row>
    <row r="85" spans="1:21" x14ac:dyDescent="0.25">
      <c r="A85" s="37">
        <v>108.03</v>
      </c>
      <c r="B85" s="10" t="s">
        <v>56</v>
      </c>
      <c r="C85" s="10"/>
      <c r="D85" s="56">
        <v>89</v>
      </c>
      <c r="E85" s="10"/>
      <c r="F85" s="44">
        <v>-675730421.05950725</v>
      </c>
      <c r="G85" s="45">
        <f t="shared" si="50"/>
        <v>-338748390.19007844</v>
      </c>
      <c r="H85" s="45">
        <f t="shared" si="50"/>
        <v>-91489844.628930941</v>
      </c>
      <c r="I85" s="45">
        <f t="shared" si="50"/>
        <v>-93908959.536323965</v>
      </c>
      <c r="J85" s="45">
        <f t="shared" si="50"/>
        <v>-62828738.819691941</v>
      </c>
      <c r="K85" s="45">
        <f t="shared" si="50"/>
        <v>-40730326.859782867</v>
      </c>
      <c r="L85" s="45">
        <f t="shared" si="50"/>
        <v>-160823.84021216276</v>
      </c>
      <c r="M85" s="45">
        <f t="shared" si="50"/>
        <v>-3533394.3717201641</v>
      </c>
      <c r="N85" s="45">
        <f t="shared" si="50"/>
        <v>-21644996.847378138</v>
      </c>
      <c r="O85" s="45">
        <f t="shared" si="50"/>
        <v>-19852284.040307265</v>
      </c>
      <c r="P85" s="45">
        <f t="shared" si="50"/>
        <v>0</v>
      </c>
      <c r="Q85" s="45">
        <f t="shared" si="50"/>
        <v>-2625212.685816186</v>
      </c>
      <c r="R85" s="45">
        <f t="shared" si="50"/>
        <v>-207449.23926526876</v>
      </c>
      <c r="U85" s="9">
        <f t="shared" si="47"/>
        <v>0</v>
      </c>
    </row>
    <row r="86" spans="1:21" x14ac:dyDescent="0.25">
      <c r="B86" s="30" t="s">
        <v>8</v>
      </c>
      <c r="F86" s="46">
        <f>SUM(F83:F85)</f>
        <v>-1667710772.0375092</v>
      </c>
      <c r="G86" s="46">
        <f t="shared" ref="G86:S86" si="51">SUM(G83:G85)</f>
        <v>-836035083.99780774</v>
      </c>
      <c r="H86" s="46">
        <f t="shared" si="51"/>
        <v>-225798032.26924652</v>
      </c>
      <c r="I86" s="46">
        <f t="shared" si="51"/>
        <v>-231768436.83314082</v>
      </c>
      <c r="J86" s="46">
        <f t="shared" si="51"/>
        <v>-155062079.87327558</v>
      </c>
      <c r="K86" s="46">
        <f t="shared" si="51"/>
        <v>-100522934.49533293</v>
      </c>
      <c r="L86" s="46">
        <f t="shared" ref="L86:M86" si="52">SUM(L83:L85)</f>
        <v>-396915.16374492727</v>
      </c>
      <c r="M86" s="46">
        <f t="shared" si="52"/>
        <v>-8720459.626984138</v>
      </c>
      <c r="N86" s="46">
        <f t="shared" si="51"/>
        <v>-53420111.4499055</v>
      </c>
      <c r="O86" s="46">
        <f t="shared" si="51"/>
        <v>-48995674.771689981</v>
      </c>
      <c r="P86" s="46">
        <f t="shared" si="51"/>
        <v>0</v>
      </c>
      <c r="Q86" s="46">
        <f t="shared" si="51"/>
        <v>-6479056.3493657243</v>
      </c>
      <c r="R86" s="46">
        <f t="shared" si="51"/>
        <v>-511987.20701551542</v>
      </c>
      <c r="S86" s="38">
        <f t="shared" si="51"/>
        <v>0</v>
      </c>
      <c r="U86" s="9">
        <f t="shared" si="47"/>
        <v>0</v>
      </c>
    </row>
    <row r="87" spans="1:21" x14ac:dyDescent="0.25">
      <c r="F87" s="43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U87" s="9">
        <f t="shared" si="47"/>
        <v>0</v>
      </c>
    </row>
    <row r="88" spans="1:21" x14ac:dyDescent="0.25">
      <c r="B88" s="30" t="s">
        <v>57</v>
      </c>
      <c r="F88" s="4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U88" s="9">
        <f t="shared" si="47"/>
        <v>0</v>
      </c>
    </row>
    <row r="89" spans="1:21" x14ac:dyDescent="0.25">
      <c r="A89" s="37" t="s">
        <v>58</v>
      </c>
      <c r="B89" s="8" t="s">
        <v>59</v>
      </c>
      <c r="D89" s="54">
        <v>89</v>
      </c>
      <c r="F89" s="43">
        <v>-48274493</v>
      </c>
      <c r="G89" s="15">
        <f t="shared" ref="G89:R90" si="53">INDEX(Alloc,($D89),(G$1))*$F89</f>
        <v>-24200341.262351003</v>
      </c>
      <c r="H89" s="15">
        <f t="shared" si="53"/>
        <v>-6536076.7052420005</v>
      </c>
      <c r="I89" s="15">
        <f t="shared" si="53"/>
        <v>-6708899.3901820006</v>
      </c>
      <c r="J89" s="15">
        <f t="shared" si="53"/>
        <v>-4488514.0846470008</v>
      </c>
      <c r="K89" s="15">
        <f t="shared" si="53"/>
        <v>-2909793.3400680004</v>
      </c>
      <c r="L89" s="15">
        <f t="shared" si="53"/>
        <v>-11489.329334000002</v>
      </c>
      <c r="M89" s="15">
        <f t="shared" si="53"/>
        <v>-252427.32389700005</v>
      </c>
      <c r="N89" s="15">
        <f t="shared" si="53"/>
        <v>-1546328.5597760002</v>
      </c>
      <c r="O89" s="15">
        <f t="shared" si="53"/>
        <v>-1418256.3298470001</v>
      </c>
      <c r="P89" s="15">
        <f t="shared" si="53"/>
        <v>0</v>
      </c>
      <c r="Q89" s="15">
        <f t="shared" si="53"/>
        <v>-187546.40530500002</v>
      </c>
      <c r="R89" s="15">
        <f t="shared" si="53"/>
        <v>-14820.269351000001</v>
      </c>
      <c r="U89" s="9">
        <f t="shared" si="47"/>
        <v>0</v>
      </c>
    </row>
    <row r="90" spans="1:21" x14ac:dyDescent="0.25">
      <c r="A90" s="37" t="s">
        <v>60</v>
      </c>
      <c r="B90" s="8" t="s">
        <v>61</v>
      </c>
      <c r="D90" s="54">
        <v>91</v>
      </c>
      <c r="F90" s="43">
        <v>-383823970.41082251</v>
      </c>
      <c r="G90" s="15">
        <f t="shared" si="53"/>
        <v>-177975256.54781756</v>
      </c>
      <c r="H90" s="15">
        <f t="shared" si="53"/>
        <v>-47822522.231902808</v>
      </c>
      <c r="I90" s="15">
        <f t="shared" si="53"/>
        <v>-48882058.904047944</v>
      </c>
      <c r="J90" s="15">
        <f t="shared" si="53"/>
        <v>-32758551.630569179</v>
      </c>
      <c r="K90" s="15">
        <f t="shared" si="53"/>
        <v>-21316759.188069139</v>
      </c>
      <c r="L90" s="15">
        <f t="shared" si="53"/>
        <v>-82129.137299588823</v>
      </c>
      <c r="M90" s="15">
        <f t="shared" si="53"/>
        <v>-1858879.7412075035</v>
      </c>
      <c r="N90" s="15">
        <f t="shared" si="53"/>
        <v>-11340193.035582017</v>
      </c>
      <c r="O90" s="15">
        <f t="shared" si="53"/>
        <v>-10439958.569405921</v>
      </c>
      <c r="P90" s="15">
        <f t="shared" si="53"/>
        <v>-29819068.257422462</v>
      </c>
      <c r="Q90" s="15">
        <f t="shared" si="53"/>
        <v>-1416019.6086136005</v>
      </c>
      <c r="R90" s="15">
        <f t="shared" si="53"/>
        <v>-112573.55888478122</v>
      </c>
      <c r="U90" s="9">
        <f t="shared" si="47"/>
        <v>0</v>
      </c>
    </row>
    <row r="91" spans="1:21" x14ac:dyDescent="0.25">
      <c r="A91" s="37" t="s">
        <v>62</v>
      </c>
      <c r="B91" s="10" t="s">
        <v>63</v>
      </c>
      <c r="C91" s="10"/>
      <c r="D91" s="56" t="s">
        <v>482</v>
      </c>
      <c r="E91" s="10"/>
      <c r="F91" s="44">
        <v>-184422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-184422</v>
      </c>
      <c r="Q91" s="45">
        <v>0</v>
      </c>
      <c r="R91" s="45">
        <v>0</v>
      </c>
      <c r="U91" s="9">
        <f t="shared" si="47"/>
        <v>0</v>
      </c>
    </row>
    <row r="92" spans="1:21" x14ac:dyDescent="0.25">
      <c r="B92" s="30" t="s">
        <v>8</v>
      </c>
      <c r="F92" s="46">
        <f>SUM(F89:F91)</f>
        <v>-432282885.41082251</v>
      </c>
      <c r="G92" s="46">
        <f t="shared" ref="G92:S92" si="54">SUM(G89:G91)</f>
        <v>-202175597.81016856</v>
      </c>
      <c r="H92" s="46">
        <f t="shared" si="54"/>
        <v>-54358598.937144808</v>
      </c>
      <c r="I92" s="46">
        <f t="shared" si="54"/>
        <v>-55590958.294229947</v>
      </c>
      <c r="J92" s="46">
        <f t="shared" si="54"/>
        <v>-37247065.715216182</v>
      </c>
      <c r="K92" s="46">
        <f t="shared" si="54"/>
        <v>-24226552.52813714</v>
      </c>
      <c r="L92" s="46">
        <f t="shared" ref="L92:M92" si="55">SUM(L89:L91)</f>
        <v>-93618.466633588832</v>
      </c>
      <c r="M92" s="46">
        <f t="shared" si="55"/>
        <v>-2111307.0651045037</v>
      </c>
      <c r="N92" s="46">
        <f t="shared" si="54"/>
        <v>-12886521.595358018</v>
      </c>
      <c r="O92" s="46">
        <f t="shared" si="54"/>
        <v>-11858214.899252921</v>
      </c>
      <c r="P92" s="46">
        <f t="shared" si="54"/>
        <v>-30003490.257422462</v>
      </c>
      <c r="Q92" s="46">
        <f t="shared" si="54"/>
        <v>-1603566.0139186005</v>
      </c>
      <c r="R92" s="46">
        <f t="shared" si="54"/>
        <v>-127393.82823578121</v>
      </c>
      <c r="S92" s="38">
        <f t="shared" si="54"/>
        <v>0</v>
      </c>
      <c r="U92" s="9">
        <f t="shared" si="47"/>
        <v>0</v>
      </c>
    </row>
    <row r="93" spans="1:21" x14ac:dyDescent="0.25">
      <c r="F93" s="4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U93" s="9">
        <f t="shared" si="47"/>
        <v>0</v>
      </c>
    </row>
    <row r="94" spans="1:21" x14ac:dyDescent="0.25">
      <c r="B94" s="30" t="s">
        <v>12</v>
      </c>
      <c r="F94" s="4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U94" s="9">
        <f t="shared" si="47"/>
        <v>0</v>
      </c>
    </row>
    <row r="95" spans="1:21" x14ac:dyDescent="0.25">
      <c r="A95" s="37" t="s">
        <v>64</v>
      </c>
      <c r="B95" s="8" t="s">
        <v>65</v>
      </c>
      <c r="D95" s="54" t="s">
        <v>482</v>
      </c>
      <c r="F95" s="43">
        <v>-10782.6924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-10783</v>
      </c>
      <c r="P95" s="15">
        <v>0</v>
      </c>
      <c r="Q95" s="15">
        <v>0</v>
      </c>
      <c r="R95" s="15">
        <v>0</v>
      </c>
      <c r="U95" s="9">
        <f t="shared" si="47"/>
        <v>-0.30760000000009313</v>
      </c>
    </row>
    <row r="96" spans="1:21" x14ac:dyDescent="0.25">
      <c r="A96" s="37" t="s">
        <v>66</v>
      </c>
      <c r="B96" s="8" t="s">
        <v>67</v>
      </c>
      <c r="D96" s="54">
        <v>42</v>
      </c>
      <c r="F96" s="43">
        <v>-3040575.9469045717</v>
      </c>
      <c r="G96" s="15">
        <f>INDEX(Alloc,($D96),(G$1))*$F96</f>
        <v>-1244828.4319446352</v>
      </c>
      <c r="H96" s="15">
        <f t="shared" ref="G96:R115" si="56">INDEX(Alloc,($D96),(H$1))*$F96</f>
        <v>-486726.75235837803</v>
      </c>
      <c r="I96" s="15">
        <f t="shared" si="56"/>
        <v>-612291.16673140111</v>
      </c>
      <c r="J96" s="15">
        <f t="shared" si="56"/>
        <v>-347656.84791784419</v>
      </c>
      <c r="K96" s="15">
        <f t="shared" si="56"/>
        <v>-329752.06670227303</v>
      </c>
      <c r="L96" s="15">
        <f t="shared" si="56"/>
        <v>-61.733381540769258</v>
      </c>
      <c r="M96" s="15">
        <f t="shared" si="56"/>
        <v>-16545.829933827765</v>
      </c>
      <c r="N96" s="15">
        <f t="shared" si="56"/>
        <v>0</v>
      </c>
      <c r="O96" s="15">
        <f t="shared" si="56"/>
        <v>0</v>
      </c>
      <c r="P96" s="15">
        <f t="shared" si="56"/>
        <v>0</v>
      </c>
      <c r="Q96" s="15">
        <f t="shared" si="56"/>
        <v>-2512.1635244388276</v>
      </c>
      <c r="R96" s="15">
        <f t="shared" si="56"/>
        <v>-200.95441023290104</v>
      </c>
      <c r="U96" s="9">
        <f t="shared" si="47"/>
        <v>0</v>
      </c>
    </row>
    <row r="97" spans="1:21" x14ac:dyDescent="0.25">
      <c r="A97" s="37" t="s">
        <v>68</v>
      </c>
      <c r="B97" s="8" t="s">
        <v>15</v>
      </c>
      <c r="D97" s="54" t="s">
        <v>482</v>
      </c>
      <c r="F97" s="43">
        <v>-220823.63379989978</v>
      </c>
      <c r="G97" s="15">
        <v>0</v>
      </c>
      <c r="H97" s="15">
        <v>0</v>
      </c>
      <c r="I97" s="15">
        <v>0</v>
      </c>
      <c r="J97" s="15">
        <v>0</v>
      </c>
      <c r="K97" s="15">
        <v>-9600</v>
      </c>
      <c r="L97" s="15">
        <v>0</v>
      </c>
      <c r="M97" s="15">
        <v>0</v>
      </c>
      <c r="N97" s="15">
        <v>-74119</v>
      </c>
      <c r="O97" s="15">
        <v>-51225</v>
      </c>
      <c r="P97" s="15">
        <v>-85880</v>
      </c>
      <c r="Q97" s="15">
        <v>0</v>
      </c>
      <c r="R97" s="15">
        <v>0</v>
      </c>
      <c r="U97" s="9">
        <f t="shared" si="47"/>
        <v>-0.36620010022306815</v>
      </c>
    </row>
    <row r="98" spans="1:21" x14ac:dyDescent="0.25">
      <c r="A98" s="37" t="s">
        <v>69</v>
      </c>
      <c r="B98" s="8" t="s">
        <v>16</v>
      </c>
      <c r="D98" s="54">
        <v>43</v>
      </c>
      <c r="F98" s="43">
        <v>-2036795.6985698356</v>
      </c>
      <c r="G98" s="15">
        <f t="shared" si="56"/>
        <v>-1010273.6047651109</v>
      </c>
      <c r="H98" s="15">
        <f t="shared" si="56"/>
        <v>-297486.09425880527</v>
      </c>
      <c r="I98" s="15">
        <f t="shared" si="56"/>
        <v>-357335.0099499253</v>
      </c>
      <c r="J98" s="15">
        <f t="shared" si="56"/>
        <v>-222865.70336817019</v>
      </c>
      <c r="K98" s="15">
        <f t="shared" si="56"/>
        <v>-128887.28152898462</v>
      </c>
      <c r="L98" s="15">
        <f t="shared" si="56"/>
        <v>0</v>
      </c>
      <c r="M98" s="15">
        <f t="shared" si="56"/>
        <v>-17945.331970958076</v>
      </c>
      <c r="N98" s="15">
        <f t="shared" si="56"/>
        <v>0</v>
      </c>
      <c r="O98" s="15">
        <f t="shared" si="56"/>
        <v>0</v>
      </c>
      <c r="P98" s="15">
        <f t="shared" si="56"/>
        <v>0</v>
      </c>
      <c r="Q98" s="15">
        <f t="shared" si="56"/>
        <v>-1783.7348356542168</v>
      </c>
      <c r="R98" s="15">
        <f t="shared" si="56"/>
        <v>-218.9378922270227</v>
      </c>
      <c r="U98" s="9">
        <f t="shared" si="47"/>
        <v>0</v>
      </c>
    </row>
    <row r="99" spans="1:21" x14ac:dyDescent="0.25">
      <c r="A99" s="37" t="s">
        <v>70</v>
      </c>
      <c r="B99" s="8" t="s">
        <v>17</v>
      </c>
      <c r="D99" s="54" t="s">
        <v>482</v>
      </c>
      <c r="F99" s="43">
        <v>-11501693.225143986</v>
      </c>
      <c r="G99" s="15">
        <v>0</v>
      </c>
      <c r="H99" s="15">
        <v>0</v>
      </c>
      <c r="I99" s="15">
        <v>0</v>
      </c>
      <c r="J99" s="15">
        <v>0</v>
      </c>
      <c r="K99" s="15">
        <v>-638971</v>
      </c>
      <c r="L99" s="15">
        <v>0</v>
      </c>
      <c r="M99" s="15">
        <v>0</v>
      </c>
      <c r="N99" s="15">
        <v>-3632693</v>
      </c>
      <c r="O99" s="15">
        <v>-3881336</v>
      </c>
      <c r="P99" s="15">
        <v>-3348693</v>
      </c>
      <c r="Q99" s="15">
        <v>0</v>
      </c>
      <c r="R99" s="15">
        <v>0</v>
      </c>
      <c r="U99" s="9">
        <f t="shared" si="47"/>
        <v>0.22514398582279682</v>
      </c>
    </row>
    <row r="100" spans="1:21" x14ac:dyDescent="0.25">
      <c r="A100" s="37" t="s">
        <v>71</v>
      </c>
      <c r="B100" s="8" t="s">
        <v>18</v>
      </c>
      <c r="D100" s="54">
        <v>44</v>
      </c>
      <c r="F100" s="43">
        <v>-111405536.24335527</v>
      </c>
      <c r="G100" s="15">
        <f t="shared" si="56"/>
        <v>-60668696.93900165</v>
      </c>
      <c r="H100" s="15">
        <f t="shared" si="56"/>
        <v>-15694742.651768455</v>
      </c>
      <c r="I100" s="15">
        <f t="shared" si="56"/>
        <v>-16903743.838608705</v>
      </c>
      <c r="J100" s="15">
        <f t="shared" si="56"/>
        <v>-9580827.0523957834</v>
      </c>
      <c r="K100" s="15">
        <f t="shared" si="56"/>
        <v>-7430835.7521737078</v>
      </c>
      <c r="L100" s="15">
        <f t="shared" si="56"/>
        <v>-27149.433682871524</v>
      </c>
      <c r="M100" s="15">
        <f t="shared" si="56"/>
        <v>-960199.94280010089</v>
      </c>
      <c r="N100" s="15">
        <f t="shared" si="56"/>
        <v>0</v>
      </c>
      <c r="O100" s="15">
        <f t="shared" si="56"/>
        <v>0</v>
      </c>
      <c r="P100" s="15">
        <f t="shared" si="56"/>
        <v>0</v>
      </c>
      <c r="Q100" s="15">
        <f t="shared" si="56"/>
        <v>-107428.54893823144</v>
      </c>
      <c r="R100" s="15">
        <f t="shared" si="56"/>
        <v>-31912.083985773708</v>
      </c>
      <c r="U100" s="9">
        <f t="shared" si="47"/>
        <v>0</v>
      </c>
    </row>
    <row r="101" spans="1:21" x14ac:dyDescent="0.25">
      <c r="A101" s="37" t="s">
        <v>72</v>
      </c>
      <c r="B101" s="8" t="s">
        <v>19</v>
      </c>
      <c r="D101" s="54">
        <v>44</v>
      </c>
      <c r="F101" s="43">
        <v>-227790.68922477314</v>
      </c>
      <c r="G101" s="15">
        <f t="shared" si="56"/>
        <v>-124049.16987173825</v>
      </c>
      <c r="H101" s="15">
        <f t="shared" si="56"/>
        <v>-32091.010612275706</v>
      </c>
      <c r="I101" s="15">
        <f t="shared" si="56"/>
        <v>-34563.053052090589</v>
      </c>
      <c r="J101" s="15">
        <f t="shared" si="56"/>
        <v>-19589.898951173142</v>
      </c>
      <c r="K101" s="15">
        <f t="shared" si="56"/>
        <v>-15193.815806480561</v>
      </c>
      <c r="L101" s="15">
        <f t="shared" si="56"/>
        <v>-55.512395696155899</v>
      </c>
      <c r="M101" s="15">
        <f t="shared" si="56"/>
        <v>-1963.3190067523997</v>
      </c>
      <c r="N101" s="15">
        <f t="shared" si="56"/>
        <v>0</v>
      </c>
      <c r="O101" s="15">
        <f t="shared" si="56"/>
        <v>0</v>
      </c>
      <c r="P101" s="15">
        <f t="shared" si="56"/>
        <v>0</v>
      </c>
      <c r="Q101" s="15">
        <f t="shared" si="56"/>
        <v>-219.65895080475937</v>
      </c>
      <c r="R101" s="15">
        <f t="shared" si="56"/>
        <v>-65.250577761585987</v>
      </c>
      <c r="U101" s="9">
        <f t="shared" si="47"/>
        <v>0</v>
      </c>
    </row>
    <row r="102" spans="1:21" x14ac:dyDescent="0.25">
      <c r="A102" s="37" t="s">
        <v>73</v>
      </c>
      <c r="B102" s="8" t="s">
        <v>20</v>
      </c>
      <c r="D102" s="54">
        <v>45</v>
      </c>
      <c r="F102" s="43">
        <v>-144226000.46602783</v>
      </c>
      <c r="G102" s="15">
        <f t="shared" si="56"/>
        <v>-97975246.94361566</v>
      </c>
      <c r="H102" s="15">
        <f t="shared" si="56"/>
        <v>-18786514.389900193</v>
      </c>
      <c r="I102" s="15">
        <f t="shared" si="56"/>
        <v>-14512746.552299058</v>
      </c>
      <c r="J102" s="15">
        <f t="shared" si="56"/>
        <v>-6047267.6835041381</v>
      </c>
      <c r="K102" s="15">
        <f t="shared" si="56"/>
        <v>-5151311.7407525191</v>
      </c>
      <c r="L102" s="15">
        <f t="shared" si="56"/>
        <v>-115401.44505344491</v>
      </c>
      <c r="M102" s="15">
        <f t="shared" si="56"/>
        <v>-1440778.3428908738</v>
      </c>
      <c r="N102" s="15">
        <f t="shared" si="56"/>
        <v>0</v>
      </c>
      <c r="O102" s="15">
        <f t="shared" si="56"/>
        <v>0</v>
      </c>
      <c r="P102" s="15">
        <f t="shared" si="56"/>
        <v>0</v>
      </c>
      <c r="Q102" s="15">
        <f t="shared" si="56"/>
        <v>-94379.825037427931</v>
      </c>
      <c r="R102" s="15">
        <f t="shared" si="56"/>
        <v>-102353.54297453782</v>
      </c>
      <c r="U102" s="9">
        <f t="shared" si="47"/>
        <v>0</v>
      </c>
    </row>
    <row r="103" spans="1:21" x14ac:dyDescent="0.25">
      <c r="A103" s="37" t="s">
        <v>74</v>
      </c>
      <c r="B103" s="8" t="s">
        <v>75</v>
      </c>
      <c r="D103" s="54" t="s">
        <v>482</v>
      </c>
      <c r="F103" s="43">
        <v>-1499101.6792449784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-1499102</v>
      </c>
      <c r="O103" s="15">
        <v>0</v>
      </c>
      <c r="P103" s="15">
        <v>0</v>
      </c>
      <c r="Q103" s="15">
        <v>0</v>
      </c>
      <c r="R103" s="15">
        <v>0</v>
      </c>
      <c r="U103" s="9">
        <f t="shared" si="47"/>
        <v>-0.32075502164661884</v>
      </c>
    </row>
    <row r="104" spans="1:21" x14ac:dyDescent="0.25">
      <c r="A104" s="37" t="s">
        <v>76</v>
      </c>
      <c r="B104" s="8" t="s">
        <v>22</v>
      </c>
      <c r="D104" s="54">
        <v>45</v>
      </c>
      <c r="F104" s="43">
        <v>-118761165.93657961</v>
      </c>
      <c r="G104" s="15">
        <f t="shared" si="56"/>
        <v>-80676539.059189007</v>
      </c>
      <c r="H104" s="15">
        <f t="shared" si="56"/>
        <v>-15469529.388734668</v>
      </c>
      <c r="I104" s="15">
        <f t="shared" si="56"/>
        <v>-11950346.649868388</v>
      </c>
      <c r="J104" s="15">
        <f t="shared" si="56"/>
        <v>-4979549.8627358563</v>
      </c>
      <c r="K104" s="15">
        <f t="shared" si="56"/>
        <v>-4241785.7144881682</v>
      </c>
      <c r="L104" s="15">
        <f t="shared" si="56"/>
        <v>-95025.932363294531</v>
      </c>
      <c r="M104" s="15">
        <f t="shared" si="56"/>
        <v>-1186391.6027970114</v>
      </c>
      <c r="N104" s="15">
        <f t="shared" si="56"/>
        <v>0</v>
      </c>
      <c r="O104" s="15">
        <f t="shared" si="56"/>
        <v>0</v>
      </c>
      <c r="P104" s="15">
        <f t="shared" si="56"/>
        <v>0</v>
      </c>
      <c r="Q104" s="15">
        <f t="shared" si="56"/>
        <v>-77715.932121237114</v>
      </c>
      <c r="R104" s="15">
        <f t="shared" si="56"/>
        <v>-84281.794282017509</v>
      </c>
      <c r="U104" s="9">
        <f t="shared" si="47"/>
        <v>0</v>
      </c>
    </row>
    <row r="105" spans="1:21" x14ac:dyDescent="0.25">
      <c r="A105" s="37" t="s">
        <v>77</v>
      </c>
      <c r="B105" s="8" t="s">
        <v>78</v>
      </c>
      <c r="D105" s="54" t="s">
        <v>482</v>
      </c>
      <c r="F105" s="43">
        <v>-18068917.610241123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-16494306</v>
      </c>
      <c r="O105" s="15">
        <v>-1574612</v>
      </c>
      <c r="P105" s="15">
        <v>0</v>
      </c>
      <c r="Q105" s="15">
        <v>0</v>
      </c>
      <c r="R105" s="15">
        <v>0</v>
      </c>
      <c r="U105" s="9">
        <f t="shared" si="47"/>
        <v>-0.3897588774561882</v>
      </c>
    </row>
    <row r="106" spans="1:21" x14ac:dyDescent="0.25">
      <c r="A106" s="37" t="s">
        <v>79</v>
      </c>
      <c r="B106" s="8" t="s">
        <v>80</v>
      </c>
      <c r="D106" s="54">
        <v>47</v>
      </c>
      <c r="F106" s="43">
        <v>-234684157.74860832</v>
      </c>
      <c r="G106" s="15">
        <f t="shared" si="56"/>
        <v>-156683744.31055629</v>
      </c>
      <c r="H106" s="15">
        <f t="shared" si="56"/>
        <v>-28994210.501663983</v>
      </c>
      <c r="I106" s="15">
        <f t="shared" si="56"/>
        <v>-26758164.204900805</v>
      </c>
      <c r="J106" s="15">
        <f t="shared" si="56"/>
        <v>-11489996.134469319</v>
      </c>
      <c r="K106" s="15">
        <f t="shared" si="56"/>
        <v>-7821378.0286224168</v>
      </c>
      <c r="L106" s="15">
        <f t="shared" si="56"/>
        <v>-87068.982886371014</v>
      </c>
      <c r="M106" s="15">
        <f t="shared" si="56"/>
        <v>-2672826.414209642</v>
      </c>
      <c r="N106" s="15">
        <f t="shared" si="56"/>
        <v>0</v>
      </c>
      <c r="O106" s="15">
        <f t="shared" si="56"/>
        <v>0</v>
      </c>
      <c r="P106" s="15">
        <f t="shared" si="56"/>
        <v>0</v>
      </c>
      <c r="Q106" s="15">
        <f t="shared" si="56"/>
        <v>-114816.24116884089</v>
      </c>
      <c r="R106" s="15">
        <f t="shared" si="56"/>
        <v>-61952.930130687062</v>
      </c>
      <c r="U106" s="9">
        <f t="shared" si="47"/>
        <v>0</v>
      </c>
    </row>
    <row r="107" spans="1:21" x14ac:dyDescent="0.25">
      <c r="A107" s="37" t="s">
        <v>81</v>
      </c>
      <c r="B107" s="8" t="s">
        <v>82</v>
      </c>
      <c r="D107" s="54">
        <v>47</v>
      </c>
      <c r="F107" s="43">
        <v>-339678468.295748</v>
      </c>
      <c r="G107" s="15">
        <f t="shared" si="56"/>
        <v>-226781793.81525803</v>
      </c>
      <c r="H107" s="15">
        <f t="shared" si="56"/>
        <v>-41965802.494429842</v>
      </c>
      <c r="I107" s="15">
        <f t="shared" si="56"/>
        <v>-38729381.304310538</v>
      </c>
      <c r="J107" s="15">
        <f t="shared" si="56"/>
        <v>-16630454.842466876</v>
      </c>
      <c r="K107" s="15">
        <f t="shared" si="56"/>
        <v>-11320549.858207181</v>
      </c>
      <c r="L107" s="15">
        <f t="shared" si="56"/>
        <v>-126022.39122843639</v>
      </c>
      <c r="M107" s="15">
        <f t="shared" si="56"/>
        <v>-3868610.4384245831</v>
      </c>
      <c r="N107" s="15">
        <f t="shared" si="56"/>
        <v>0</v>
      </c>
      <c r="O107" s="15">
        <f t="shared" si="56"/>
        <v>0</v>
      </c>
      <c r="P107" s="15">
        <f t="shared" si="56"/>
        <v>0</v>
      </c>
      <c r="Q107" s="15">
        <f t="shared" si="56"/>
        <v>-166183.37304848753</v>
      </c>
      <c r="R107" s="15">
        <f t="shared" si="56"/>
        <v>-89669.778374079731</v>
      </c>
      <c r="U107" s="9">
        <f t="shared" si="47"/>
        <v>0</v>
      </c>
    </row>
    <row r="108" spans="1:21" x14ac:dyDescent="0.25">
      <c r="A108" s="37" t="s">
        <v>83</v>
      </c>
      <c r="B108" s="8" t="s">
        <v>84</v>
      </c>
      <c r="D108" s="54" t="s">
        <v>482</v>
      </c>
      <c r="F108" s="43">
        <v>-1714983</v>
      </c>
      <c r="G108" s="15">
        <v>0</v>
      </c>
      <c r="H108" s="15">
        <v>0</v>
      </c>
      <c r="I108" s="15">
        <v>0</v>
      </c>
      <c r="J108" s="15">
        <v>0</v>
      </c>
      <c r="K108" s="15">
        <v>-433090</v>
      </c>
      <c r="L108" s="15">
        <v>0</v>
      </c>
      <c r="M108" s="15">
        <v>-25151</v>
      </c>
      <c r="N108" s="15">
        <v>-1246417</v>
      </c>
      <c r="O108" s="15">
        <v>0</v>
      </c>
      <c r="P108" s="15">
        <v>0</v>
      </c>
      <c r="Q108" s="15">
        <v>0</v>
      </c>
      <c r="R108" s="15">
        <v>-10325</v>
      </c>
      <c r="U108" s="9">
        <f t="shared" si="47"/>
        <v>0</v>
      </c>
    </row>
    <row r="109" spans="1:21" x14ac:dyDescent="0.25">
      <c r="A109" s="37" t="s">
        <v>85</v>
      </c>
      <c r="B109" s="8" t="s">
        <v>86</v>
      </c>
      <c r="D109" s="54">
        <v>21</v>
      </c>
      <c r="F109" s="43">
        <v>-61577305</v>
      </c>
      <c r="G109" s="15">
        <f t="shared" si="56"/>
        <v>-44972551.122519948</v>
      </c>
      <c r="H109" s="15">
        <f t="shared" si="56"/>
        <v>-7049229.6209489135</v>
      </c>
      <c r="I109" s="15">
        <f t="shared" si="56"/>
        <v>-904067.07413564518</v>
      </c>
      <c r="J109" s="15">
        <f t="shared" si="56"/>
        <v>-11476.687412836089</v>
      </c>
      <c r="K109" s="15">
        <f t="shared" si="56"/>
        <v>0</v>
      </c>
      <c r="L109" s="15">
        <f t="shared" si="56"/>
        <v>0</v>
      </c>
      <c r="M109" s="15">
        <f t="shared" si="56"/>
        <v>0</v>
      </c>
      <c r="N109" s="15">
        <f t="shared" si="56"/>
        <v>0</v>
      </c>
      <c r="O109" s="15">
        <f t="shared" si="56"/>
        <v>0</v>
      </c>
      <c r="P109" s="15">
        <f t="shared" si="56"/>
        <v>0</v>
      </c>
      <c r="Q109" s="15">
        <f t="shared" si="56"/>
        <v>-8639980.4949826598</v>
      </c>
      <c r="R109" s="15">
        <f t="shared" si="56"/>
        <v>0</v>
      </c>
      <c r="U109" s="9">
        <f t="shared" si="47"/>
        <v>0</v>
      </c>
    </row>
    <row r="110" spans="1:21" x14ac:dyDescent="0.25">
      <c r="A110" s="37" t="s">
        <v>87</v>
      </c>
      <c r="B110" s="8" t="s">
        <v>88</v>
      </c>
      <c r="D110" s="54">
        <v>25</v>
      </c>
      <c r="F110" s="43">
        <v>-116431906.72550035</v>
      </c>
      <c r="G110" s="15">
        <f t="shared" si="56"/>
        <v>-85639404.818411559</v>
      </c>
      <c r="H110" s="15">
        <f t="shared" si="56"/>
        <v>-16875431.088765074</v>
      </c>
      <c r="I110" s="15">
        <f t="shared" si="56"/>
        <v>-10216135.288176628</v>
      </c>
      <c r="J110" s="15">
        <f t="shared" si="56"/>
        <v>-3425728.1643280191</v>
      </c>
      <c r="K110" s="15">
        <f t="shared" si="56"/>
        <v>0</v>
      </c>
      <c r="L110" s="15">
        <f t="shared" si="56"/>
        <v>0</v>
      </c>
      <c r="M110" s="15">
        <f t="shared" si="56"/>
        <v>0</v>
      </c>
      <c r="N110" s="15">
        <f t="shared" si="56"/>
        <v>0</v>
      </c>
      <c r="O110" s="15">
        <f t="shared" si="56"/>
        <v>0</v>
      </c>
      <c r="P110" s="15">
        <f t="shared" si="56"/>
        <v>0</v>
      </c>
      <c r="Q110" s="15">
        <f t="shared" si="56"/>
        <v>-268327.89645341673</v>
      </c>
      <c r="R110" s="15">
        <f t="shared" si="56"/>
        <v>-6879.4693656572827</v>
      </c>
      <c r="U110" s="9">
        <f t="shared" si="47"/>
        <v>0</v>
      </c>
    </row>
    <row r="111" spans="1:21" x14ac:dyDescent="0.25">
      <c r="A111" s="37" t="s">
        <v>89</v>
      </c>
      <c r="B111" s="8" t="s">
        <v>90</v>
      </c>
      <c r="D111" s="54">
        <v>20</v>
      </c>
      <c r="F111" s="43">
        <v>-29187822</v>
      </c>
      <c r="G111" s="15">
        <f t="shared" si="56"/>
        <v>-25319258.887396809</v>
      </c>
      <c r="H111" s="15">
        <f t="shared" si="56"/>
        <v>-3734290.3102449775</v>
      </c>
      <c r="I111" s="15">
        <f t="shared" si="56"/>
        <v>-132244.94989541383</v>
      </c>
      <c r="J111" s="15">
        <f t="shared" si="56"/>
        <v>-2027.8524627993361</v>
      </c>
      <c r="K111" s="15">
        <f t="shared" si="56"/>
        <v>0</v>
      </c>
      <c r="L111" s="15">
        <f t="shared" si="56"/>
        <v>0</v>
      </c>
      <c r="M111" s="15">
        <f t="shared" si="56"/>
        <v>0</v>
      </c>
      <c r="N111" s="15">
        <f t="shared" si="56"/>
        <v>0</v>
      </c>
      <c r="O111" s="15">
        <f t="shared" si="56"/>
        <v>0</v>
      </c>
      <c r="P111" s="15">
        <f t="shared" si="56"/>
        <v>0</v>
      </c>
      <c r="Q111" s="15">
        <f t="shared" si="56"/>
        <v>0</v>
      </c>
      <c r="R111" s="15">
        <f t="shared" si="56"/>
        <v>0</v>
      </c>
      <c r="U111" s="9">
        <f t="shared" si="47"/>
        <v>0</v>
      </c>
    </row>
    <row r="112" spans="1:21" x14ac:dyDescent="0.25">
      <c r="A112" s="37" t="s">
        <v>91</v>
      </c>
      <c r="B112" s="8" t="s">
        <v>92</v>
      </c>
      <c r="D112" s="54">
        <v>24</v>
      </c>
      <c r="F112" s="43">
        <v>-86306645.845380351</v>
      </c>
      <c r="G112" s="15">
        <f t="shared" si="56"/>
        <v>-86306645.845380351</v>
      </c>
      <c r="H112" s="15">
        <f t="shared" si="56"/>
        <v>0</v>
      </c>
      <c r="I112" s="15">
        <f t="shared" si="56"/>
        <v>0</v>
      </c>
      <c r="J112" s="15">
        <f t="shared" si="56"/>
        <v>0</v>
      </c>
      <c r="K112" s="15">
        <f t="shared" si="56"/>
        <v>0</v>
      </c>
      <c r="L112" s="15">
        <f t="shared" si="56"/>
        <v>0</v>
      </c>
      <c r="M112" s="15">
        <f t="shared" si="56"/>
        <v>0</v>
      </c>
      <c r="N112" s="15">
        <f t="shared" si="56"/>
        <v>0</v>
      </c>
      <c r="O112" s="15">
        <f t="shared" si="56"/>
        <v>0</v>
      </c>
      <c r="P112" s="15">
        <f t="shared" si="56"/>
        <v>0</v>
      </c>
      <c r="Q112" s="15">
        <f t="shared" si="56"/>
        <v>0</v>
      </c>
      <c r="R112" s="15">
        <f t="shared" si="56"/>
        <v>0</v>
      </c>
      <c r="U112" s="9">
        <f t="shared" si="47"/>
        <v>0</v>
      </c>
    </row>
    <row r="113" spans="1:21" x14ac:dyDescent="0.25">
      <c r="A113" s="37" t="s">
        <v>93</v>
      </c>
      <c r="B113" s="8" t="s">
        <v>35</v>
      </c>
      <c r="D113" s="54">
        <v>19</v>
      </c>
      <c r="F113" s="43">
        <v>-42422979.190129757</v>
      </c>
      <c r="G113" s="15">
        <f t="shared" si="56"/>
        <v>-27582183.899188787</v>
      </c>
      <c r="H113" s="15">
        <f t="shared" si="56"/>
        <v>-7815778.4974343469</v>
      </c>
      <c r="I113" s="15">
        <f t="shared" si="56"/>
        <v>-2122999.2275207932</v>
      </c>
      <c r="J113" s="15">
        <f t="shared" si="56"/>
        <v>-240402.02274743406</v>
      </c>
      <c r="K113" s="15">
        <f t="shared" si="56"/>
        <v>-2983480.8428195138</v>
      </c>
      <c r="L113" s="15">
        <f t="shared" si="56"/>
        <v>-7011.3824116200367</v>
      </c>
      <c r="M113" s="15">
        <f t="shared" si="56"/>
        <v>-1042814.4295642062</v>
      </c>
      <c r="N113" s="15">
        <f t="shared" si="56"/>
        <v>-252360.48003844279</v>
      </c>
      <c r="O113" s="15">
        <f t="shared" si="56"/>
        <v>-130587.91411274993</v>
      </c>
      <c r="P113" s="15">
        <f t="shared" si="56"/>
        <v>-183386.68910476542</v>
      </c>
      <c r="Q113" s="15">
        <f t="shared" si="56"/>
        <v>0</v>
      </c>
      <c r="R113" s="15">
        <f t="shared" si="56"/>
        <v>-61973.805187097249</v>
      </c>
      <c r="U113" s="9">
        <f t="shared" si="47"/>
        <v>0</v>
      </c>
    </row>
    <row r="114" spans="1:21" x14ac:dyDescent="0.25">
      <c r="A114" s="37" t="s">
        <v>94</v>
      </c>
      <c r="B114" s="8" t="s">
        <v>36</v>
      </c>
      <c r="D114" s="54">
        <v>12</v>
      </c>
      <c r="F114" s="43">
        <v>-20159019.939354461</v>
      </c>
      <c r="G114" s="15">
        <f t="shared" si="56"/>
        <v>0</v>
      </c>
      <c r="H114" s="15">
        <f t="shared" si="56"/>
        <v>0</v>
      </c>
      <c r="I114" s="15">
        <f t="shared" si="56"/>
        <v>0</v>
      </c>
      <c r="J114" s="15">
        <f t="shared" si="56"/>
        <v>0</v>
      </c>
      <c r="K114" s="15">
        <f t="shared" si="56"/>
        <v>0</v>
      </c>
      <c r="L114" s="15">
        <f t="shared" si="56"/>
        <v>0</v>
      </c>
      <c r="M114" s="15">
        <f t="shared" si="56"/>
        <v>0</v>
      </c>
      <c r="N114" s="15">
        <f t="shared" si="56"/>
        <v>0</v>
      </c>
      <c r="O114" s="15">
        <f t="shared" si="56"/>
        <v>0</v>
      </c>
      <c r="P114" s="15">
        <f t="shared" si="56"/>
        <v>0</v>
      </c>
      <c r="Q114" s="15">
        <f t="shared" si="56"/>
        <v>-20159019.939354461</v>
      </c>
      <c r="R114" s="15">
        <f t="shared" si="56"/>
        <v>0</v>
      </c>
      <c r="U114" s="9">
        <f t="shared" si="47"/>
        <v>0</v>
      </c>
    </row>
    <row r="115" spans="1:21" x14ac:dyDescent="0.25">
      <c r="A115" s="37" t="s">
        <v>95</v>
      </c>
      <c r="B115" s="10" t="s">
        <v>37</v>
      </c>
      <c r="C115" s="10"/>
      <c r="D115" s="56">
        <v>71</v>
      </c>
      <c r="E115" s="10"/>
      <c r="F115" s="44">
        <v>-288060.25499999902</v>
      </c>
      <c r="G115" s="45">
        <f t="shared" si="56"/>
        <v>-190301.58831378544</v>
      </c>
      <c r="H115" s="45">
        <f t="shared" si="56"/>
        <v>-35641.56957454732</v>
      </c>
      <c r="I115" s="45">
        <f t="shared" si="56"/>
        <v>-31057.403106359463</v>
      </c>
      <c r="J115" s="45">
        <f t="shared" si="56"/>
        <v>-13216.201230641485</v>
      </c>
      <c r="K115" s="45">
        <f t="shared" si="56"/>
        <v>-9668.8169996773067</v>
      </c>
      <c r="L115" s="45">
        <f t="shared" si="56"/>
        <v>-145.35626581462759</v>
      </c>
      <c r="M115" s="45">
        <f t="shared" si="56"/>
        <v>-3096.5037150906687</v>
      </c>
      <c r="N115" s="45">
        <f t="shared" si="56"/>
        <v>-3799.6676620289436</v>
      </c>
      <c r="O115" s="45">
        <f t="shared" si="56"/>
        <v>-862.44512593174079</v>
      </c>
      <c r="P115" s="45">
        <f t="shared" si="56"/>
        <v>0</v>
      </c>
      <c r="Q115" s="45">
        <f t="shared" si="56"/>
        <v>-154.12510286612778</v>
      </c>
      <c r="R115" s="45">
        <f t="shared" si="56"/>
        <v>-116.57790325578051</v>
      </c>
      <c r="U115" s="9">
        <f t="shared" si="47"/>
        <v>0</v>
      </c>
    </row>
    <row r="116" spans="1:21" x14ac:dyDescent="0.25">
      <c r="B116" s="30" t="s">
        <v>8</v>
      </c>
      <c r="F116" s="46">
        <f>SUM(F95:F115)</f>
        <v>-1343450531.8212132</v>
      </c>
      <c r="G116" s="46">
        <f t="shared" ref="G116:S116" si="57">SUM(G95:G115)</f>
        <v>-895175518.43541336</v>
      </c>
      <c r="H116" s="46">
        <f t="shared" si="57"/>
        <v>-157237474.37069446</v>
      </c>
      <c r="I116" s="46">
        <f t="shared" si="57"/>
        <v>-123265075.72255574</v>
      </c>
      <c r="J116" s="46">
        <f t="shared" si="57"/>
        <v>-53011058.953990884</v>
      </c>
      <c r="K116" s="46">
        <f t="shared" si="57"/>
        <v>-40514504.918100916</v>
      </c>
      <c r="L116" s="46">
        <f t="shared" ref="L116:M116" si="58">SUM(L95:L115)</f>
        <v>-457942.16966908996</v>
      </c>
      <c r="M116" s="46">
        <f t="shared" si="58"/>
        <v>-11236323.155313047</v>
      </c>
      <c r="N116" s="46">
        <f t="shared" si="57"/>
        <v>-23202797.14770047</v>
      </c>
      <c r="O116" s="46">
        <f t="shared" si="57"/>
        <v>-5649406.3592386814</v>
      </c>
      <c r="P116" s="46">
        <f t="shared" si="57"/>
        <v>-3617959.6891047657</v>
      </c>
      <c r="Q116" s="46">
        <f t="shared" si="57"/>
        <v>-29632521.933518525</v>
      </c>
      <c r="R116" s="46">
        <f t="shared" si="57"/>
        <v>-449950.12508332764</v>
      </c>
      <c r="S116" s="38">
        <f t="shared" si="57"/>
        <v>0</v>
      </c>
      <c r="U116" s="9">
        <f t="shared" si="47"/>
        <v>-1.1591699123382568</v>
      </c>
    </row>
    <row r="117" spans="1:21" x14ac:dyDescent="0.25">
      <c r="F117" s="4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U117" s="9">
        <f t="shared" si="47"/>
        <v>0</v>
      </c>
    </row>
    <row r="118" spans="1:21" x14ac:dyDescent="0.25">
      <c r="B118" s="30" t="s">
        <v>7</v>
      </c>
      <c r="F118" s="4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U118" s="9">
        <f t="shared" si="47"/>
        <v>0</v>
      </c>
    </row>
    <row r="119" spans="1:21" x14ac:dyDescent="0.25">
      <c r="A119" s="37">
        <v>108.06</v>
      </c>
      <c r="B119" s="8" t="s">
        <v>96</v>
      </c>
      <c r="D119" s="54">
        <v>70</v>
      </c>
      <c r="F119" s="43">
        <v>-186848802.70880008</v>
      </c>
      <c r="G119" s="15">
        <f t="shared" ref="G119:R120" si="59">INDEX(Alloc,($D119),(G$1))*$F119</f>
        <v>-111026728.86202532</v>
      </c>
      <c r="H119" s="15">
        <f t="shared" si="59"/>
        <v>-23456064.573308099</v>
      </c>
      <c r="I119" s="15">
        <f t="shared" si="59"/>
        <v>-19887692.677914049</v>
      </c>
      <c r="J119" s="15">
        <f t="shared" si="59"/>
        <v>-11733459.004892942</v>
      </c>
      <c r="K119" s="15">
        <f t="shared" si="59"/>
        <v>-7982532.5096701067</v>
      </c>
      <c r="L119" s="15">
        <f t="shared" si="59"/>
        <v>-45873.325933756096</v>
      </c>
      <c r="M119" s="15">
        <f t="shared" si="59"/>
        <v>-1096118.1471870232</v>
      </c>
      <c r="N119" s="15">
        <f t="shared" si="59"/>
        <v>-4070213.1728606434</v>
      </c>
      <c r="O119" s="15">
        <f t="shared" si="59"/>
        <v>-3247294.3841871987</v>
      </c>
      <c r="P119" s="15">
        <f t="shared" si="59"/>
        <v>-1980179.1972305991</v>
      </c>
      <c r="Q119" s="15">
        <f t="shared" si="59"/>
        <v>-2268288.4241639962</v>
      </c>
      <c r="R119" s="15">
        <f t="shared" si="59"/>
        <v>-54358.429426367351</v>
      </c>
      <c r="U119" s="9">
        <f t="shared" si="47"/>
        <v>0</v>
      </c>
    </row>
    <row r="120" spans="1:21" x14ac:dyDescent="0.25">
      <c r="A120" s="37">
        <v>108.07</v>
      </c>
      <c r="B120" s="10" t="s">
        <v>97</v>
      </c>
      <c r="C120" s="10"/>
      <c r="D120" s="56">
        <v>74</v>
      </c>
      <c r="E120" s="10"/>
      <c r="F120" s="44">
        <v>9889632.4909608345</v>
      </c>
      <c r="G120" s="45">
        <f t="shared" si="59"/>
        <v>5525498.7640599245</v>
      </c>
      <c r="H120" s="45">
        <f t="shared" si="59"/>
        <v>1266234.6534709723</v>
      </c>
      <c r="I120" s="45">
        <f t="shared" si="59"/>
        <v>1182503.3095147491</v>
      </c>
      <c r="J120" s="45">
        <f t="shared" si="59"/>
        <v>703115.49445471866</v>
      </c>
      <c r="K120" s="45">
        <f t="shared" si="59"/>
        <v>478381.33241334104</v>
      </c>
      <c r="L120" s="45">
        <f t="shared" si="59"/>
        <v>2728.1825154618523</v>
      </c>
      <c r="M120" s="45">
        <f t="shared" si="59"/>
        <v>64941.411827132702</v>
      </c>
      <c r="N120" s="45">
        <f t="shared" si="59"/>
        <v>243409.62534612208</v>
      </c>
      <c r="O120" s="45">
        <f t="shared" si="59"/>
        <v>195390.59081573461</v>
      </c>
      <c r="P120" s="45">
        <f t="shared" si="59"/>
        <v>114189.68316639942</v>
      </c>
      <c r="Q120" s="45">
        <f t="shared" si="59"/>
        <v>110002.64287594469</v>
      </c>
      <c r="R120" s="45">
        <f t="shared" si="59"/>
        <v>3236.8005003326739</v>
      </c>
      <c r="U120" s="9">
        <f t="shared" si="47"/>
        <v>0</v>
      </c>
    </row>
    <row r="121" spans="1:21" x14ac:dyDescent="0.25">
      <c r="B121" s="30" t="s">
        <v>8</v>
      </c>
      <c r="F121" s="46">
        <f>SUM(F119:F120)</f>
        <v>-176959170.21783924</v>
      </c>
      <c r="G121" s="46">
        <f t="shared" ref="G121:S121" si="60">SUM(G119:G120)</f>
        <v>-105501230.09796539</v>
      </c>
      <c r="H121" s="46">
        <f t="shared" si="60"/>
        <v>-22189829.919837128</v>
      </c>
      <c r="I121" s="46">
        <f t="shared" si="60"/>
        <v>-18705189.3683993</v>
      </c>
      <c r="J121" s="46">
        <f t="shared" si="60"/>
        <v>-11030343.510438222</v>
      </c>
      <c r="K121" s="46">
        <f t="shared" si="60"/>
        <v>-7504151.1772567658</v>
      </c>
      <c r="L121" s="46">
        <f t="shared" ref="L121:M121" si="61">SUM(L119:L120)</f>
        <v>-43145.143418294247</v>
      </c>
      <c r="M121" s="46">
        <f t="shared" si="61"/>
        <v>-1031176.7353598905</v>
      </c>
      <c r="N121" s="46">
        <f t="shared" si="60"/>
        <v>-3826803.5475145215</v>
      </c>
      <c r="O121" s="46">
        <f t="shared" si="60"/>
        <v>-3051903.7933714641</v>
      </c>
      <c r="P121" s="46">
        <f t="shared" si="60"/>
        <v>-1865989.5140641998</v>
      </c>
      <c r="Q121" s="46">
        <f t="shared" si="60"/>
        <v>-2158285.7812880515</v>
      </c>
      <c r="R121" s="46">
        <f t="shared" si="60"/>
        <v>-51121.628926034675</v>
      </c>
      <c r="S121" s="38">
        <f t="shared" si="60"/>
        <v>0</v>
      </c>
      <c r="U121" s="9">
        <f t="shared" si="47"/>
        <v>0</v>
      </c>
    </row>
    <row r="122" spans="1:21" ht="16.5" thickBot="1" x14ac:dyDescent="0.3">
      <c r="B122" s="12"/>
      <c r="C122" s="12"/>
      <c r="D122" s="59"/>
      <c r="E122" s="12"/>
      <c r="F122" s="51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U122" s="9">
        <f t="shared" si="47"/>
        <v>0</v>
      </c>
    </row>
    <row r="123" spans="1:21" ht="16.5" thickTop="1" x14ac:dyDescent="0.25">
      <c r="B123" s="30" t="s">
        <v>98</v>
      </c>
      <c r="F123" s="46">
        <f>SUM(F80,F86,F92,F116,F121)</f>
        <v>-3697506273.3020792</v>
      </c>
      <c r="G123" s="46">
        <f t="shared" ref="G123:R123" si="62">SUM(G80,G86,G92,G116,G121)</f>
        <v>-2082622754.880028</v>
      </c>
      <c r="H123" s="46">
        <f t="shared" si="62"/>
        <v>-469359619.40386462</v>
      </c>
      <c r="I123" s="46">
        <f t="shared" si="62"/>
        <v>-438055136.88648379</v>
      </c>
      <c r="J123" s="46">
        <f t="shared" si="62"/>
        <v>-261703908.9943541</v>
      </c>
      <c r="K123" s="46">
        <f t="shared" si="62"/>
        <v>-176359319.53683153</v>
      </c>
      <c r="L123" s="46">
        <f t="shared" ref="L123:M123" si="63">SUM(L80,L86,L92,L116,L121)</f>
        <v>-1010141.811086624</v>
      </c>
      <c r="M123" s="46">
        <f t="shared" si="63"/>
        <v>-23536383.742317192</v>
      </c>
      <c r="N123" s="46">
        <f t="shared" si="62"/>
        <v>-95192031.236773282</v>
      </c>
      <c r="O123" s="46">
        <f t="shared" si="62"/>
        <v>-71108797.247456133</v>
      </c>
      <c r="P123" s="46">
        <f t="shared" si="62"/>
        <v>-36744423.86996872</v>
      </c>
      <c r="Q123" s="46">
        <f t="shared" si="62"/>
        <v>-40650557.747258171</v>
      </c>
      <c r="R123" s="46">
        <f t="shared" si="62"/>
        <v>-1163199.1048274424</v>
      </c>
      <c r="U123" s="9">
        <f t="shared" si="47"/>
        <v>-1.1591706275939941</v>
      </c>
    </row>
    <row r="124" spans="1:21" x14ac:dyDescent="0.25">
      <c r="F124" s="4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U124" s="9">
        <f t="shared" si="47"/>
        <v>0</v>
      </c>
    </row>
    <row r="125" spans="1:21" x14ac:dyDescent="0.25">
      <c r="A125" s="29" t="s">
        <v>99</v>
      </c>
      <c r="F125" s="4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U125" s="9">
        <f t="shared" si="47"/>
        <v>0</v>
      </c>
    </row>
    <row r="126" spans="1:21" x14ac:dyDescent="0.25">
      <c r="F126" s="4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U126" s="9">
        <f t="shared" si="47"/>
        <v>0</v>
      </c>
    </row>
    <row r="127" spans="1:21" x14ac:dyDescent="0.25">
      <c r="F127" s="4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U127" s="9">
        <f t="shared" si="47"/>
        <v>0</v>
      </c>
    </row>
    <row r="128" spans="1:21" x14ac:dyDescent="0.25">
      <c r="B128" s="30" t="s">
        <v>100</v>
      </c>
      <c r="F128" s="4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U128" s="9">
        <f t="shared" si="47"/>
        <v>0</v>
      </c>
    </row>
    <row r="129" spans="1:21" x14ac:dyDescent="0.25">
      <c r="A129" s="37" t="s">
        <v>101</v>
      </c>
      <c r="B129" s="10" t="s">
        <v>102</v>
      </c>
      <c r="C129" s="10"/>
      <c r="D129" s="56">
        <v>69</v>
      </c>
      <c r="E129" s="10"/>
      <c r="F129" s="44">
        <v>227005241.70228952</v>
      </c>
      <c r="G129" s="45">
        <f t="shared" ref="G129:R129" si="64">INDEX(Alloc,($D129),(G$1))*$F129</f>
        <v>126852769.90719774</v>
      </c>
      <c r="H129" s="45">
        <f t="shared" si="64"/>
        <v>29065414.900258355</v>
      </c>
      <c r="I129" s="45">
        <f t="shared" si="64"/>
        <v>27122071.175924402</v>
      </c>
      <c r="J129" s="45">
        <f t="shared" si="64"/>
        <v>16145991.505370915</v>
      </c>
      <c r="K129" s="45">
        <f t="shared" si="64"/>
        <v>10979691.093079878</v>
      </c>
      <c r="L129" s="45">
        <f t="shared" si="64"/>
        <v>62396.940656629857</v>
      </c>
      <c r="M129" s="45">
        <f t="shared" si="64"/>
        <v>1484830.7487459213</v>
      </c>
      <c r="N129" s="45">
        <f t="shared" si="64"/>
        <v>5589720.9389372496</v>
      </c>
      <c r="O129" s="45">
        <f t="shared" si="64"/>
        <v>4494260.8634316027</v>
      </c>
      <c r="P129" s="45">
        <f t="shared" si="64"/>
        <v>2619529.7996584424</v>
      </c>
      <c r="Q129" s="45">
        <f t="shared" si="64"/>
        <v>2514448.3674850562</v>
      </c>
      <c r="R129" s="45">
        <f t="shared" si="64"/>
        <v>74115.46154333817</v>
      </c>
      <c r="U129" s="9">
        <f t="shared" si="47"/>
        <v>0</v>
      </c>
    </row>
    <row r="130" spans="1:21" x14ac:dyDescent="0.25">
      <c r="B130" s="30" t="s">
        <v>8</v>
      </c>
      <c r="F130" s="46">
        <f>SUM(F129)</f>
        <v>227005241.70228952</v>
      </c>
      <c r="G130" s="46">
        <f t="shared" ref="G130:S130" si="65">SUM(G129)</f>
        <v>126852769.90719774</v>
      </c>
      <c r="H130" s="46">
        <f t="shared" si="65"/>
        <v>29065414.900258355</v>
      </c>
      <c r="I130" s="46">
        <f t="shared" si="65"/>
        <v>27122071.175924402</v>
      </c>
      <c r="J130" s="46">
        <f t="shared" si="65"/>
        <v>16145991.505370915</v>
      </c>
      <c r="K130" s="46">
        <f t="shared" si="65"/>
        <v>10979691.093079878</v>
      </c>
      <c r="L130" s="46">
        <f t="shared" ref="L130:M130" si="66">SUM(L129)</f>
        <v>62396.940656629857</v>
      </c>
      <c r="M130" s="46">
        <f t="shared" si="66"/>
        <v>1484830.7487459213</v>
      </c>
      <c r="N130" s="46">
        <f t="shared" si="65"/>
        <v>5589720.9389372496</v>
      </c>
      <c r="O130" s="46">
        <f t="shared" si="65"/>
        <v>4494260.8634316027</v>
      </c>
      <c r="P130" s="46">
        <f t="shared" si="65"/>
        <v>2619529.7996584424</v>
      </c>
      <c r="Q130" s="46">
        <f t="shared" si="65"/>
        <v>2514448.3674850562</v>
      </c>
      <c r="R130" s="46">
        <f t="shared" si="65"/>
        <v>74115.46154333817</v>
      </c>
      <c r="S130" s="38">
        <f t="shared" si="65"/>
        <v>0</v>
      </c>
      <c r="U130" s="9">
        <f t="shared" si="47"/>
        <v>0</v>
      </c>
    </row>
    <row r="131" spans="1:21" x14ac:dyDescent="0.25">
      <c r="F131" s="4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U131" s="9">
        <f t="shared" si="47"/>
        <v>0</v>
      </c>
    </row>
    <row r="132" spans="1:21" x14ac:dyDescent="0.25">
      <c r="B132" s="30" t="s">
        <v>103</v>
      </c>
      <c r="F132" s="4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U132" s="9">
        <f t="shared" si="47"/>
        <v>0</v>
      </c>
    </row>
    <row r="133" spans="1:21" x14ac:dyDescent="0.25">
      <c r="A133" s="37">
        <v>182.01</v>
      </c>
      <c r="B133" s="8" t="s">
        <v>104</v>
      </c>
      <c r="D133" s="54">
        <v>73</v>
      </c>
      <c r="F133" s="43">
        <v>232176604.58413422</v>
      </c>
      <c r="G133" s="15">
        <f t="shared" ref="G133:R152" si="67">INDEX(Alloc,($D133),(G$1))*$F133</f>
        <v>116726323.6014643</v>
      </c>
      <c r="H133" s="15">
        <f t="shared" si="67"/>
        <v>31364737.513270687</v>
      </c>
      <c r="I133" s="15">
        <f t="shared" si="67"/>
        <v>32059642.090791013</v>
      </c>
      <c r="J133" s="15">
        <f t="shared" si="67"/>
        <v>21484926.458402026</v>
      </c>
      <c r="K133" s="15">
        <f t="shared" si="67"/>
        <v>13980746.42163823</v>
      </c>
      <c r="L133" s="15">
        <f t="shared" si="67"/>
        <v>53864.972263519143</v>
      </c>
      <c r="M133" s="15">
        <f t="shared" si="67"/>
        <v>1219159.3506712888</v>
      </c>
      <c r="N133" s="15">
        <f t="shared" si="67"/>
        <v>7437545.3512481572</v>
      </c>
      <c r="O133" s="15">
        <f t="shared" si="67"/>
        <v>6847120.2457907032</v>
      </c>
      <c r="P133" s="15">
        <f t="shared" si="67"/>
        <v>0</v>
      </c>
      <c r="Q133" s="15">
        <f t="shared" si="67"/>
        <v>928706.41833653708</v>
      </c>
      <c r="R133" s="15">
        <f t="shared" si="67"/>
        <v>73832.160257754687</v>
      </c>
      <c r="U133" s="9">
        <f t="shared" si="47"/>
        <v>0</v>
      </c>
    </row>
    <row r="134" spans="1:21" x14ac:dyDescent="0.25">
      <c r="A134" s="37">
        <v>182.02</v>
      </c>
      <c r="B134" s="8" t="s">
        <v>105</v>
      </c>
      <c r="D134" s="54">
        <v>82</v>
      </c>
      <c r="F134" s="43">
        <v>776259.08333333337</v>
      </c>
      <c r="G134" s="15">
        <f t="shared" si="67"/>
        <v>363648.1430200662</v>
      </c>
      <c r="H134" s="15">
        <f t="shared" si="67"/>
        <v>97713.42231213396</v>
      </c>
      <c r="I134" s="15">
        <f t="shared" si="67"/>
        <v>99878.32180861941</v>
      </c>
      <c r="J134" s="15">
        <f t="shared" si="67"/>
        <v>66933.947446131773</v>
      </c>
      <c r="K134" s="15">
        <f t="shared" si="67"/>
        <v>43555.492175197716</v>
      </c>
      <c r="L134" s="15">
        <f t="shared" si="67"/>
        <v>167.81045211647853</v>
      </c>
      <c r="M134" s="15">
        <f t="shared" si="67"/>
        <v>3798.1581209639162</v>
      </c>
      <c r="N134" s="15">
        <f t="shared" si="67"/>
        <v>23170.862168531348</v>
      </c>
      <c r="O134" s="15">
        <f t="shared" si="67"/>
        <v>21331.457083478745</v>
      </c>
      <c r="P134" s="15">
        <f t="shared" si="67"/>
        <v>52938.169038167209</v>
      </c>
      <c r="Q134" s="15">
        <f t="shared" si="67"/>
        <v>2893.2836571806647</v>
      </c>
      <c r="R134" s="15">
        <f t="shared" si="67"/>
        <v>230.0160507458628</v>
      </c>
      <c r="U134" s="9">
        <f t="shared" si="47"/>
        <v>0</v>
      </c>
    </row>
    <row r="135" spans="1:21" x14ac:dyDescent="0.25">
      <c r="A135" s="37">
        <v>182.03</v>
      </c>
      <c r="B135" s="8" t="s">
        <v>106</v>
      </c>
      <c r="D135" s="54">
        <v>68</v>
      </c>
      <c r="F135" s="43">
        <v>51386936.710416667</v>
      </c>
      <c r="G135" s="15">
        <f t="shared" si="67"/>
        <v>33472274.415063646</v>
      </c>
      <c r="H135" s="15">
        <f t="shared" si="67"/>
        <v>6240153.6272107381</v>
      </c>
      <c r="I135" s="15">
        <f t="shared" si="67"/>
        <v>4998625.5169647671</v>
      </c>
      <c r="J135" s="15">
        <f t="shared" si="67"/>
        <v>2187756.3924918729</v>
      </c>
      <c r="K135" s="15">
        <f t="shared" si="67"/>
        <v>1695662.5921461163</v>
      </c>
      <c r="L135" s="15">
        <f t="shared" si="67"/>
        <v>18069.078965992485</v>
      </c>
      <c r="M135" s="15">
        <f t="shared" si="67"/>
        <v>450465.92444876686</v>
      </c>
      <c r="N135" s="15">
        <f t="shared" si="67"/>
        <v>757166.67830565991</v>
      </c>
      <c r="O135" s="15">
        <f t="shared" si="67"/>
        <v>323377.80781022221</v>
      </c>
      <c r="P135" s="15">
        <f t="shared" si="67"/>
        <v>107197.7474387416</v>
      </c>
      <c r="Q135" s="15">
        <f t="shared" si="67"/>
        <v>1117974.2487969853</v>
      </c>
      <c r="R135" s="15">
        <f t="shared" si="67"/>
        <v>18212.680773165222</v>
      </c>
      <c r="U135" s="9">
        <f t="shared" si="47"/>
        <v>0</v>
      </c>
    </row>
    <row r="136" spans="1:21" x14ac:dyDescent="0.25">
      <c r="A136" s="37">
        <v>282</v>
      </c>
      <c r="B136" s="8" t="s">
        <v>107</v>
      </c>
      <c r="D136" s="54">
        <v>73</v>
      </c>
      <c r="F136" s="43">
        <v>-21595894.950353727</v>
      </c>
      <c r="G136" s="15">
        <f t="shared" si="67"/>
        <v>-10857292.994500434</v>
      </c>
      <c r="H136" s="15">
        <f t="shared" si="67"/>
        <v>-2917389.4488432845</v>
      </c>
      <c r="I136" s="15">
        <f t="shared" si="67"/>
        <v>-2982025.9624296944</v>
      </c>
      <c r="J136" s="15">
        <f t="shared" si="67"/>
        <v>-1998419.3310208826</v>
      </c>
      <c r="K136" s="15">
        <f t="shared" si="67"/>
        <v>-1300418.4103305002</v>
      </c>
      <c r="L136" s="15">
        <f t="shared" si="67"/>
        <v>-5010.247628482065</v>
      </c>
      <c r="M136" s="15">
        <f t="shared" si="67"/>
        <v>-113400.04438430743</v>
      </c>
      <c r="N136" s="15">
        <f t="shared" si="67"/>
        <v>-691802.89883963147</v>
      </c>
      <c r="O136" s="15">
        <f t="shared" si="67"/>
        <v>-636884.53798088187</v>
      </c>
      <c r="P136" s="15">
        <f t="shared" si="67"/>
        <v>0</v>
      </c>
      <c r="Q136" s="15">
        <f t="shared" si="67"/>
        <v>-86383.579801414933</v>
      </c>
      <c r="R136" s="15">
        <f t="shared" si="67"/>
        <v>-6867.4945942124859</v>
      </c>
      <c r="U136" s="9">
        <f t="shared" si="47"/>
        <v>0</v>
      </c>
    </row>
    <row r="137" spans="1:21" x14ac:dyDescent="0.25">
      <c r="A137" s="37">
        <v>282.01</v>
      </c>
      <c r="B137" s="8" t="s">
        <v>108</v>
      </c>
      <c r="D137" s="54">
        <v>82</v>
      </c>
      <c r="F137" s="43">
        <v>-1584894.1527864772</v>
      </c>
      <c r="G137" s="15">
        <f t="shared" si="67"/>
        <v>-742463.21610729001</v>
      </c>
      <c r="H137" s="15">
        <f t="shared" si="67"/>
        <v>-199502.24737628747</v>
      </c>
      <c r="I137" s="15">
        <f t="shared" si="67"/>
        <v>-203922.33936235035</v>
      </c>
      <c r="J137" s="15">
        <f t="shared" si="67"/>
        <v>-136659.55633621669</v>
      </c>
      <c r="K137" s="15">
        <f t="shared" si="67"/>
        <v>-88927.584040347385</v>
      </c>
      <c r="L137" s="15">
        <f t="shared" si="67"/>
        <v>-342.61989333998594</v>
      </c>
      <c r="M137" s="15">
        <f t="shared" si="67"/>
        <v>-7754.7287065873525</v>
      </c>
      <c r="N137" s="15">
        <f t="shared" si="67"/>
        <v>-47308.127858849606</v>
      </c>
      <c r="O137" s="15">
        <f t="shared" si="67"/>
        <v>-43552.600321075544</v>
      </c>
      <c r="P137" s="15">
        <f t="shared" si="67"/>
        <v>-108084.26770033073</v>
      </c>
      <c r="Q137" s="15">
        <f t="shared" si="67"/>
        <v>-5907.2395403445862</v>
      </c>
      <c r="R137" s="15">
        <f t="shared" si="67"/>
        <v>-469.62554345739454</v>
      </c>
      <c r="U137" s="9">
        <f t="shared" si="47"/>
        <v>0</v>
      </c>
    </row>
    <row r="138" spans="1:21" x14ac:dyDescent="0.25">
      <c r="A138" s="37">
        <v>282.02</v>
      </c>
      <c r="B138" s="8" t="s">
        <v>109</v>
      </c>
      <c r="D138" s="54">
        <v>75</v>
      </c>
      <c r="F138" s="43">
        <v>-1211715825.9577425</v>
      </c>
      <c r="G138" s="15">
        <f t="shared" si="67"/>
        <v>-674784840.76990902</v>
      </c>
      <c r="H138" s="15">
        <f t="shared" si="67"/>
        <v>-155300459.76125652</v>
      </c>
      <c r="I138" s="15">
        <f t="shared" si="67"/>
        <v>-145706535.46197394</v>
      </c>
      <c r="J138" s="15">
        <f t="shared" si="67"/>
        <v>-86667708.139678061</v>
      </c>
      <c r="K138" s="15">
        <f t="shared" si="67"/>
        <v>-58966637.049901329</v>
      </c>
      <c r="L138" s="15">
        <f t="shared" si="67"/>
        <v>-336166.50592480833</v>
      </c>
      <c r="M138" s="15">
        <f t="shared" si="67"/>
        <v>-8000686.4769614609</v>
      </c>
      <c r="N138" s="15">
        <f t="shared" si="67"/>
        <v>-30000497.320782166</v>
      </c>
      <c r="O138" s="15">
        <f t="shared" si="67"/>
        <v>-24088783.850356366</v>
      </c>
      <c r="P138" s="15">
        <f t="shared" si="67"/>
        <v>-14050313.702107616</v>
      </c>
      <c r="Q138" s="15">
        <f t="shared" si="67"/>
        <v>-13414336.059430914</v>
      </c>
      <c r="R138" s="15">
        <f t="shared" si="67"/>
        <v>-398860.85946009215</v>
      </c>
      <c r="U138" s="9">
        <f t="shared" si="47"/>
        <v>0</v>
      </c>
    </row>
    <row r="139" spans="1:21" x14ac:dyDescent="0.25">
      <c r="A139" s="37">
        <v>235</v>
      </c>
      <c r="B139" s="8" t="s">
        <v>110</v>
      </c>
      <c r="D139" s="54">
        <v>9</v>
      </c>
      <c r="F139" s="43">
        <v>-19040677.756270085</v>
      </c>
      <c r="G139" s="15">
        <f t="shared" si="67"/>
        <v>-16610348.796423338</v>
      </c>
      <c r="H139" s="15">
        <f t="shared" si="67"/>
        <v>-1460866.4787124703</v>
      </c>
      <c r="I139" s="15">
        <f t="shared" si="67"/>
        <v>-639730.09634541022</v>
      </c>
      <c r="J139" s="15">
        <f t="shared" si="67"/>
        <v>-282350.80818747677</v>
      </c>
      <c r="K139" s="15">
        <f t="shared" si="67"/>
        <v>-23480.247694574198</v>
      </c>
      <c r="L139" s="15">
        <f t="shared" si="67"/>
        <v>0</v>
      </c>
      <c r="M139" s="15">
        <f t="shared" si="67"/>
        <v>0</v>
      </c>
      <c r="N139" s="15">
        <f t="shared" si="67"/>
        <v>-236.10387396380045</v>
      </c>
      <c r="O139" s="15">
        <f t="shared" si="67"/>
        <v>0</v>
      </c>
      <c r="P139" s="15">
        <f t="shared" si="67"/>
        <v>0</v>
      </c>
      <c r="Q139" s="15">
        <f t="shared" si="67"/>
        <v>-23665.225032851478</v>
      </c>
      <c r="R139" s="15">
        <f t="shared" si="67"/>
        <v>0</v>
      </c>
      <c r="U139" s="9">
        <f t="shared" si="47"/>
        <v>0</v>
      </c>
    </row>
    <row r="140" spans="1:21" x14ac:dyDescent="0.25">
      <c r="A140" s="37">
        <v>235.01</v>
      </c>
      <c r="B140" s="8" t="s">
        <v>111</v>
      </c>
      <c r="D140" s="54">
        <v>82</v>
      </c>
      <c r="F140" s="43">
        <v>-5962277.1433333335</v>
      </c>
      <c r="G140" s="15">
        <f t="shared" si="67"/>
        <v>-2793102.2746088984</v>
      </c>
      <c r="H140" s="15">
        <f t="shared" si="67"/>
        <v>-750515.53915065981</v>
      </c>
      <c r="I140" s="15">
        <f t="shared" si="67"/>
        <v>-767143.66120764369</v>
      </c>
      <c r="J140" s="15">
        <f t="shared" si="67"/>
        <v>-514105.08880290628</v>
      </c>
      <c r="K140" s="15">
        <f t="shared" si="67"/>
        <v>-334540.25986746722</v>
      </c>
      <c r="L140" s="15">
        <f t="shared" si="67"/>
        <v>-1288.9155754160422</v>
      </c>
      <c r="M140" s="15">
        <f t="shared" si="67"/>
        <v>-29172.826234955326</v>
      </c>
      <c r="N140" s="15">
        <f t="shared" si="67"/>
        <v>-177970.35147792022</v>
      </c>
      <c r="O140" s="15">
        <f t="shared" si="67"/>
        <v>-163842.28118359696</v>
      </c>
      <c r="P140" s="15">
        <f t="shared" si="67"/>
        <v>-406606.55964349624</v>
      </c>
      <c r="Q140" s="15">
        <f t="shared" si="67"/>
        <v>-22222.682334759349</v>
      </c>
      <c r="R140" s="15">
        <f t="shared" si="67"/>
        <v>-1766.7032456133682</v>
      </c>
      <c r="U140" s="9">
        <f t="shared" si="47"/>
        <v>0</v>
      </c>
    </row>
    <row r="141" spans="1:21" x14ac:dyDescent="0.25">
      <c r="A141" s="37">
        <v>252</v>
      </c>
      <c r="B141" s="8" t="s">
        <v>112</v>
      </c>
      <c r="D141" s="54">
        <v>10</v>
      </c>
      <c r="F141" s="43">
        <v>-54720677.887500003</v>
      </c>
      <c r="G141" s="15">
        <f t="shared" si="67"/>
        <v>-21173102.935833331</v>
      </c>
      <c r="H141" s="15">
        <f t="shared" si="67"/>
        <v>-31313866.958082631</v>
      </c>
      <c r="I141" s="15">
        <f t="shared" si="67"/>
        <v>-2025260.4454428731</v>
      </c>
      <c r="J141" s="15">
        <f t="shared" si="67"/>
        <v>-208447.54814116366</v>
      </c>
      <c r="K141" s="15">
        <f t="shared" si="67"/>
        <v>0</v>
      </c>
      <c r="L141" s="15">
        <f t="shared" si="67"/>
        <v>0</v>
      </c>
      <c r="M141" s="15">
        <f t="shared" si="67"/>
        <v>0</v>
      </c>
      <c r="N141" s="15">
        <f t="shared" si="67"/>
        <v>0</v>
      </c>
      <c r="O141" s="15">
        <f t="shared" si="67"/>
        <v>0</v>
      </c>
      <c r="P141" s="15">
        <f t="shared" si="67"/>
        <v>0</v>
      </c>
      <c r="Q141" s="15">
        <f t="shared" si="67"/>
        <v>0</v>
      </c>
      <c r="R141" s="15">
        <f t="shared" si="67"/>
        <v>0</v>
      </c>
      <c r="U141" s="9">
        <f t="shared" ref="U141:U184" si="68">SUM(G141:R141)-F141</f>
        <v>0</v>
      </c>
    </row>
    <row r="142" spans="1:21" x14ac:dyDescent="0.25">
      <c r="A142" s="37">
        <v>253</v>
      </c>
      <c r="B142" s="8" t="s">
        <v>113</v>
      </c>
      <c r="D142" s="54">
        <v>78</v>
      </c>
      <c r="F142" s="43">
        <v>-6362920.1743808333</v>
      </c>
      <c r="G142" s="15">
        <f t="shared" si="67"/>
        <v>-3798110.6617232705</v>
      </c>
      <c r="H142" s="15">
        <f t="shared" si="67"/>
        <v>-797566.6769114827</v>
      </c>
      <c r="I142" s="15">
        <f t="shared" si="67"/>
        <v>-670763.45617178502</v>
      </c>
      <c r="J142" s="15">
        <f t="shared" si="67"/>
        <v>-395632.36843181134</v>
      </c>
      <c r="K142" s="15">
        <f t="shared" si="67"/>
        <v>-269109.73956686986</v>
      </c>
      <c r="L142" s="15">
        <f t="shared" si="67"/>
        <v>-1545.7173111796001</v>
      </c>
      <c r="M142" s="15">
        <f t="shared" si="67"/>
        <v>-36942.482833821494</v>
      </c>
      <c r="N142" s="15">
        <f t="shared" si="67"/>
        <v>-137266.17150142987</v>
      </c>
      <c r="O142" s="15">
        <f t="shared" si="67"/>
        <v>-109515.08481471326</v>
      </c>
      <c r="P142" s="15">
        <f t="shared" si="67"/>
        <v>-66989.432474182599</v>
      </c>
      <c r="Q142" s="15">
        <f t="shared" si="67"/>
        <v>-77646.251471144977</v>
      </c>
      <c r="R142" s="15">
        <f t="shared" si="67"/>
        <v>-1832.1311691410797</v>
      </c>
      <c r="U142" s="9">
        <f t="shared" si="68"/>
        <v>0</v>
      </c>
    </row>
    <row r="143" spans="1:21" x14ac:dyDescent="0.25">
      <c r="A143" s="37">
        <v>114.01</v>
      </c>
      <c r="B143" s="8" t="s">
        <v>114</v>
      </c>
      <c r="D143" s="54">
        <v>73</v>
      </c>
      <c r="F143" s="43">
        <v>274406870.52357036</v>
      </c>
      <c r="G143" s="15">
        <f t="shared" si="67"/>
        <v>137957505.34198394</v>
      </c>
      <c r="H143" s="15">
        <f t="shared" si="67"/>
        <v>37069624.139029115</v>
      </c>
      <c r="I143" s="15">
        <f t="shared" si="67"/>
        <v>37890923.90250618</v>
      </c>
      <c r="J143" s="15">
        <f t="shared" si="67"/>
        <v>25392788.577639628</v>
      </c>
      <c r="K143" s="15">
        <f t="shared" si="67"/>
        <v>16523684.115447316</v>
      </c>
      <c r="L143" s="15">
        <f t="shared" si="67"/>
        <v>63662.393961468333</v>
      </c>
      <c r="M143" s="15">
        <f t="shared" si="67"/>
        <v>1440910.4771192682</v>
      </c>
      <c r="N143" s="15">
        <f t="shared" si="67"/>
        <v>8790349.6903520543</v>
      </c>
      <c r="O143" s="15">
        <f t="shared" si="67"/>
        <v>8092533.0186106144</v>
      </c>
      <c r="P143" s="15">
        <f t="shared" si="67"/>
        <v>0</v>
      </c>
      <c r="Q143" s="15">
        <f t="shared" si="67"/>
        <v>1097627.4820942816</v>
      </c>
      <c r="R143" s="15">
        <f t="shared" si="67"/>
        <v>87261.384826495385</v>
      </c>
      <c r="U143" s="9">
        <f t="shared" si="68"/>
        <v>0</v>
      </c>
    </row>
    <row r="144" spans="1:21" x14ac:dyDescent="0.25">
      <c r="A144" s="37">
        <v>114.02</v>
      </c>
      <c r="B144" s="8" t="s">
        <v>115</v>
      </c>
      <c r="D144" s="54">
        <v>82</v>
      </c>
      <c r="F144" s="43">
        <v>946172.25</v>
      </c>
      <c r="G144" s="15">
        <f t="shared" si="67"/>
        <v>443246.06188455911</v>
      </c>
      <c r="H144" s="15">
        <f t="shared" si="67"/>
        <v>119101.63839534931</v>
      </c>
      <c r="I144" s="15">
        <f t="shared" si="67"/>
        <v>121740.40665145474</v>
      </c>
      <c r="J144" s="15">
        <f t="shared" si="67"/>
        <v>81584.930877122199</v>
      </c>
      <c r="K144" s="15">
        <f t="shared" si="67"/>
        <v>53089.231309603638</v>
      </c>
      <c r="L144" s="15">
        <f t="shared" si="67"/>
        <v>204.54200982841843</v>
      </c>
      <c r="M144" s="15">
        <f t="shared" si="67"/>
        <v>4629.5262655561419</v>
      </c>
      <c r="N144" s="15">
        <f t="shared" si="67"/>
        <v>28242.666995015323</v>
      </c>
      <c r="O144" s="15">
        <f t="shared" si="67"/>
        <v>26000.639706249516</v>
      </c>
      <c r="P144" s="15">
        <f t="shared" si="67"/>
        <v>64525.655911989437</v>
      </c>
      <c r="Q144" s="15">
        <f t="shared" si="67"/>
        <v>3526.586376352042</v>
      </c>
      <c r="R144" s="15">
        <f t="shared" si="67"/>
        <v>280.36361691998735</v>
      </c>
      <c r="U144" s="9">
        <f t="shared" si="68"/>
        <v>0</v>
      </c>
    </row>
    <row r="145" spans="1:21" x14ac:dyDescent="0.25">
      <c r="A145" s="37">
        <v>114.03</v>
      </c>
      <c r="B145" s="8" t="s">
        <v>116</v>
      </c>
      <c r="D145" s="54">
        <v>68</v>
      </c>
      <c r="F145" s="43">
        <v>302358.00999999995</v>
      </c>
      <c r="G145" s="15">
        <f t="shared" si="67"/>
        <v>196949.08726211352</v>
      </c>
      <c r="H145" s="15">
        <f t="shared" si="67"/>
        <v>36716.732959784589</v>
      </c>
      <c r="I145" s="15">
        <f t="shared" si="67"/>
        <v>29411.647410738078</v>
      </c>
      <c r="J145" s="15">
        <f t="shared" si="67"/>
        <v>12872.64257307892</v>
      </c>
      <c r="K145" s="15">
        <f t="shared" si="67"/>
        <v>9977.1887528919815</v>
      </c>
      <c r="L145" s="15">
        <f t="shared" si="67"/>
        <v>106.31750223754572</v>
      </c>
      <c r="M145" s="15">
        <f t="shared" si="67"/>
        <v>2650.5176063847744</v>
      </c>
      <c r="N145" s="15">
        <f t="shared" si="67"/>
        <v>4455.1285744262295</v>
      </c>
      <c r="O145" s="15">
        <f t="shared" si="67"/>
        <v>1902.737868938606</v>
      </c>
      <c r="P145" s="15">
        <f t="shared" si="67"/>
        <v>630.74586007556729</v>
      </c>
      <c r="Q145" s="15">
        <f t="shared" si="67"/>
        <v>6578.1011816759919</v>
      </c>
      <c r="R145" s="15">
        <f t="shared" si="67"/>
        <v>107.16244765419577</v>
      </c>
      <c r="U145" s="9">
        <f t="shared" si="68"/>
        <v>0</v>
      </c>
    </row>
    <row r="146" spans="1:21" x14ac:dyDescent="0.25">
      <c r="A146" s="37">
        <v>115.01</v>
      </c>
      <c r="B146" s="8" t="s">
        <v>117</v>
      </c>
      <c r="D146" s="54">
        <v>73</v>
      </c>
      <c r="F146" s="43">
        <v>-110171960.3233543</v>
      </c>
      <c r="G146" s="15">
        <f t="shared" si="67"/>
        <v>-55388732.708645724</v>
      </c>
      <c r="H146" s="15">
        <f t="shared" si="67"/>
        <v>-14883130.120081931</v>
      </c>
      <c r="I146" s="15">
        <f t="shared" si="67"/>
        <v>-15212874.797329737</v>
      </c>
      <c r="J146" s="15">
        <f t="shared" si="67"/>
        <v>-10194982.692442236</v>
      </c>
      <c r="K146" s="15">
        <f t="shared" si="67"/>
        <v>-6634114.762831104</v>
      </c>
      <c r="L146" s="15">
        <f t="shared" si="67"/>
        <v>-25559.894795018201</v>
      </c>
      <c r="M146" s="15">
        <f t="shared" si="67"/>
        <v>-578512.96365793352</v>
      </c>
      <c r="N146" s="15">
        <f t="shared" si="67"/>
        <v>-3529248.5769983325</v>
      </c>
      <c r="O146" s="15">
        <f t="shared" si="67"/>
        <v>-3249081.2818960422</v>
      </c>
      <c r="P146" s="15">
        <f t="shared" si="67"/>
        <v>0</v>
      </c>
      <c r="Q146" s="15">
        <f t="shared" si="67"/>
        <v>-440687.84129341732</v>
      </c>
      <c r="R146" s="15">
        <f t="shared" si="67"/>
        <v>-35034.683382826675</v>
      </c>
      <c r="U146" s="9">
        <f t="shared" si="68"/>
        <v>0</v>
      </c>
    </row>
    <row r="147" spans="1:21" x14ac:dyDescent="0.25">
      <c r="A147" s="37">
        <v>115.02</v>
      </c>
      <c r="B147" s="8" t="s">
        <v>118</v>
      </c>
      <c r="D147" s="54">
        <v>82</v>
      </c>
      <c r="F147" s="43">
        <v>-880239</v>
      </c>
      <c r="G147" s="15">
        <f t="shared" si="67"/>
        <v>-412358.81761191203</v>
      </c>
      <c r="H147" s="15">
        <f t="shared" si="67"/>
        <v>-110802.13679854157</v>
      </c>
      <c r="I147" s="15">
        <f t="shared" si="67"/>
        <v>-113257.02461731453</v>
      </c>
      <c r="J147" s="15">
        <f t="shared" si="67"/>
        <v>-75899.750780417802</v>
      </c>
      <c r="K147" s="15">
        <f t="shared" si="67"/>
        <v>-49389.751050862244</v>
      </c>
      <c r="L147" s="15">
        <f t="shared" si="67"/>
        <v>-190.28866486980274</v>
      </c>
      <c r="M147" s="15">
        <f t="shared" si="67"/>
        <v>-4306.9214622040254</v>
      </c>
      <c r="N147" s="15">
        <f t="shared" si="67"/>
        <v>-26274.599527755432</v>
      </c>
      <c r="O147" s="15">
        <f t="shared" si="67"/>
        <v>-24188.806102048933</v>
      </c>
      <c r="P147" s="15">
        <f t="shared" si="67"/>
        <v>-60029.237630160547</v>
      </c>
      <c r="Q147" s="15">
        <f t="shared" si="67"/>
        <v>-3280.8390494793575</v>
      </c>
      <c r="R147" s="15">
        <f t="shared" si="67"/>
        <v>-260.82670443360894</v>
      </c>
      <c r="U147" s="9">
        <f t="shared" si="68"/>
        <v>0</v>
      </c>
    </row>
    <row r="148" spans="1:21" x14ac:dyDescent="0.25">
      <c r="A148" s="37">
        <v>115.03</v>
      </c>
      <c r="B148" s="8" t="s">
        <v>119</v>
      </c>
      <c r="D148" s="54">
        <v>68</v>
      </c>
      <c r="F148" s="43">
        <v>-302358.00999999995</v>
      </c>
      <c r="G148" s="15">
        <f t="shared" si="67"/>
        <v>-196949.08726211352</v>
      </c>
      <c r="H148" s="15">
        <f t="shared" si="67"/>
        <v>-36716.732959784589</v>
      </c>
      <c r="I148" s="15">
        <f t="shared" si="67"/>
        <v>-29411.647410738078</v>
      </c>
      <c r="J148" s="15">
        <f t="shared" si="67"/>
        <v>-12872.64257307892</v>
      </c>
      <c r="K148" s="15">
        <f t="shared" si="67"/>
        <v>-9977.1887528919815</v>
      </c>
      <c r="L148" s="15">
        <f t="shared" si="67"/>
        <v>-106.31750223754572</v>
      </c>
      <c r="M148" s="15">
        <f t="shared" si="67"/>
        <v>-2650.5176063847744</v>
      </c>
      <c r="N148" s="15">
        <f t="shared" si="67"/>
        <v>-4455.1285744262295</v>
      </c>
      <c r="O148" s="15">
        <f t="shared" si="67"/>
        <v>-1902.737868938606</v>
      </c>
      <c r="P148" s="15">
        <f t="shared" si="67"/>
        <v>-630.74586007556729</v>
      </c>
      <c r="Q148" s="15">
        <f t="shared" si="67"/>
        <v>-6578.1011816759919</v>
      </c>
      <c r="R148" s="15">
        <f t="shared" si="67"/>
        <v>-107.16244765419577</v>
      </c>
      <c r="U148" s="9">
        <f t="shared" si="68"/>
        <v>0</v>
      </c>
    </row>
    <row r="149" spans="1:21" x14ac:dyDescent="0.25">
      <c r="A149" s="37">
        <v>230</v>
      </c>
      <c r="B149" s="8" t="s">
        <v>120</v>
      </c>
      <c r="D149" s="54">
        <v>73</v>
      </c>
      <c r="F149" s="43">
        <v>-66549569.550243177</v>
      </c>
      <c r="G149" s="15">
        <f t="shared" si="67"/>
        <v>-33457662.992245656</v>
      </c>
      <c r="H149" s="15">
        <f t="shared" si="67"/>
        <v>-8990181.3505423497</v>
      </c>
      <c r="I149" s="15">
        <f t="shared" si="67"/>
        <v>-9189364.2122062314</v>
      </c>
      <c r="J149" s="15">
        <f t="shared" si="67"/>
        <v>-6158297.5174708525</v>
      </c>
      <c r="K149" s="15">
        <f t="shared" si="67"/>
        <v>-4007348.8800374442</v>
      </c>
      <c r="L149" s="15">
        <f t="shared" si="67"/>
        <v>-15439.500135656419</v>
      </c>
      <c r="M149" s="15">
        <f t="shared" si="67"/>
        <v>-349451.78970832698</v>
      </c>
      <c r="N149" s="15">
        <f t="shared" si="67"/>
        <v>-2131848.9109724904</v>
      </c>
      <c r="O149" s="15">
        <f t="shared" si="67"/>
        <v>-1962613.3556062218</v>
      </c>
      <c r="P149" s="15">
        <f t="shared" si="67"/>
        <v>0</v>
      </c>
      <c r="Q149" s="15">
        <f t="shared" si="67"/>
        <v>-266198.27820097277</v>
      </c>
      <c r="R149" s="15">
        <f t="shared" si="67"/>
        <v>-21162.763116977334</v>
      </c>
      <c r="U149" s="9">
        <f t="shared" si="68"/>
        <v>0</v>
      </c>
    </row>
    <row r="150" spans="1:21" x14ac:dyDescent="0.25">
      <c r="A150" s="37">
        <v>230.01</v>
      </c>
      <c r="B150" s="8" t="s">
        <v>121</v>
      </c>
      <c r="D150" s="54">
        <v>82</v>
      </c>
      <c r="F150" s="43">
        <v>-6071941.4970833324</v>
      </c>
      <c r="G150" s="15">
        <f t="shared" si="67"/>
        <v>-2844475.8938719891</v>
      </c>
      <c r="H150" s="15">
        <f t="shared" si="67"/>
        <v>-764319.79541075625</v>
      </c>
      <c r="I150" s="15">
        <f t="shared" si="67"/>
        <v>-781253.75904732756</v>
      </c>
      <c r="J150" s="15">
        <f t="shared" si="67"/>
        <v>-523561.04010604159</v>
      </c>
      <c r="K150" s="15">
        <f t="shared" si="67"/>
        <v>-340693.46954218752</v>
      </c>
      <c r="L150" s="15">
        <f t="shared" si="67"/>
        <v>-1312.6226407231882</v>
      </c>
      <c r="M150" s="15">
        <f t="shared" si="67"/>
        <v>-29709.402958782157</v>
      </c>
      <c r="N150" s="15">
        <f t="shared" si="67"/>
        <v>-181243.76583158021</v>
      </c>
      <c r="O150" s="15">
        <f t="shared" si="67"/>
        <v>-166855.83748951528</v>
      </c>
      <c r="P150" s="15">
        <f t="shared" si="67"/>
        <v>-414085.28706958919</v>
      </c>
      <c r="Q150" s="15">
        <f t="shared" si="67"/>
        <v>-22631.424840054973</v>
      </c>
      <c r="R150" s="15">
        <f t="shared" si="67"/>
        <v>-1799.1982747843701</v>
      </c>
      <c r="U150" s="9">
        <f t="shared" si="68"/>
        <v>0</v>
      </c>
    </row>
    <row r="151" spans="1:21" x14ac:dyDescent="0.25">
      <c r="A151" s="37">
        <v>230.02</v>
      </c>
      <c r="B151" s="8" t="s">
        <v>122</v>
      </c>
      <c r="D151" s="54">
        <v>68</v>
      </c>
      <c r="F151" s="43">
        <v>-8827087.1591666676</v>
      </c>
      <c r="G151" s="15">
        <f>INDEX(Alloc,($D151),(G$1))*$F151</f>
        <v>-5749762.5387235414</v>
      </c>
      <c r="H151" s="15">
        <f t="shared" si="67"/>
        <v>-1071914.0598784406</v>
      </c>
      <c r="I151" s="15">
        <f t="shared" si="67"/>
        <v>-858648.24678950524</v>
      </c>
      <c r="J151" s="15">
        <f t="shared" si="67"/>
        <v>-375805.94594258349</v>
      </c>
      <c r="K151" s="15">
        <f t="shared" si="67"/>
        <v>-291275.61305630673</v>
      </c>
      <c r="L151" s="15">
        <f t="shared" si="67"/>
        <v>-3103.8498328379442</v>
      </c>
      <c r="M151" s="15">
        <f t="shared" si="67"/>
        <v>-77379.626650090126</v>
      </c>
      <c r="N151" s="15">
        <f t="shared" si="67"/>
        <v>-130063.72224686317</v>
      </c>
      <c r="O151" s="15">
        <f t="shared" si="67"/>
        <v>-55548.827729644472</v>
      </c>
      <c r="P151" s="15">
        <f t="shared" si="67"/>
        <v>-18414.093551451064</v>
      </c>
      <c r="Q151" s="15">
        <f t="shared" si="67"/>
        <v>-192042.11746356988</v>
      </c>
      <c r="R151" s="15">
        <f t="shared" si="67"/>
        <v>-3128.5173018344108</v>
      </c>
      <c r="U151" s="9">
        <f t="shared" si="68"/>
        <v>0</v>
      </c>
    </row>
    <row r="152" spans="1:21" x14ac:dyDescent="0.25">
      <c r="A152" s="37">
        <v>230.03</v>
      </c>
      <c r="B152" s="10" t="s">
        <v>123</v>
      </c>
      <c r="C152" s="10"/>
      <c r="D152" s="56">
        <v>70</v>
      </c>
      <c r="E152" s="10"/>
      <c r="F152" s="44">
        <v>-1037096.4044746666</v>
      </c>
      <c r="G152" s="45">
        <f t="shared" si="67"/>
        <v>-616249.17919780232</v>
      </c>
      <c r="H152" s="45">
        <f t="shared" si="67"/>
        <v>-130191.89783097141</v>
      </c>
      <c r="I152" s="45">
        <f t="shared" si="67"/>
        <v>-110385.80001877857</v>
      </c>
      <c r="J152" s="45">
        <f t="shared" si="67"/>
        <v>-65126.069686355309</v>
      </c>
      <c r="K152" s="45">
        <f t="shared" si="67"/>
        <v>-44306.710261789129</v>
      </c>
      <c r="L152" s="45">
        <f t="shared" si="67"/>
        <v>-254.61796221053478</v>
      </c>
      <c r="M152" s="45">
        <f t="shared" si="67"/>
        <v>-6083.9575787849335</v>
      </c>
      <c r="N152" s="45">
        <f t="shared" si="67"/>
        <v>-22591.546672085744</v>
      </c>
      <c r="O152" s="45">
        <f t="shared" si="67"/>
        <v>-18023.970618425097</v>
      </c>
      <c r="P152" s="45">
        <f t="shared" si="67"/>
        <v>-10990.901177268637</v>
      </c>
      <c r="Q152" s="45">
        <f t="shared" si="67"/>
        <v>-12590.039298663349</v>
      </c>
      <c r="R152" s="45">
        <f t="shared" si="67"/>
        <v>-301.71417153169898</v>
      </c>
      <c r="U152" s="9">
        <f t="shared" si="68"/>
        <v>0</v>
      </c>
    </row>
    <row r="153" spans="1:21" x14ac:dyDescent="0.25">
      <c r="B153" s="30" t="s">
        <v>8</v>
      </c>
      <c r="F153" s="46">
        <f>SUM(F133:F152)</f>
        <v>-954828218.80523431</v>
      </c>
      <c r="G153" s="46">
        <f t="shared" ref="G153:S153" si="69">SUM(G133:G152)</f>
        <v>-540265506.21598566</v>
      </c>
      <c r="H153" s="46">
        <f t="shared" si="69"/>
        <v>-143799376.13065827</v>
      </c>
      <c r="I153" s="46">
        <f t="shared" si="69"/>
        <v>-104090355.02422054</v>
      </c>
      <c r="J153" s="46">
        <f t="shared" si="69"/>
        <v>-58383005.550170228</v>
      </c>
      <c r="K153" s="46">
        <f t="shared" si="69"/>
        <v>-40053504.625464313</v>
      </c>
      <c r="L153" s="46">
        <f t="shared" ref="L153:M153" si="70">SUM(L133:L152)</f>
        <v>-254245.98271161725</v>
      </c>
      <c r="M153" s="46">
        <f t="shared" si="70"/>
        <v>-6114437.7845114106</v>
      </c>
      <c r="N153" s="46">
        <f t="shared" si="69"/>
        <v>-20039876.847513657</v>
      </c>
      <c r="O153" s="46">
        <f t="shared" si="69"/>
        <v>-15208527.26509726</v>
      </c>
      <c r="P153" s="46">
        <f t="shared" si="69"/>
        <v>-14910851.908965196</v>
      </c>
      <c r="Q153" s="46">
        <f t="shared" si="69"/>
        <v>-11416863.55849625</v>
      </c>
      <c r="R153" s="46">
        <f t="shared" si="69"/>
        <v>-291667.91143982351</v>
      </c>
      <c r="S153" s="38">
        <f t="shared" si="69"/>
        <v>0</v>
      </c>
      <c r="U153" s="9">
        <f t="shared" si="68"/>
        <v>0</v>
      </c>
    </row>
    <row r="154" spans="1:21" x14ac:dyDescent="0.25">
      <c r="B154" s="10"/>
      <c r="C154" s="10"/>
      <c r="D154" s="56"/>
      <c r="E154" s="10"/>
      <c r="F154" s="44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U154" s="9">
        <f t="shared" si="68"/>
        <v>0</v>
      </c>
    </row>
    <row r="155" spans="1:21" x14ac:dyDescent="0.25">
      <c r="B155" s="30" t="s">
        <v>124</v>
      </c>
      <c r="F155" s="46">
        <f>SUM(F127,F130,F153)</f>
        <v>-727822977.10294485</v>
      </c>
      <c r="G155" s="46">
        <f t="shared" ref="G155:R155" si="71">SUM(G127,G130,G153)</f>
        <v>-413412736.30878794</v>
      </c>
      <c r="H155" s="46">
        <f t="shared" si="71"/>
        <v>-114733961.23039991</v>
      </c>
      <c r="I155" s="46">
        <f t="shared" si="71"/>
        <v>-76968283.848296136</v>
      </c>
      <c r="J155" s="46">
        <f t="shared" si="71"/>
        <v>-42237014.044799313</v>
      </c>
      <c r="K155" s="46">
        <f t="shared" si="71"/>
        <v>-29073813.532384433</v>
      </c>
      <c r="L155" s="46">
        <f t="shared" ref="L155:M155" si="72">SUM(L127,L130,L153)</f>
        <v>-191849.0420549874</v>
      </c>
      <c r="M155" s="46">
        <f t="shared" si="72"/>
        <v>-4629607.0357654896</v>
      </c>
      <c r="N155" s="46">
        <f t="shared" si="71"/>
        <v>-14450155.908576407</v>
      </c>
      <c r="O155" s="46">
        <f t="shared" si="71"/>
        <v>-10714266.401665658</v>
      </c>
      <c r="P155" s="46">
        <f t="shared" si="71"/>
        <v>-12291322.109306755</v>
      </c>
      <c r="Q155" s="46">
        <f t="shared" si="71"/>
        <v>-8902415.1910111941</v>
      </c>
      <c r="R155" s="46">
        <f t="shared" si="71"/>
        <v>-217552.44989648534</v>
      </c>
      <c r="U155" s="9">
        <f t="shared" si="68"/>
        <v>0</v>
      </c>
    </row>
    <row r="156" spans="1:21" ht="16.5" thickBot="1" x14ac:dyDescent="0.3">
      <c r="A156" s="52"/>
      <c r="B156" s="12"/>
      <c r="C156" s="12"/>
      <c r="D156" s="59"/>
      <c r="E156" s="12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U156" s="9">
        <f t="shared" si="68"/>
        <v>0</v>
      </c>
    </row>
    <row r="157" spans="1:21" ht="16.5" thickTop="1" x14ac:dyDescent="0.25">
      <c r="A157" s="29" t="s">
        <v>125</v>
      </c>
      <c r="F157" s="46">
        <f>SUM(F72,F123,F155)</f>
        <v>5097747769.9494286</v>
      </c>
      <c r="G157" s="46">
        <f t="shared" ref="G157:R157" si="73">SUM(G72,G123,G155)</f>
        <v>2825553953.048718</v>
      </c>
      <c r="H157" s="46">
        <f t="shared" si="73"/>
        <v>635227095.12831354</v>
      </c>
      <c r="I157" s="46">
        <f t="shared" si="73"/>
        <v>622772212.59075439</v>
      </c>
      <c r="J157" s="46">
        <f t="shared" si="73"/>
        <v>373398152.99828219</v>
      </c>
      <c r="K157" s="46">
        <f t="shared" si="73"/>
        <v>255174926.68910238</v>
      </c>
      <c r="L157" s="46">
        <f t="shared" ref="L157:M157" si="74">SUM(L72,L123,L155)</f>
        <v>1415617.7414043113</v>
      </c>
      <c r="M157" s="46">
        <f t="shared" si="74"/>
        <v>34124013.96352651</v>
      </c>
      <c r="N157" s="46">
        <f t="shared" si="73"/>
        <v>124851706.57603726</v>
      </c>
      <c r="O157" s="46">
        <f t="shared" si="73"/>
        <v>106715280.35380587</v>
      </c>
      <c r="P157" s="46">
        <f t="shared" si="73"/>
        <v>60855919.302659035</v>
      </c>
      <c r="Q157" s="46">
        <f t="shared" si="73"/>
        <v>55930430.382587329</v>
      </c>
      <c r="R157" s="46">
        <f t="shared" si="73"/>
        <v>1728459.6835672273</v>
      </c>
      <c r="U157" s="9">
        <f t="shared" si="68"/>
        <v>-1.4906702041625977</v>
      </c>
    </row>
    <row r="158" spans="1:21" x14ac:dyDescent="0.25">
      <c r="U158" s="9">
        <f t="shared" si="68"/>
        <v>0</v>
      </c>
    </row>
    <row r="159" spans="1:21" x14ac:dyDescent="0.25">
      <c r="U159" s="9">
        <f t="shared" si="68"/>
        <v>0</v>
      </c>
    </row>
    <row r="160" spans="1:21" x14ac:dyDescent="0.25">
      <c r="U160" s="9">
        <f t="shared" si="68"/>
        <v>0</v>
      </c>
    </row>
    <row r="161" spans="21:21" x14ac:dyDescent="0.25">
      <c r="U161" s="9">
        <f t="shared" si="68"/>
        <v>0</v>
      </c>
    </row>
    <row r="162" spans="21:21" x14ac:dyDescent="0.25">
      <c r="U162" s="9">
        <f t="shared" si="68"/>
        <v>0</v>
      </c>
    </row>
    <row r="163" spans="21:21" x14ac:dyDescent="0.25">
      <c r="U163" s="9">
        <f t="shared" si="68"/>
        <v>0</v>
      </c>
    </row>
    <row r="164" spans="21:21" x14ac:dyDescent="0.25">
      <c r="U164" s="9">
        <f t="shared" si="68"/>
        <v>0</v>
      </c>
    </row>
    <row r="165" spans="21:21" x14ac:dyDescent="0.25">
      <c r="U165" s="9">
        <f t="shared" si="68"/>
        <v>0</v>
      </c>
    </row>
    <row r="166" spans="21:21" x14ac:dyDescent="0.25">
      <c r="U166" s="9">
        <f t="shared" si="68"/>
        <v>0</v>
      </c>
    </row>
    <row r="167" spans="21:21" x14ac:dyDescent="0.25">
      <c r="U167" s="9">
        <f t="shared" si="68"/>
        <v>0</v>
      </c>
    </row>
    <row r="168" spans="21:21" x14ac:dyDescent="0.25">
      <c r="U168" s="9">
        <f t="shared" si="68"/>
        <v>0</v>
      </c>
    </row>
    <row r="169" spans="21:21" x14ac:dyDescent="0.25">
      <c r="U169" s="9">
        <f t="shared" si="68"/>
        <v>0</v>
      </c>
    </row>
    <row r="170" spans="21:21" x14ac:dyDescent="0.25">
      <c r="U170" s="9">
        <f t="shared" si="68"/>
        <v>0</v>
      </c>
    </row>
    <row r="171" spans="21:21" x14ac:dyDescent="0.25">
      <c r="U171" s="9">
        <f t="shared" si="68"/>
        <v>0</v>
      </c>
    </row>
    <row r="172" spans="21:21" x14ac:dyDescent="0.25">
      <c r="U172" s="9">
        <f t="shared" si="68"/>
        <v>0</v>
      </c>
    </row>
    <row r="173" spans="21:21" x14ac:dyDescent="0.25">
      <c r="U173" s="9">
        <f t="shared" si="68"/>
        <v>0</v>
      </c>
    </row>
    <row r="174" spans="21:21" x14ac:dyDescent="0.25">
      <c r="U174" s="9">
        <f t="shared" si="68"/>
        <v>0</v>
      </c>
    </row>
    <row r="175" spans="21:21" x14ac:dyDescent="0.25">
      <c r="U175" s="9">
        <f t="shared" si="68"/>
        <v>0</v>
      </c>
    </row>
    <row r="176" spans="21:21" x14ac:dyDescent="0.25">
      <c r="U176" s="9">
        <f t="shared" si="68"/>
        <v>0</v>
      </c>
    </row>
    <row r="177" spans="21:21" x14ac:dyDescent="0.25">
      <c r="U177" s="9">
        <f t="shared" si="68"/>
        <v>0</v>
      </c>
    </row>
    <row r="178" spans="21:21" x14ac:dyDescent="0.25">
      <c r="U178" s="9">
        <f t="shared" si="68"/>
        <v>0</v>
      </c>
    </row>
    <row r="179" spans="21:21" x14ac:dyDescent="0.25">
      <c r="U179" s="9">
        <f t="shared" si="68"/>
        <v>0</v>
      </c>
    </row>
    <row r="180" spans="21:21" x14ac:dyDescent="0.25">
      <c r="U180" s="9">
        <f t="shared" si="68"/>
        <v>0</v>
      </c>
    </row>
    <row r="181" spans="21:21" x14ac:dyDescent="0.25">
      <c r="U181" s="9">
        <f t="shared" si="68"/>
        <v>0</v>
      </c>
    </row>
    <row r="182" spans="21:21" x14ac:dyDescent="0.25">
      <c r="U182" s="9">
        <f t="shared" si="68"/>
        <v>0</v>
      </c>
    </row>
    <row r="183" spans="21:21" x14ac:dyDescent="0.25">
      <c r="U183" s="9">
        <f t="shared" si="68"/>
        <v>0</v>
      </c>
    </row>
    <row r="184" spans="21:21" x14ac:dyDescent="0.25">
      <c r="U184" s="9">
        <f t="shared" si="68"/>
        <v>0</v>
      </c>
    </row>
  </sheetData>
  <mergeCells count="3">
    <mergeCell ref="A2:R2"/>
    <mergeCell ref="A3:R3"/>
    <mergeCell ref="A4:R4"/>
  </mergeCells>
  <pageMargins left="0.7" right="0.7" top="0.75" bottom="0.75" header="0.3" footer="0.3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8"/>
  <sheetViews>
    <sheetView workbookViewId="0">
      <selection activeCell="A7" sqref="A7:XFD7"/>
    </sheetView>
  </sheetViews>
  <sheetFormatPr defaultRowHeight="15.75" x14ac:dyDescent="0.25"/>
  <cols>
    <col min="1" max="1" width="9.28515625" style="8" bestFit="1" customWidth="1"/>
    <col min="2" max="2" width="37" style="8" customWidth="1"/>
    <col min="3" max="3" width="17.7109375" style="8" hidden="1" customWidth="1"/>
    <col min="4" max="4" width="14.140625" style="113" bestFit="1" customWidth="1"/>
    <col min="5" max="5" width="15.140625" style="8" bestFit="1" customWidth="1"/>
    <col min="6" max="6" width="17.5703125" style="39" customWidth="1"/>
    <col min="7" max="8" width="14" style="8" bestFit="1" customWidth="1"/>
    <col min="9" max="9" width="13.7109375" style="8" customWidth="1"/>
    <col min="10" max="10" width="14" style="8" bestFit="1" customWidth="1"/>
    <col min="11" max="11" width="12.7109375" style="8" bestFit="1" customWidth="1"/>
    <col min="12" max="12" width="9.85546875" style="8" bestFit="1" customWidth="1"/>
    <col min="13" max="13" width="11.5703125" style="8" bestFit="1" customWidth="1"/>
    <col min="14" max="15" width="12.7109375" style="8" bestFit="1" customWidth="1"/>
    <col min="16" max="16" width="12.85546875" style="8" bestFit="1" customWidth="1"/>
    <col min="17" max="17" width="12.7109375" style="8" bestFit="1" customWidth="1"/>
    <col min="18" max="18" width="13.7109375" style="8" customWidth="1"/>
    <col min="19" max="19" width="9.28515625" style="8" bestFit="1" customWidth="1"/>
    <col min="20" max="20" width="14.7109375" style="8" bestFit="1" customWidth="1"/>
    <col min="21" max="37" width="9.28515625" style="8" bestFit="1" customWidth="1"/>
    <col min="38" max="16384" width="9.140625" style="8"/>
  </cols>
  <sheetData>
    <row r="1" spans="1:37" x14ac:dyDescent="0.25">
      <c r="C1" s="8">
        <v>2</v>
      </c>
      <c r="D1" s="113">
        <f>C1+1</f>
        <v>3</v>
      </c>
      <c r="F1" s="8">
        <v>4</v>
      </c>
      <c r="G1" s="8">
        <f t="shared" ref="G1:K1" si="0">F1+1</f>
        <v>5</v>
      </c>
      <c r="H1" s="8">
        <f t="shared" si="0"/>
        <v>6</v>
      </c>
      <c r="I1" s="8">
        <f t="shared" si="0"/>
        <v>7</v>
      </c>
      <c r="J1" s="8">
        <f t="shared" si="0"/>
        <v>8</v>
      </c>
      <c r="K1" s="8">
        <f t="shared" si="0"/>
        <v>9</v>
      </c>
      <c r="L1" s="8">
        <f t="shared" ref="L1" si="1">K1+1</f>
        <v>10</v>
      </c>
      <c r="M1" s="8">
        <f t="shared" ref="M1" si="2">L1+1</f>
        <v>11</v>
      </c>
      <c r="N1" s="8">
        <f t="shared" ref="N1" si="3">M1+1</f>
        <v>12</v>
      </c>
      <c r="O1" s="8">
        <f t="shared" ref="O1" si="4">N1+1</f>
        <v>13</v>
      </c>
      <c r="P1" s="8">
        <f t="shared" ref="P1" si="5">O1+1</f>
        <v>14</v>
      </c>
      <c r="Q1" s="8">
        <f t="shared" ref="Q1" si="6">P1+1</f>
        <v>15</v>
      </c>
      <c r="R1" s="8">
        <f t="shared" ref="R1" si="7">Q1+1</f>
        <v>16</v>
      </c>
      <c r="S1" s="8">
        <f t="shared" ref="S1" si="8">R1+1</f>
        <v>17</v>
      </c>
      <c r="T1" s="8">
        <f t="shared" ref="T1" si="9">S1+1</f>
        <v>18</v>
      </c>
      <c r="U1" s="8">
        <f t="shared" ref="U1" si="10">T1+1</f>
        <v>19</v>
      </c>
      <c r="V1" s="8">
        <f t="shared" ref="V1" si="11">U1+1</f>
        <v>20</v>
      </c>
      <c r="W1" s="8">
        <f t="shared" ref="W1" si="12">V1+1</f>
        <v>21</v>
      </c>
      <c r="X1" s="8">
        <f t="shared" ref="X1" si="13">W1+1</f>
        <v>22</v>
      </c>
      <c r="Y1" s="8">
        <f t="shared" ref="Y1" si="14">X1+1</f>
        <v>23</v>
      </c>
      <c r="Z1" s="8">
        <f t="shared" ref="Z1" si="15">Y1+1</f>
        <v>24</v>
      </c>
      <c r="AA1" s="8">
        <f t="shared" ref="AA1" si="16">Z1+1</f>
        <v>25</v>
      </c>
      <c r="AB1" s="8">
        <f t="shared" ref="AB1" si="17">AA1+1</f>
        <v>26</v>
      </c>
      <c r="AC1" s="8">
        <f t="shared" ref="AC1" si="18">AB1+1</f>
        <v>27</v>
      </c>
      <c r="AD1" s="8">
        <f t="shared" ref="AD1" si="19">AC1+1</f>
        <v>28</v>
      </c>
      <c r="AE1" s="8">
        <f t="shared" ref="AE1" si="20">AD1+1</f>
        <v>29</v>
      </c>
      <c r="AF1" s="8">
        <f t="shared" ref="AF1" si="21">AE1+1</f>
        <v>30</v>
      </c>
      <c r="AG1" s="8">
        <f t="shared" ref="AG1" si="22">AF1+1</f>
        <v>31</v>
      </c>
      <c r="AH1" s="8">
        <f t="shared" ref="AH1" si="23">AG1+1</f>
        <v>32</v>
      </c>
      <c r="AI1" s="8">
        <f t="shared" ref="AI1" si="24">AH1+1</f>
        <v>33</v>
      </c>
      <c r="AJ1" s="8">
        <f t="shared" ref="AJ1" si="25">AI1+1</f>
        <v>34</v>
      </c>
      <c r="AK1" s="8">
        <f t="shared" ref="AK1" si="26">AJ1+1</f>
        <v>35</v>
      </c>
    </row>
    <row r="2" spans="1:37" x14ac:dyDescent="0.25">
      <c r="A2" s="128" t="s">
        <v>562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7" x14ac:dyDescent="0.25">
      <c r="A3" s="128" t="s">
        <v>563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7" x14ac:dyDescent="0.25">
      <c r="A4" s="129" t="s">
        <v>566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37" hidden="1" x14ac:dyDescent="0.25"/>
    <row r="6" spans="1:37" hidden="1" x14ac:dyDescent="0.25"/>
    <row r="7" spans="1:37" s="36" customFormat="1" ht="63" x14ac:dyDescent="0.25">
      <c r="A7" s="31"/>
      <c r="B7" s="28" t="s">
        <v>0</v>
      </c>
      <c r="C7" s="28" t="s">
        <v>432</v>
      </c>
      <c r="D7" s="32" t="s">
        <v>561</v>
      </c>
      <c r="E7" s="33"/>
      <c r="F7" s="117" t="s">
        <v>1</v>
      </c>
      <c r="G7" s="116" t="s">
        <v>293</v>
      </c>
      <c r="H7" s="116" t="s">
        <v>294</v>
      </c>
      <c r="I7" s="116" t="s">
        <v>295</v>
      </c>
      <c r="J7" s="116" t="s">
        <v>296</v>
      </c>
      <c r="K7" s="116" t="s">
        <v>553</v>
      </c>
      <c r="L7" s="116">
        <v>35</v>
      </c>
      <c r="M7" s="116">
        <v>43</v>
      </c>
      <c r="N7" s="116" t="s">
        <v>297</v>
      </c>
      <c r="O7" s="116" t="s">
        <v>298</v>
      </c>
      <c r="P7" s="116" t="s">
        <v>301</v>
      </c>
      <c r="Q7" s="116" t="s">
        <v>299</v>
      </c>
      <c r="R7" s="116" t="s">
        <v>300</v>
      </c>
      <c r="U7" s="116" t="s">
        <v>483</v>
      </c>
    </row>
    <row r="8" spans="1:37" x14ac:dyDescent="0.25">
      <c r="B8" s="30"/>
      <c r="C8" s="30"/>
      <c r="D8" s="114"/>
      <c r="E8" s="30"/>
      <c r="F8" s="38"/>
    </row>
    <row r="9" spans="1:37" x14ac:dyDescent="0.25">
      <c r="A9" s="30" t="s">
        <v>126</v>
      </c>
    </row>
    <row r="11" spans="1:37" x14ac:dyDescent="0.25">
      <c r="A11" s="30" t="s">
        <v>127</v>
      </c>
    </row>
    <row r="13" spans="1:37" x14ac:dyDescent="0.25">
      <c r="B13" s="8" t="s">
        <v>128</v>
      </c>
    </row>
    <row r="14" spans="1:37" x14ac:dyDescent="0.25">
      <c r="A14" s="8" t="s">
        <v>129</v>
      </c>
      <c r="B14" s="8" t="s">
        <v>130</v>
      </c>
      <c r="E14" s="14">
        <v>77830126.592808247</v>
      </c>
      <c r="F14" s="4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37" x14ac:dyDescent="0.25">
      <c r="B15" s="8" t="s">
        <v>433</v>
      </c>
      <c r="E15" s="47">
        <v>0</v>
      </c>
      <c r="F15" s="43">
        <f>E14*E15</f>
        <v>0</v>
      </c>
      <c r="G15" s="22">
        <f t="shared" ref="G15:R16" si="27">INDEX(Alloc,($D15),(G$1))*$F15</f>
        <v>0</v>
      </c>
      <c r="H15" s="22">
        <f t="shared" si="27"/>
        <v>0</v>
      </c>
      <c r="I15" s="22">
        <f t="shared" si="27"/>
        <v>0</v>
      </c>
      <c r="J15" s="22">
        <f t="shared" si="27"/>
        <v>0</v>
      </c>
      <c r="K15" s="22">
        <f t="shared" si="27"/>
        <v>0</v>
      </c>
      <c r="L15" s="22">
        <f t="shared" si="27"/>
        <v>0</v>
      </c>
      <c r="M15" s="22">
        <f t="shared" si="27"/>
        <v>0</v>
      </c>
      <c r="N15" s="22">
        <f t="shared" si="27"/>
        <v>0</v>
      </c>
      <c r="O15" s="22">
        <f t="shared" si="27"/>
        <v>0</v>
      </c>
      <c r="P15" s="22">
        <f t="shared" si="27"/>
        <v>0</v>
      </c>
      <c r="Q15" s="22">
        <f t="shared" si="27"/>
        <v>0</v>
      </c>
      <c r="R15" s="22">
        <f t="shared" si="27"/>
        <v>0</v>
      </c>
      <c r="T15" s="9">
        <f>SUM(G15:R15)-F15</f>
        <v>0</v>
      </c>
    </row>
    <row r="16" spans="1:37" x14ac:dyDescent="0.25">
      <c r="B16" s="8" t="s">
        <v>434</v>
      </c>
      <c r="D16" s="113">
        <v>90</v>
      </c>
      <c r="E16" s="47">
        <v>1</v>
      </c>
      <c r="F16" s="43">
        <f>E14*E16</f>
        <v>77830126.592808247</v>
      </c>
      <c r="G16" s="22">
        <f t="shared" si="27"/>
        <v>39004434.787896432</v>
      </c>
      <c r="H16" s="22">
        <f t="shared" si="27"/>
        <v>10587684.46505199</v>
      </c>
      <c r="I16" s="22">
        <f t="shared" si="27"/>
        <v>10901652.825266514</v>
      </c>
      <c r="J16" s="22">
        <f t="shared" si="27"/>
        <v>7193373.9954175744</v>
      </c>
      <c r="K16" s="22">
        <f t="shared" si="27"/>
        <v>4630826.4501490854</v>
      </c>
      <c r="L16" s="22">
        <f t="shared" si="27"/>
        <v>17948.193962127956</v>
      </c>
      <c r="M16" s="22">
        <f t="shared" si="27"/>
        <v>418721.34126824955</v>
      </c>
      <c r="N16" s="22">
        <f t="shared" si="27"/>
        <v>2474937.6175866816</v>
      </c>
      <c r="O16" s="22">
        <f t="shared" si="27"/>
        <v>2271260.6954232184</v>
      </c>
      <c r="P16" s="22">
        <f t="shared" si="27"/>
        <v>0</v>
      </c>
      <c r="Q16" s="22">
        <f t="shared" si="27"/>
        <v>305750.34291694977</v>
      </c>
      <c r="R16" s="22">
        <f t="shared" si="27"/>
        <v>23535.877869408792</v>
      </c>
      <c r="T16" s="9">
        <f t="shared" ref="T16:T77" si="28">SUM(G16:R16)-F16</f>
        <v>0</v>
      </c>
    </row>
    <row r="17" spans="1:20" x14ac:dyDescent="0.25">
      <c r="A17" s="8" t="s">
        <v>131</v>
      </c>
      <c r="B17" s="8" t="s">
        <v>132</v>
      </c>
      <c r="E17" s="14">
        <v>126746562.74003057</v>
      </c>
      <c r="F17" s="4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T17" s="9">
        <f t="shared" si="28"/>
        <v>0</v>
      </c>
    </row>
    <row r="18" spans="1:20" x14ac:dyDescent="0.25">
      <c r="B18" s="8" t="s">
        <v>433</v>
      </c>
      <c r="E18" s="47">
        <v>0</v>
      </c>
      <c r="F18" s="43">
        <f>E17*E18</f>
        <v>0</v>
      </c>
      <c r="G18" s="22">
        <f t="shared" ref="G18:R19" si="29">INDEX(Alloc,($D18),(G$1))*$F18</f>
        <v>0</v>
      </c>
      <c r="H18" s="22">
        <f t="shared" si="29"/>
        <v>0</v>
      </c>
      <c r="I18" s="22">
        <f t="shared" si="29"/>
        <v>0</v>
      </c>
      <c r="J18" s="22">
        <f t="shared" si="29"/>
        <v>0</v>
      </c>
      <c r="K18" s="22">
        <f t="shared" si="29"/>
        <v>0</v>
      </c>
      <c r="L18" s="22">
        <f t="shared" si="29"/>
        <v>0</v>
      </c>
      <c r="M18" s="22">
        <f t="shared" si="29"/>
        <v>0</v>
      </c>
      <c r="N18" s="22">
        <f t="shared" si="29"/>
        <v>0</v>
      </c>
      <c r="O18" s="22">
        <f t="shared" si="29"/>
        <v>0</v>
      </c>
      <c r="P18" s="22">
        <f t="shared" si="29"/>
        <v>0</v>
      </c>
      <c r="Q18" s="22">
        <f t="shared" si="29"/>
        <v>0</v>
      </c>
      <c r="R18" s="22">
        <f t="shared" si="29"/>
        <v>0</v>
      </c>
      <c r="T18" s="9">
        <f t="shared" si="28"/>
        <v>0</v>
      </c>
    </row>
    <row r="19" spans="1:20" x14ac:dyDescent="0.25">
      <c r="B19" s="10" t="s">
        <v>434</v>
      </c>
      <c r="C19" s="10"/>
      <c r="D19" s="118">
        <v>90</v>
      </c>
      <c r="E19" s="48">
        <v>1</v>
      </c>
      <c r="F19" s="44">
        <f>E17*E19</f>
        <v>126746562.74003057</v>
      </c>
      <c r="G19" s="119">
        <f t="shared" si="29"/>
        <v>63518823.07538683</v>
      </c>
      <c r="H19" s="119">
        <f t="shared" si="29"/>
        <v>17242071.573931627</v>
      </c>
      <c r="I19" s="119">
        <f t="shared" si="29"/>
        <v>17753369.861733615</v>
      </c>
      <c r="J19" s="119">
        <f t="shared" si="29"/>
        <v>11714428.182710232</v>
      </c>
      <c r="K19" s="119">
        <f t="shared" si="29"/>
        <v>7541312.8681233497</v>
      </c>
      <c r="L19" s="119">
        <f t="shared" si="29"/>
        <v>29228.680353981261</v>
      </c>
      <c r="M19" s="119">
        <f t="shared" si="29"/>
        <v>681888.78876306384</v>
      </c>
      <c r="N19" s="119">
        <f t="shared" si="29"/>
        <v>4030442.3204432777</v>
      </c>
      <c r="O19" s="119">
        <f t="shared" si="29"/>
        <v>3698753.9251673911</v>
      </c>
      <c r="P19" s="119">
        <f t="shared" si="29"/>
        <v>0</v>
      </c>
      <c r="Q19" s="119">
        <f t="shared" si="29"/>
        <v>497915.22534783999</v>
      </c>
      <c r="R19" s="119">
        <f t="shared" si="29"/>
        <v>38328.238069348918</v>
      </c>
      <c r="T19" s="9">
        <f t="shared" si="28"/>
        <v>0</v>
      </c>
    </row>
    <row r="20" spans="1:20" x14ac:dyDescent="0.25">
      <c r="B20" s="30" t="s">
        <v>8</v>
      </c>
      <c r="C20" s="30"/>
      <c r="D20" s="114"/>
      <c r="E20" s="30"/>
      <c r="F20" s="46">
        <f>SUM(F15:F19)</f>
        <v>204576689.33283883</v>
      </c>
      <c r="G20" s="46">
        <f>SUM(G15:G19)</f>
        <v>102523257.86328326</v>
      </c>
      <c r="H20" s="46">
        <f t="shared" ref="H20:R20" si="30">SUM(H15:H19)</f>
        <v>27829756.038983617</v>
      </c>
      <c r="I20" s="46">
        <f t="shared" si="30"/>
        <v>28655022.687000129</v>
      </c>
      <c r="J20" s="46">
        <f t="shared" si="30"/>
        <v>18907802.178127807</v>
      </c>
      <c r="K20" s="46">
        <f t="shared" si="30"/>
        <v>12172139.318272434</v>
      </c>
      <c r="L20" s="46">
        <f t="shared" ref="L20:M20" si="31">SUM(L15:L19)</f>
        <v>47176.874316109213</v>
      </c>
      <c r="M20" s="46">
        <f t="shared" si="31"/>
        <v>1100610.1300313133</v>
      </c>
      <c r="N20" s="46">
        <f t="shared" si="30"/>
        <v>6505379.9380299598</v>
      </c>
      <c r="O20" s="46">
        <f t="shared" si="30"/>
        <v>5970014.6205906095</v>
      </c>
      <c r="P20" s="46">
        <f t="shared" si="30"/>
        <v>0</v>
      </c>
      <c r="Q20" s="46">
        <f t="shared" si="30"/>
        <v>803665.56826478976</v>
      </c>
      <c r="R20" s="46">
        <f t="shared" si="30"/>
        <v>61864.115938757706</v>
      </c>
      <c r="T20" s="9">
        <f t="shared" si="28"/>
        <v>0</v>
      </c>
    </row>
    <row r="21" spans="1:20" x14ac:dyDescent="0.25">
      <c r="F21" s="4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T21" s="9">
        <f t="shared" si="28"/>
        <v>0</v>
      </c>
    </row>
    <row r="22" spans="1:20" x14ac:dyDescent="0.25">
      <c r="B22" s="30" t="s">
        <v>133</v>
      </c>
      <c r="C22" s="30"/>
      <c r="D22" s="114"/>
      <c r="E22" s="30"/>
      <c r="F22" s="4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T22" s="9">
        <f t="shared" si="28"/>
        <v>0</v>
      </c>
    </row>
    <row r="23" spans="1:20" x14ac:dyDescent="0.25">
      <c r="A23" s="8">
        <v>555</v>
      </c>
      <c r="B23" s="8" t="s">
        <v>134</v>
      </c>
      <c r="E23" s="14">
        <v>446618684.04567456</v>
      </c>
      <c r="F23" s="4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T23" s="9">
        <f t="shared" si="28"/>
        <v>0</v>
      </c>
    </row>
    <row r="24" spans="1:20" x14ac:dyDescent="0.25">
      <c r="B24" s="10"/>
      <c r="C24" s="10"/>
      <c r="D24" s="118"/>
      <c r="E24" s="48">
        <v>0</v>
      </c>
      <c r="F24" s="44">
        <f>E23*E24</f>
        <v>0</v>
      </c>
      <c r="G24" s="119">
        <f t="shared" ref="G24:R25" si="32">INDEX(Alloc,($D24),(G$1))*$F24</f>
        <v>0</v>
      </c>
      <c r="H24" s="119">
        <f t="shared" si="32"/>
        <v>0</v>
      </c>
      <c r="I24" s="119">
        <f t="shared" si="32"/>
        <v>0</v>
      </c>
      <c r="J24" s="119">
        <f t="shared" si="32"/>
        <v>0</v>
      </c>
      <c r="K24" s="119">
        <f t="shared" si="32"/>
        <v>0</v>
      </c>
      <c r="L24" s="119">
        <f t="shared" si="32"/>
        <v>0</v>
      </c>
      <c r="M24" s="119">
        <f t="shared" si="32"/>
        <v>0</v>
      </c>
      <c r="N24" s="119">
        <f t="shared" si="32"/>
        <v>0</v>
      </c>
      <c r="O24" s="119">
        <f t="shared" si="32"/>
        <v>0</v>
      </c>
      <c r="P24" s="119">
        <f t="shared" si="32"/>
        <v>0</v>
      </c>
      <c r="Q24" s="119">
        <f t="shared" si="32"/>
        <v>0</v>
      </c>
      <c r="R24" s="119">
        <f t="shared" si="32"/>
        <v>0</v>
      </c>
      <c r="T24" s="9">
        <f t="shared" si="28"/>
        <v>0</v>
      </c>
    </row>
    <row r="25" spans="1:20" x14ac:dyDescent="0.25">
      <c r="B25" s="8" t="s">
        <v>551</v>
      </c>
      <c r="D25" s="113">
        <v>88</v>
      </c>
      <c r="E25" s="47">
        <v>1</v>
      </c>
      <c r="F25" s="43">
        <f>E23*E25</f>
        <v>446618684.04567456</v>
      </c>
      <c r="G25" s="22">
        <f t="shared" si="32"/>
        <v>224536650.16659477</v>
      </c>
      <c r="H25" s="22">
        <f t="shared" si="32"/>
        <v>60333718.027730174</v>
      </c>
      <c r="I25" s="22">
        <f t="shared" si="32"/>
        <v>61670447.749078885</v>
      </c>
      <c r="J25" s="22">
        <f t="shared" si="32"/>
        <v>41328753.165534586</v>
      </c>
      <c r="K25" s="22">
        <f t="shared" si="32"/>
        <v>26893590.678494338</v>
      </c>
      <c r="L25" s="22">
        <f t="shared" si="32"/>
        <v>103615.5346985965</v>
      </c>
      <c r="M25" s="22">
        <f t="shared" si="32"/>
        <v>2345194.7099238369</v>
      </c>
      <c r="N25" s="22">
        <f t="shared" si="32"/>
        <v>14306982.924719138</v>
      </c>
      <c r="O25" s="22">
        <f t="shared" si="32"/>
        <v>13171231.611190988</v>
      </c>
      <c r="P25" s="22">
        <f t="shared" si="32"/>
        <v>0</v>
      </c>
      <c r="Q25" s="22">
        <f t="shared" si="32"/>
        <v>1786474.7361826983</v>
      </c>
      <c r="R25" s="22">
        <f t="shared" si="32"/>
        <v>142024.74152652451</v>
      </c>
      <c r="T25" s="9">
        <f t="shared" si="28"/>
        <v>0</v>
      </c>
    </row>
    <row r="26" spans="1:20" x14ac:dyDescent="0.25">
      <c r="A26" s="8">
        <v>555.01</v>
      </c>
      <c r="B26" s="8" t="s">
        <v>135</v>
      </c>
      <c r="F26" s="43">
        <v>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T26" s="9">
        <f t="shared" si="28"/>
        <v>0</v>
      </c>
    </row>
    <row r="27" spans="1:20" x14ac:dyDescent="0.25">
      <c r="E27" s="47">
        <v>0</v>
      </c>
      <c r="F27" s="43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T27" s="9">
        <f t="shared" si="28"/>
        <v>0</v>
      </c>
    </row>
    <row r="28" spans="1:20" x14ac:dyDescent="0.25">
      <c r="B28" s="10"/>
      <c r="C28" s="10"/>
      <c r="D28" s="118">
        <v>88</v>
      </c>
      <c r="E28" s="48">
        <v>1</v>
      </c>
      <c r="F28" s="4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T28" s="9">
        <f t="shared" si="28"/>
        <v>0</v>
      </c>
    </row>
    <row r="29" spans="1:20" x14ac:dyDescent="0.25">
      <c r="B29" s="30" t="s">
        <v>8</v>
      </c>
      <c r="C29" s="30"/>
      <c r="D29" s="114"/>
      <c r="E29" s="30"/>
      <c r="F29" s="46">
        <f>SUM(F23:F26)</f>
        <v>446618684.04567456</v>
      </c>
      <c r="G29" s="46">
        <f t="shared" ref="G29:R29" si="33">SUM(G23:G26)</f>
        <v>224536650.16659477</v>
      </c>
      <c r="H29" s="46">
        <f t="shared" si="33"/>
        <v>60333718.027730174</v>
      </c>
      <c r="I29" s="46">
        <f t="shared" si="33"/>
        <v>61670447.749078885</v>
      </c>
      <c r="J29" s="46">
        <f t="shared" si="33"/>
        <v>41328753.165534586</v>
      </c>
      <c r="K29" s="46">
        <f t="shared" si="33"/>
        <v>26893590.678494338</v>
      </c>
      <c r="L29" s="46">
        <f t="shared" ref="L29:M29" si="34">SUM(L23:L26)</f>
        <v>103615.5346985965</v>
      </c>
      <c r="M29" s="46">
        <f t="shared" si="34"/>
        <v>2345194.7099238369</v>
      </c>
      <c r="N29" s="46">
        <f t="shared" si="33"/>
        <v>14306982.924719138</v>
      </c>
      <c r="O29" s="46">
        <f t="shared" si="33"/>
        <v>13171231.611190988</v>
      </c>
      <c r="P29" s="46">
        <f t="shared" si="33"/>
        <v>0</v>
      </c>
      <c r="Q29" s="46">
        <f t="shared" si="33"/>
        <v>1786474.7361826983</v>
      </c>
      <c r="R29" s="46">
        <f t="shared" si="33"/>
        <v>142024.74152652451</v>
      </c>
      <c r="T29" s="9">
        <f t="shared" si="28"/>
        <v>0</v>
      </c>
    </row>
    <row r="30" spans="1:20" x14ac:dyDescent="0.25">
      <c r="F30" s="4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T30" s="9">
        <f t="shared" si="28"/>
        <v>0</v>
      </c>
    </row>
    <row r="31" spans="1:20" x14ac:dyDescent="0.25">
      <c r="B31" s="30" t="s">
        <v>136</v>
      </c>
      <c r="C31" s="30"/>
      <c r="D31" s="114"/>
      <c r="E31" s="30"/>
      <c r="F31" s="4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T31" s="9">
        <f t="shared" si="28"/>
        <v>0</v>
      </c>
    </row>
    <row r="32" spans="1:20" x14ac:dyDescent="0.25">
      <c r="A32" s="8">
        <v>565</v>
      </c>
      <c r="B32" s="8" t="s">
        <v>137</v>
      </c>
      <c r="E32" s="14">
        <v>108560757.9292345</v>
      </c>
      <c r="F32" s="4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T32" s="9">
        <f t="shared" si="28"/>
        <v>0</v>
      </c>
    </row>
    <row r="33" spans="1:20" x14ac:dyDescent="0.25">
      <c r="E33" s="47">
        <v>0</v>
      </c>
      <c r="F33" s="43">
        <f>E32*E33</f>
        <v>0</v>
      </c>
      <c r="G33" s="22">
        <f t="shared" ref="G33:R34" si="35">INDEX(Alloc,($D33),(G$1))*$F33</f>
        <v>0</v>
      </c>
      <c r="H33" s="22">
        <f t="shared" si="35"/>
        <v>0</v>
      </c>
      <c r="I33" s="22">
        <f t="shared" si="35"/>
        <v>0</v>
      </c>
      <c r="J33" s="22">
        <f t="shared" si="35"/>
        <v>0</v>
      </c>
      <c r="K33" s="22">
        <f t="shared" si="35"/>
        <v>0</v>
      </c>
      <c r="L33" s="22">
        <f t="shared" si="35"/>
        <v>0</v>
      </c>
      <c r="M33" s="22">
        <f t="shared" si="35"/>
        <v>0</v>
      </c>
      <c r="N33" s="22">
        <f t="shared" si="35"/>
        <v>0</v>
      </c>
      <c r="O33" s="22">
        <f t="shared" si="35"/>
        <v>0</v>
      </c>
      <c r="P33" s="22">
        <f t="shared" si="35"/>
        <v>0</v>
      </c>
      <c r="Q33" s="22">
        <f t="shared" si="35"/>
        <v>0</v>
      </c>
      <c r="R33" s="22">
        <f t="shared" si="35"/>
        <v>0</v>
      </c>
      <c r="T33" s="9">
        <f t="shared" si="28"/>
        <v>0</v>
      </c>
    </row>
    <row r="34" spans="1:20" x14ac:dyDescent="0.25">
      <c r="B34" s="10" t="s">
        <v>551</v>
      </c>
      <c r="C34" s="10"/>
      <c r="D34" s="118">
        <v>88</v>
      </c>
      <c r="E34" s="48">
        <v>1</v>
      </c>
      <c r="F34" s="44">
        <f>E32*E34</f>
        <v>108560757.9292345</v>
      </c>
      <c r="G34" s="119">
        <f t="shared" si="35"/>
        <v>54578703.927406788</v>
      </c>
      <c r="H34" s="119">
        <f t="shared" si="35"/>
        <v>14665472.788660288</v>
      </c>
      <c r="I34" s="119">
        <f t="shared" si="35"/>
        <v>14990395.137142489</v>
      </c>
      <c r="J34" s="119">
        <f t="shared" si="35"/>
        <v>10045886.856497573</v>
      </c>
      <c r="K34" s="119">
        <f t="shared" si="35"/>
        <v>6537094.5994667849</v>
      </c>
      <c r="L34" s="119">
        <f t="shared" si="35"/>
        <v>25186.095839582405</v>
      </c>
      <c r="M34" s="119">
        <f t="shared" si="35"/>
        <v>570052.53988641035</v>
      </c>
      <c r="N34" s="119">
        <f t="shared" si="35"/>
        <v>3477635.3195050983</v>
      </c>
      <c r="O34" s="119">
        <f t="shared" si="35"/>
        <v>3201565.3120910549</v>
      </c>
      <c r="P34" s="119">
        <f t="shared" si="35"/>
        <v>0</v>
      </c>
      <c r="Q34" s="119">
        <f t="shared" si="35"/>
        <v>434243.03171693801</v>
      </c>
      <c r="R34" s="119">
        <f t="shared" si="35"/>
        <v>34522.321021496573</v>
      </c>
      <c r="T34" s="9">
        <f t="shared" si="28"/>
        <v>0</v>
      </c>
    </row>
    <row r="35" spans="1:20" x14ac:dyDescent="0.25">
      <c r="B35" s="30" t="s">
        <v>8</v>
      </c>
      <c r="C35" s="30"/>
      <c r="D35" s="114"/>
      <c r="E35" s="30"/>
      <c r="F35" s="46">
        <f>F34+F33</f>
        <v>108560757.9292345</v>
      </c>
      <c r="G35" s="46">
        <f t="shared" ref="G35:R35" si="36">G34+G33</f>
        <v>54578703.927406788</v>
      </c>
      <c r="H35" s="46">
        <f t="shared" si="36"/>
        <v>14665472.788660288</v>
      </c>
      <c r="I35" s="46">
        <f t="shared" si="36"/>
        <v>14990395.137142489</v>
      </c>
      <c r="J35" s="46">
        <f t="shared" si="36"/>
        <v>10045886.856497573</v>
      </c>
      <c r="K35" s="46">
        <f t="shared" si="36"/>
        <v>6537094.5994667849</v>
      </c>
      <c r="L35" s="46">
        <f t="shared" ref="L35:M35" si="37">L34+L33</f>
        <v>25186.095839582405</v>
      </c>
      <c r="M35" s="46">
        <f t="shared" si="37"/>
        <v>570052.53988641035</v>
      </c>
      <c r="N35" s="46">
        <f t="shared" si="36"/>
        <v>3477635.3195050983</v>
      </c>
      <c r="O35" s="46">
        <f t="shared" si="36"/>
        <v>3201565.3120910549</v>
      </c>
      <c r="P35" s="46">
        <f t="shared" si="36"/>
        <v>0</v>
      </c>
      <c r="Q35" s="46">
        <f t="shared" si="36"/>
        <v>434243.03171693801</v>
      </c>
      <c r="R35" s="46">
        <f t="shared" si="36"/>
        <v>34522.321021496573</v>
      </c>
      <c r="T35" s="9">
        <f t="shared" si="28"/>
        <v>0</v>
      </c>
    </row>
    <row r="36" spans="1:20" x14ac:dyDescent="0.25">
      <c r="F36" s="4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T36" s="9">
        <f t="shared" si="28"/>
        <v>0</v>
      </c>
    </row>
    <row r="37" spans="1:20" x14ac:dyDescent="0.25">
      <c r="B37" s="30" t="s">
        <v>138</v>
      </c>
      <c r="C37" s="30"/>
      <c r="D37" s="114"/>
      <c r="E37" s="115">
        <v>135811609.12364358</v>
      </c>
      <c r="F37" s="4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T37" s="9">
        <f t="shared" si="28"/>
        <v>0</v>
      </c>
    </row>
    <row r="38" spans="1:20" x14ac:dyDescent="0.25">
      <c r="B38" s="30"/>
      <c r="C38" s="30"/>
      <c r="D38" s="114"/>
      <c r="E38" s="47">
        <v>0</v>
      </c>
      <c r="F38" s="43">
        <f>E37*E38</f>
        <v>0</v>
      </c>
      <c r="G38" s="22">
        <f t="shared" ref="G38:R39" si="38">INDEX(Alloc,($D38),(G$1))*$F38</f>
        <v>0</v>
      </c>
      <c r="H38" s="22">
        <f t="shared" si="38"/>
        <v>0</v>
      </c>
      <c r="I38" s="22">
        <f t="shared" si="38"/>
        <v>0</v>
      </c>
      <c r="J38" s="22">
        <f t="shared" si="38"/>
        <v>0</v>
      </c>
      <c r="K38" s="22">
        <f t="shared" si="38"/>
        <v>0</v>
      </c>
      <c r="L38" s="22">
        <f t="shared" si="38"/>
        <v>0</v>
      </c>
      <c r="M38" s="22">
        <f t="shared" si="38"/>
        <v>0</v>
      </c>
      <c r="N38" s="22">
        <f t="shared" si="38"/>
        <v>0</v>
      </c>
      <c r="O38" s="22">
        <f t="shared" si="38"/>
        <v>0</v>
      </c>
      <c r="P38" s="22">
        <f t="shared" si="38"/>
        <v>0</v>
      </c>
      <c r="Q38" s="22">
        <f t="shared" si="38"/>
        <v>0</v>
      </c>
      <c r="R38" s="22">
        <f t="shared" si="38"/>
        <v>0</v>
      </c>
      <c r="T38" s="9">
        <f t="shared" si="28"/>
        <v>0</v>
      </c>
    </row>
    <row r="39" spans="1:20" x14ac:dyDescent="0.25">
      <c r="B39" s="10" t="s">
        <v>551</v>
      </c>
      <c r="C39" s="50"/>
      <c r="D39" s="120">
        <v>88</v>
      </c>
      <c r="E39" s="48">
        <v>1</v>
      </c>
      <c r="F39" s="44">
        <f>E37*E39</f>
        <v>135811609.12364358</v>
      </c>
      <c r="G39" s="119">
        <f t="shared" si="38"/>
        <v>68279014.86369355</v>
      </c>
      <c r="H39" s="119">
        <f t="shared" si="38"/>
        <v>18346790.27651301</v>
      </c>
      <c r="I39" s="119">
        <f t="shared" si="38"/>
        <v>18753274.422620077</v>
      </c>
      <c r="J39" s="119">
        <f t="shared" si="38"/>
        <v>12567598.873474605</v>
      </c>
      <c r="K39" s="119">
        <f t="shared" si="38"/>
        <v>8178031.8549893219</v>
      </c>
      <c r="L39" s="119">
        <f t="shared" si="38"/>
        <v>31508.293316685311</v>
      </c>
      <c r="M39" s="119">
        <f t="shared" si="38"/>
        <v>713146.75950825238</v>
      </c>
      <c r="N39" s="119">
        <f t="shared" si="38"/>
        <v>4350589.0866667982</v>
      </c>
      <c r="O39" s="119">
        <f t="shared" si="38"/>
        <v>4005220.1646653726</v>
      </c>
      <c r="P39" s="119">
        <f t="shared" si="38"/>
        <v>0</v>
      </c>
      <c r="Q39" s="119">
        <f t="shared" si="38"/>
        <v>543246.4364945743</v>
      </c>
      <c r="R39" s="119">
        <f t="shared" si="38"/>
        <v>43188.091701318655</v>
      </c>
      <c r="T39" s="9">
        <f t="shared" si="28"/>
        <v>0</v>
      </c>
    </row>
    <row r="40" spans="1:20" x14ac:dyDescent="0.25">
      <c r="B40" s="30" t="s">
        <v>8</v>
      </c>
      <c r="C40" s="30"/>
      <c r="D40" s="114"/>
      <c r="E40" s="30"/>
      <c r="F40" s="46">
        <f>F39+F38</f>
        <v>135811609.12364358</v>
      </c>
      <c r="G40" s="46">
        <f t="shared" ref="G40:R40" si="39">G39+G38</f>
        <v>68279014.86369355</v>
      </c>
      <c r="H40" s="46">
        <f t="shared" si="39"/>
        <v>18346790.27651301</v>
      </c>
      <c r="I40" s="46">
        <f t="shared" si="39"/>
        <v>18753274.422620077</v>
      </c>
      <c r="J40" s="46">
        <f t="shared" si="39"/>
        <v>12567598.873474605</v>
      </c>
      <c r="K40" s="46">
        <f t="shared" si="39"/>
        <v>8178031.8549893219</v>
      </c>
      <c r="L40" s="46">
        <f t="shared" ref="L40:M40" si="40">L39+L38</f>
        <v>31508.293316685311</v>
      </c>
      <c r="M40" s="46">
        <f t="shared" si="40"/>
        <v>713146.75950825238</v>
      </c>
      <c r="N40" s="46">
        <f t="shared" si="39"/>
        <v>4350589.0866667982</v>
      </c>
      <c r="O40" s="46">
        <f t="shared" si="39"/>
        <v>4005220.1646653726</v>
      </c>
      <c r="P40" s="46">
        <f t="shared" si="39"/>
        <v>0</v>
      </c>
      <c r="Q40" s="46">
        <f t="shared" si="39"/>
        <v>543246.4364945743</v>
      </c>
      <c r="R40" s="46">
        <f t="shared" si="39"/>
        <v>43188.091701318655</v>
      </c>
      <c r="T40" s="9">
        <f t="shared" si="28"/>
        <v>0</v>
      </c>
    </row>
    <row r="41" spans="1:20" x14ac:dyDescent="0.25">
      <c r="F41" s="4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T41" s="9">
        <f t="shared" si="28"/>
        <v>0</v>
      </c>
    </row>
    <row r="42" spans="1:20" x14ac:dyDescent="0.25">
      <c r="B42" s="8" t="s">
        <v>139</v>
      </c>
      <c r="F42" s="43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T42" s="9">
        <f t="shared" si="28"/>
        <v>0</v>
      </c>
    </row>
    <row r="43" spans="1:20" x14ac:dyDescent="0.25">
      <c r="A43" s="8">
        <v>565.01</v>
      </c>
      <c r="B43" s="10" t="s">
        <v>140</v>
      </c>
      <c r="C43" s="10"/>
      <c r="D43" s="118">
        <v>82</v>
      </c>
      <c r="E43" s="10"/>
      <c r="F43" s="44">
        <v>20352250.477554012</v>
      </c>
      <c r="G43" s="119">
        <f t="shared" ref="G43:R43" si="41">INDEX(Alloc,($D43),(G$1))*$F43</f>
        <v>9534262.7884763628</v>
      </c>
      <c r="H43" s="119">
        <f t="shared" si="41"/>
        <v>2561886.9892973644</v>
      </c>
      <c r="I43" s="119">
        <f t="shared" si="41"/>
        <v>2618647.1326015843</v>
      </c>
      <c r="J43" s="119">
        <f t="shared" si="41"/>
        <v>1754899.2251729232</v>
      </c>
      <c r="K43" s="119">
        <f t="shared" si="41"/>
        <v>1141954.1560998603</v>
      </c>
      <c r="L43" s="119">
        <f t="shared" si="41"/>
        <v>4399.7170887333532</v>
      </c>
      <c r="M43" s="119">
        <f t="shared" si="41"/>
        <v>99581.527728184621</v>
      </c>
      <c r="N43" s="119">
        <f t="shared" si="41"/>
        <v>607502.3156055354</v>
      </c>
      <c r="O43" s="119">
        <f t="shared" si="41"/>
        <v>559276.10630963498</v>
      </c>
      <c r="P43" s="119">
        <f t="shared" si="41"/>
        <v>1387952.6812895569</v>
      </c>
      <c r="Q43" s="119">
        <f t="shared" si="41"/>
        <v>75857.191185057818</v>
      </c>
      <c r="R43" s="119">
        <f t="shared" si="41"/>
        <v>6030.6466992120959</v>
      </c>
      <c r="T43" s="9">
        <f t="shared" si="28"/>
        <v>0</v>
      </c>
    </row>
    <row r="44" spans="1:20" x14ac:dyDescent="0.25">
      <c r="B44" s="30" t="s">
        <v>8</v>
      </c>
      <c r="C44" s="30"/>
      <c r="D44" s="114"/>
      <c r="E44" s="30"/>
      <c r="F44" s="46">
        <f>F43</f>
        <v>20352250.477554012</v>
      </c>
      <c r="G44" s="46">
        <f t="shared" ref="G44:R44" si="42">G43</f>
        <v>9534262.7884763628</v>
      </c>
      <c r="H44" s="46">
        <f t="shared" si="42"/>
        <v>2561886.9892973644</v>
      </c>
      <c r="I44" s="46">
        <f t="shared" si="42"/>
        <v>2618647.1326015843</v>
      </c>
      <c r="J44" s="46">
        <f t="shared" si="42"/>
        <v>1754899.2251729232</v>
      </c>
      <c r="K44" s="46">
        <f t="shared" si="42"/>
        <v>1141954.1560998603</v>
      </c>
      <c r="L44" s="46">
        <f t="shared" ref="L44:M44" si="43">L43</f>
        <v>4399.7170887333532</v>
      </c>
      <c r="M44" s="46">
        <f t="shared" si="43"/>
        <v>99581.527728184621</v>
      </c>
      <c r="N44" s="46">
        <f t="shared" si="42"/>
        <v>607502.3156055354</v>
      </c>
      <c r="O44" s="46">
        <f t="shared" si="42"/>
        <v>559276.10630963498</v>
      </c>
      <c r="P44" s="46">
        <f t="shared" si="42"/>
        <v>1387952.6812895569</v>
      </c>
      <c r="Q44" s="46">
        <f t="shared" si="42"/>
        <v>75857.191185057818</v>
      </c>
      <c r="R44" s="46">
        <f t="shared" si="42"/>
        <v>6030.6466992120959</v>
      </c>
      <c r="T44" s="9">
        <f t="shared" si="28"/>
        <v>0</v>
      </c>
    </row>
    <row r="45" spans="1:20" x14ac:dyDescent="0.25">
      <c r="F45" s="4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T45" s="9">
        <f t="shared" si="28"/>
        <v>0</v>
      </c>
    </row>
    <row r="46" spans="1:20" x14ac:dyDescent="0.25">
      <c r="B46" s="30" t="s">
        <v>141</v>
      </c>
      <c r="C46" s="30"/>
      <c r="D46" s="114"/>
      <c r="E46" s="30"/>
      <c r="F46" s="4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T46" s="9">
        <f t="shared" si="28"/>
        <v>0</v>
      </c>
    </row>
    <row r="47" spans="1:20" x14ac:dyDescent="0.25">
      <c r="A47" s="8">
        <v>581</v>
      </c>
      <c r="B47" s="8" t="s">
        <v>142</v>
      </c>
      <c r="D47" s="113">
        <v>67</v>
      </c>
      <c r="F47" s="43">
        <v>3035320.7842005244</v>
      </c>
      <c r="G47" s="22">
        <f t="shared" ref="G47:R50" si="44">INDEX(Alloc,($D47),(G$1))*$F47</f>
        <v>1853371.9797840354</v>
      </c>
      <c r="H47" s="22">
        <f t="shared" si="44"/>
        <v>420997.36348377692</v>
      </c>
      <c r="I47" s="22">
        <f t="shared" si="44"/>
        <v>265462.60514887085</v>
      </c>
      <c r="J47" s="22">
        <f t="shared" si="44"/>
        <v>105090.50736999599</v>
      </c>
      <c r="K47" s="22">
        <f t="shared" si="44"/>
        <v>144042.09121610431</v>
      </c>
      <c r="L47" s="22">
        <f t="shared" si="44"/>
        <v>1202.2148222261139</v>
      </c>
      <c r="M47" s="22">
        <f t="shared" si="44"/>
        <v>42668.606535914849</v>
      </c>
      <c r="N47" s="22">
        <f t="shared" si="44"/>
        <v>33326.265603091771</v>
      </c>
      <c r="O47" s="22">
        <f t="shared" si="44"/>
        <v>18709.115260459235</v>
      </c>
      <c r="P47" s="22">
        <f t="shared" si="44"/>
        <v>9978.6389228679291</v>
      </c>
      <c r="Q47" s="22">
        <f t="shared" si="44"/>
        <v>138186.4999240675</v>
      </c>
      <c r="R47" s="22">
        <f t="shared" si="44"/>
        <v>2284.8961291138462</v>
      </c>
      <c r="T47" s="9">
        <f t="shared" si="28"/>
        <v>0</v>
      </c>
    </row>
    <row r="48" spans="1:20" x14ac:dyDescent="0.25">
      <c r="A48" s="8">
        <v>582</v>
      </c>
      <c r="B48" s="8" t="s">
        <v>143</v>
      </c>
      <c r="D48" s="113">
        <v>56</v>
      </c>
      <c r="F48" s="43">
        <v>1492878.8055387251</v>
      </c>
      <c r="G48" s="22">
        <f t="shared" si="44"/>
        <v>742872.72837883292</v>
      </c>
      <c r="H48" s="22">
        <f t="shared" si="44"/>
        <v>192178.12287357051</v>
      </c>
      <c r="I48" s="22">
        <f t="shared" si="44"/>
        <v>206982.03420834467</v>
      </c>
      <c r="J48" s="22">
        <f t="shared" si="44"/>
        <v>117314.78491609923</v>
      </c>
      <c r="K48" s="22">
        <f t="shared" si="44"/>
        <v>93710.505220916864</v>
      </c>
      <c r="L48" s="22">
        <f t="shared" si="44"/>
        <v>332.43789452430661</v>
      </c>
      <c r="M48" s="22">
        <f t="shared" si="44"/>
        <v>11757.403525813197</v>
      </c>
      <c r="N48" s="22">
        <f t="shared" si="44"/>
        <v>51770.122914592954</v>
      </c>
      <c r="O48" s="22">
        <f t="shared" si="44"/>
        <v>50758.370193158065</v>
      </c>
      <c r="P48" s="22">
        <f t="shared" si="44"/>
        <v>23496.104883374916</v>
      </c>
      <c r="Q48" s="22">
        <f t="shared" si="44"/>
        <v>1315.4351961071843</v>
      </c>
      <c r="R48" s="22">
        <f t="shared" si="44"/>
        <v>390.75533339048974</v>
      </c>
      <c r="T48" s="9">
        <f t="shared" si="28"/>
        <v>0</v>
      </c>
    </row>
    <row r="49" spans="1:20" x14ac:dyDescent="0.25">
      <c r="A49" s="8">
        <v>583</v>
      </c>
      <c r="B49" s="8" t="s">
        <v>144</v>
      </c>
      <c r="D49" s="113">
        <v>57</v>
      </c>
      <c r="F49" s="43">
        <v>3558270.7185164536</v>
      </c>
      <c r="G49" s="22">
        <f t="shared" si="44"/>
        <v>2411732.3198109046</v>
      </c>
      <c r="H49" s="22">
        <f t="shared" si="44"/>
        <v>462443.7839568755</v>
      </c>
      <c r="I49" s="22">
        <f t="shared" si="44"/>
        <v>357241.86466758029</v>
      </c>
      <c r="J49" s="22">
        <f t="shared" si="44"/>
        <v>148857.9143592075</v>
      </c>
      <c r="K49" s="22">
        <f t="shared" si="44"/>
        <v>126803.30391761033</v>
      </c>
      <c r="L49" s="22">
        <f t="shared" si="44"/>
        <v>2840.6909241927788</v>
      </c>
      <c r="M49" s="22">
        <f t="shared" si="44"/>
        <v>35465.812066115366</v>
      </c>
      <c r="N49" s="22">
        <f t="shared" si="44"/>
        <v>8042.2931555133</v>
      </c>
      <c r="O49" s="22">
        <f t="shared" si="44"/>
        <v>0</v>
      </c>
      <c r="P49" s="22">
        <f t="shared" si="44"/>
        <v>0</v>
      </c>
      <c r="Q49" s="22">
        <f t="shared" si="44"/>
        <v>2323.22838146922</v>
      </c>
      <c r="R49" s="22">
        <f t="shared" si="44"/>
        <v>2519.5072769850526</v>
      </c>
      <c r="T49" s="9">
        <f t="shared" si="28"/>
        <v>0</v>
      </c>
    </row>
    <row r="50" spans="1:20" x14ac:dyDescent="0.25">
      <c r="A50" s="8">
        <v>584</v>
      </c>
      <c r="B50" s="8" t="s">
        <v>145</v>
      </c>
      <c r="D50" s="113">
        <v>58</v>
      </c>
      <c r="F50" s="43">
        <v>2731424.8905119007</v>
      </c>
      <c r="G50" s="22">
        <f t="shared" si="44"/>
        <v>1781800.8484574696</v>
      </c>
      <c r="H50" s="22">
        <f t="shared" si="44"/>
        <v>329720.92350449867</v>
      </c>
      <c r="I50" s="22">
        <f t="shared" si="44"/>
        <v>304292.70051752485</v>
      </c>
      <c r="J50" s="22">
        <f t="shared" si="44"/>
        <v>130663.74531228989</v>
      </c>
      <c r="K50" s="22">
        <f t="shared" si="44"/>
        <v>88944.376896455826</v>
      </c>
      <c r="L50" s="22">
        <f t="shared" si="44"/>
        <v>990.14475473453774</v>
      </c>
      <c r="M50" s="22">
        <f t="shared" si="44"/>
        <v>30395.267828032214</v>
      </c>
      <c r="N50" s="22">
        <f t="shared" si="44"/>
        <v>50472.553601381238</v>
      </c>
      <c r="O50" s="22">
        <f t="shared" si="44"/>
        <v>12134.118173170777</v>
      </c>
      <c r="P50" s="22">
        <f t="shared" si="44"/>
        <v>0</v>
      </c>
      <c r="Q50" s="22">
        <f t="shared" si="44"/>
        <v>1305.6853908587309</v>
      </c>
      <c r="R50" s="22">
        <f t="shared" si="44"/>
        <v>704.52607548419019</v>
      </c>
      <c r="T50" s="9">
        <f t="shared" si="28"/>
        <v>0</v>
      </c>
    </row>
    <row r="51" spans="1:20" x14ac:dyDescent="0.25">
      <c r="A51" s="8">
        <v>585</v>
      </c>
      <c r="B51" s="8" t="s">
        <v>146</v>
      </c>
      <c r="D51" s="113" t="s">
        <v>482</v>
      </c>
      <c r="F51" s="43">
        <v>544794.00514714757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544794</v>
      </c>
      <c r="R51" s="22">
        <v>0</v>
      </c>
      <c r="T51" s="9">
        <f t="shared" si="28"/>
        <v>-5.1471475744619966E-3</v>
      </c>
    </row>
    <row r="52" spans="1:20" x14ac:dyDescent="0.25">
      <c r="A52" s="8">
        <v>586</v>
      </c>
      <c r="B52" s="8" t="s">
        <v>147</v>
      </c>
      <c r="D52" s="113">
        <v>19</v>
      </c>
      <c r="F52" s="43">
        <v>-871734.24124363111</v>
      </c>
      <c r="G52" s="22">
        <f t="shared" ref="G52:R56" si="45">INDEX(Alloc,($D52),(G$1))*$F52</f>
        <v>-566776.18149919691</v>
      </c>
      <c r="H52" s="22">
        <f t="shared" si="45"/>
        <v>-160603.56599789232</v>
      </c>
      <c r="I52" s="22">
        <f t="shared" si="45"/>
        <v>-43624.732541043239</v>
      </c>
      <c r="J52" s="22">
        <f t="shared" si="45"/>
        <v>-4939.9330007904518</v>
      </c>
      <c r="K52" s="22">
        <f t="shared" si="45"/>
        <v>-61306.453682189473</v>
      </c>
      <c r="L52" s="22">
        <f t="shared" si="45"/>
        <v>-144.07432583340545</v>
      </c>
      <c r="M52" s="22">
        <f t="shared" si="45"/>
        <v>-21428.411273048143</v>
      </c>
      <c r="N52" s="22">
        <f t="shared" si="45"/>
        <v>-5185.6629540382255</v>
      </c>
      <c r="O52" s="22">
        <f t="shared" si="45"/>
        <v>-2683.4031555038068</v>
      </c>
      <c r="P52" s="22">
        <f t="shared" si="45"/>
        <v>-3768.3458194779223</v>
      </c>
      <c r="Q52" s="22">
        <f t="shared" si="45"/>
        <v>0</v>
      </c>
      <c r="R52" s="22">
        <f t="shared" si="45"/>
        <v>-1273.4769946172087</v>
      </c>
      <c r="T52" s="9">
        <f t="shared" si="28"/>
        <v>0</v>
      </c>
    </row>
    <row r="53" spans="1:20" x14ac:dyDescent="0.25">
      <c r="A53" s="8">
        <v>587</v>
      </c>
      <c r="B53" s="8" t="s">
        <v>148</v>
      </c>
      <c r="D53" s="113">
        <v>19</v>
      </c>
      <c r="F53" s="43">
        <v>4619584.7331028199</v>
      </c>
      <c r="G53" s="22">
        <f t="shared" si="45"/>
        <v>3003519.2737235297</v>
      </c>
      <c r="H53" s="22">
        <f t="shared" si="45"/>
        <v>851087.11630656628</v>
      </c>
      <c r="I53" s="22">
        <f t="shared" si="45"/>
        <v>231180.71873004964</v>
      </c>
      <c r="J53" s="22">
        <f t="shared" si="45"/>
        <v>26178.206606231666</v>
      </c>
      <c r="K53" s="22">
        <f t="shared" si="45"/>
        <v>324881.53392584977</v>
      </c>
      <c r="L53" s="22">
        <f t="shared" si="45"/>
        <v>763.49364813590034</v>
      </c>
      <c r="M53" s="22">
        <f t="shared" si="45"/>
        <v>113555.6651192228</v>
      </c>
      <c r="N53" s="22">
        <f t="shared" si="45"/>
        <v>27480.404325194766</v>
      </c>
      <c r="O53" s="22">
        <f t="shared" si="45"/>
        <v>14220.169018760434</v>
      </c>
      <c r="P53" s="22">
        <f t="shared" si="45"/>
        <v>19969.609994758513</v>
      </c>
      <c r="Q53" s="22">
        <f t="shared" si="45"/>
        <v>0</v>
      </c>
      <c r="R53" s="22">
        <f t="shared" si="45"/>
        <v>6748.5417045206605</v>
      </c>
      <c r="T53" s="9">
        <f t="shared" si="28"/>
        <v>0</v>
      </c>
    </row>
    <row r="54" spans="1:20" x14ac:dyDescent="0.25">
      <c r="A54" s="8">
        <v>589</v>
      </c>
      <c r="B54" s="8" t="s">
        <v>149</v>
      </c>
      <c r="D54" s="113">
        <v>67</v>
      </c>
      <c r="F54" s="43">
        <v>1007980.8598761315</v>
      </c>
      <c r="G54" s="22">
        <f t="shared" si="45"/>
        <v>615474.80964029219</v>
      </c>
      <c r="H54" s="22">
        <f t="shared" si="45"/>
        <v>139806.40420572009</v>
      </c>
      <c r="I54" s="22">
        <f t="shared" si="45"/>
        <v>88155.830644237911</v>
      </c>
      <c r="J54" s="22">
        <f t="shared" si="45"/>
        <v>34898.855018886672</v>
      </c>
      <c r="K54" s="22">
        <f t="shared" si="45"/>
        <v>47834.044993899101</v>
      </c>
      <c r="L54" s="22">
        <f t="shared" si="45"/>
        <v>399.23606643852253</v>
      </c>
      <c r="M54" s="22">
        <f t="shared" si="45"/>
        <v>14169.552994088559</v>
      </c>
      <c r="N54" s="22">
        <f t="shared" si="45"/>
        <v>11067.112917329652</v>
      </c>
      <c r="O54" s="22">
        <f t="shared" si="45"/>
        <v>6212.9940881113462</v>
      </c>
      <c r="P54" s="22">
        <f t="shared" si="45"/>
        <v>3313.7443311498646</v>
      </c>
      <c r="Q54" s="22">
        <f t="shared" si="45"/>
        <v>45889.497987087409</v>
      </c>
      <c r="R54" s="22">
        <f t="shared" si="45"/>
        <v>758.77698889030034</v>
      </c>
      <c r="T54" s="9">
        <f t="shared" si="28"/>
        <v>0</v>
      </c>
    </row>
    <row r="55" spans="1:20" x14ac:dyDescent="0.25">
      <c r="A55" s="8">
        <v>580</v>
      </c>
      <c r="B55" s="8" t="s">
        <v>150</v>
      </c>
      <c r="D55" s="113">
        <v>65</v>
      </c>
      <c r="F55" s="43">
        <v>1057361.4439034134</v>
      </c>
      <c r="G55" s="22">
        <f t="shared" si="45"/>
        <v>645626.67736311047</v>
      </c>
      <c r="H55" s="22">
        <f t="shared" si="45"/>
        <v>146655.46470403255</v>
      </c>
      <c r="I55" s="22">
        <f t="shared" si="45"/>
        <v>92474.549953211259</v>
      </c>
      <c r="J55" s="22">
        <f t="shared" si="45"/>
        <v>36608.536136172799</v>
      </c>
      <c r="K55" s="22">
        <f t="shared" si="45"/>
        <v>50177.415956792458</v>
      </c>
      <c r="L55" s="22">
        <f t="shared" si="45"/>
        <v>418.794483577427</v>
      </c>
      <c r="M55" s="22">
        <f t="shared" si="45"/>
        <v>14863.71379624863</v>
      </c>
      <c r="N55" s="22">
        <f t="shared" si="45"/>
        <v>11609.286406041303</v>
      </c>
      <c r="O55" s="22">
        <f t="shared" si="45"/>
        <v>6517.3662134577435</v>
      </c>
      <c r="P55" s="22">
        <f t="shared" si="45"/>
        <v>3476.083356525191</v>
      </c>
      <c r="Q55" s="22">
        <f t="shared" si="45"/>
        <v>48137.606360494043</v>
      </c>
      <c r="R55" s="22">
        <f t="shared" si="45"/>
        <v>795.94917374951478</v>
      </c>
      <c r="T55" s="9">
        <f t="shared" si="28"/>
        <v>0</v>
      </c>
    </row>
    <row r="56" spans="1:20" x14ac:dyDescent="0.25">
      <c r="A56" s="8">
        <v>588</v>
      </c>
      <c r="B56" s="10" t="s">
        <v>151</v>
      </c>
      <c r="C56" s="10"/>
      <c r="D56" s="118">
        <v>65</v>
      </c>
      <c r="E56" s="10"/>
      <c r="F56" s="44">
        <v>4896395.3895657696</v>
      </c>
      <c r="G56" s="119">
        <f t="shared" si="45"/>
        <v>2989747.266319057</v>
      </c>
      <c r="H56" s="119">
        <f t="shared" si="45"/>
        <v>679127.41226929508</v>
      </c>
      <c r="I56" s="119">
        <f t="shared" si="45"/>
        <v>428228.1736806304</v>
      </c>
      <c r="J56" s="119">
        <f t="shared" si="45"/>
        <v>169525.63249722795</v>
      </c>
      <c r="K56" s="119">
        <f t="shared" si="45"/>
        <v>232359.96505051811</v>
      </c>
      <c r="L56" s="119">
        <f t="shared" si="45"/>
        <v>1939.3400339944733</v>
      </c>
      <c r="M56" s="119">
        <f t="shared" si="45"/>
        <v>68830.408110119257</v>
      </c>
      <c r="N56" s="119">
        <f t="shared" si="45"/>
        <v>53759.910352738087</v>
      </c>
      <c r="O56" s="119">
        <f t="shared" si="45"/>
        <v>30180.409985330654</v>
      </c>
      <c r="P56" s="119">
        <f t="shared" si="45"/>
        <v>16096.935081917929</v>
      </c>
      <c r="Q56" s="119">
        <f t="shared" si="45"/>
        <v>222914.08033390087</v>
      </c>
      <c r="R56" s="119">
        <f t="shared" si="45"/>
        <v>3685.8558510402918</v>
      </c>
      <c r="T56" s="9">
        <f t="shared" si="28"/>
        <v>0</v>
      </c>
    </row>
    <row r="57" spans="1:20" x14ac:dyDescent="0.25">
      <c r="B57" s="30" t="s">
        <v>8</v>
      </c>
      <c r="C57" s="30"/>
      <c r="D57" s="114"/>
      <c r="E57" s="30"/>
      <c r="F57" s="46">
        <f>SUM(F47:F56)</f>
        <v>22072277.389119256</v>
      </c>
      <c r="G57" s="46">
        <f t="shared" ref="G57:R57" si="46">SUM(G47:G56)</f>
        <v>13477369.721978035</v>
      </c>
      <c r="H57" s="46">
        <f t="shared" si="46"/>
        <v>3061413.0253064432</v>
      </c>
      <c r="I57" s="46">
        <f t="shared" si="46"/>
        <v>1930393.7450094065</v>
      </c>
      <c r="J57" s="46">
        <f t="shared" si="46"/>
        <v>764198.24921532127</v>
      </c>
      <c r="K57" s="46">
        <f t="shared" si="46"/>
        <v>1047446.7834959573</v>
      </c>
      <c r="L57" s="46">
        <f t="shared" ref="L57:M57" si="47">SUM(L47:L56)</f>
        <v>8742.2783019906547</v>
      </c>
      <c r="M57" s="46">
        <f t="shared" si="47"/>
        <v>310278.01870250673</v>
      </c>
      <c r="N57" s="46">
        <f t="shared" si="46"/>
        <v>242342.28632184485</v>
      </c>
      <c r="O57" s="46">
        <f t="shared" si="46"/>
        <v>136049.13977694444</v>
      </c>
      <c r="P57" s="46">
        <f t="shared" si="46"/>
        <v>72562.770751116419</v>
      </c>
      <c r="Q57" s="46">
        <f t="shared" si="46"/>
        <v>1004866.033573985</v>
      </c>
      <c r="R57" s="46">
        <f t="shared" si="46"/>
        <v>16615.33153855714</v>
      </c>
      <c r="T57" s="9">
        <f t="shared" si="28"/>
        <v>-5.147147923707962E-3</v>
      </c>
    </row>
    <row r="58" spans="1:20" x14ac:dyDescent="0.25">
      <c r="F58" s="4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T58" s="9">
        <f t="shared" si="28"/>
        <v>0</v>
      </c>
    </row>
    <row r="59" spans="1:20" x14ac:dyDescent="0.25">
      <c r="B59" s="30" t="s">
        <v>152</v>
      </c>
      <c r="C59" s="30"/>
      <c r="D59" s="114"/>
      <c r="E59" s="30"/>
      <c r="F59" s="4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T59" s="9">
        <f t="shared" si="28"/>
        <v>0</v>
      </c>
    </row>
    <row r="60" spans="1:20" x14ac:dyDescent="0.25">
      <c r="A60" s="8">
        <v>901</v>
      </c>
      <c r="B60" s="8" t="s">
        <v>153</v>
      </c>
      <c r="D60" s="113">
        <v>64</v>
      </c>
      <c r="F60" s="43">
        <v>10693620.682041593</v>
      </c>
      <c r="G60" s="22">
        <f t="shared" ref="G60:R64" si="48">INDEX(Alloc,($D60),(G$1))*$F60</f>
        <v>9328378.1276159938</v>
      </c>
      <c r="H60" s="22">
        <f t="shared" si="48"/>
        <v>1168165.7061297165</v>
      </c>
      <c r="I60" s="22">
        <f t="shared" si="48"/>
        <v>80970.989063259476</v>
      </c>
      <c r="J60" s="22">
        <f t="shared" si="48"/>
        <v>23114.094831573839</v>
      </c>
      <c r="K60" s="22">
        <f t="shared" si="48"/>
        <v>9336.6862417979701</v>
      </c>
      <c r="L60" s="22">
        <f t="shared" si="48"/>
        <v>8.5784618038593656</v>
      </c>
      <c r="M60" s="22">
        <f t="shared" si="48"/>
        <v>1828.000964554639</v>
      </c>
      <c r="N60" s="22">
        <f t="shared" si="48"/>
        <v>12881.0192418686</v>
      </c>
      <c r="O60" s="22">
        <f t="shared" si="48"/>
        <v>7374.1706820485106</v>
      </c>
      <c r="P60" s="22">
        <f t="shared" si="48"/>
        <v>45566.039439717591</v>
      </c>
      <c r="Q60" s="22">
        <f t="shared" si="48"/>
        <v>15938.925639502102</v>
      </c>
      <c r="R60" s="22">
        <f t="shared" si="48"/>
        <v>58.343729755895637</v>
      </c>
      <c r="T60" s="9">
        <f t="shared" si="28"/>
        <v>0</v>
      </c>
    </row>
    <row r="61" spans="1:20" x14ac:dyDescent="0.25">
      <c r="A61" s="8">
        <v>902</v>
      </c>
      <c r="B61" s="8" t="s">
        <v>154</v>
      </c>
      <c r="D61" s="113">
        <v>4</v>
      </c>
      <c r="F61" s="43">
        <v>25405716.288466655</v>
      </c>
      <c r="G61" s="22">
        <f t="shared" si="48"/>
        <v>22325054.28301442</v>
      </c>
      <c r="H61" s="22">
        <f t="shared" si="48"/>
        <v>2862939.8026405713</v>
      </c>
      <c r="I61" s="22">
        <f t="shared" si="48"/>
        <v>178450.94001985501</v>
      </c>
      <c r="J61" s="22">
        <f t="shared" si="48"/>
        <v>18195.610673862357</v>
      </c>
      <c r="K61" s="22">
        <f t="shared" si="48"/>
        <v>11028.995917653994</v>
      </c>
      <c r="L61" s="22">
        <f t="shared" si="48"/>
        <v>22.325902667315777</v>
      </c>
      <c r="M61" s="22">
        <f t="shared" si="48"/>
        <v>3661.4480374397872</v>
      </c>
      <c r="N61" s="22">
        <f t="shared" si="48"/>
        <v>4241.9215067899977</v>
      </c>
      <c r="O61" s="22">
        <f t="shared" si="48"/>
        <v>826.0583986906837</v>
      </c>
      <c r="P61" s="22">
        <f t="shared" si="48"/>
        <v>1093.9692306984732</v>
      </c>
      <c r="Q61" s="22">
        <f t="shared" si="48"/>
        <v>0</v>
      </c>
      <c r="R61" s="22">
        <f t="shared" si="48"/>
        <v>200.93312400584199</v>
      </c>
      <c r="T61" s="9">
        <f t="shared" si="28"/>
        <v>0</v>
      </c>
    </row>
    <row r="62" spans="1:20" x14ac:dyDescent="0.25">
      <c r="A62" s="8">
        <v>903</v>
      </c>
      <c r="B62" s="8" t="s">
        <v>155</v>
      </c>
      <c r="D62" s="113">
        <v>3</v>
      </c>
      <c r="F62" s="43">
        <v>13977291.207059458</v>
      </c>
      <c r="G62" s="22">
        <f t="shared" si="48"/>
        <v>12028843.222754385</v>
      </c>
      <c r="H62" s="22">
        <f t="shared" si="48"/>
        <v>1439884.3328698457</v>
      </c>
      <c r="I62" s="22">
        <f t="shared" si="48"/>
        <v>119818.83143030871</v>
      </c>
      <c r="J62" s="22">
        <f t="shared" si="48"/>
        <v>67107.274478708947</v>
      </c>
      <c r="K62" s="22">
        <f t="shared" si="48"/>
        <v>23426.095985309534</v>
      </c>
      <c r="L62" s="22">
        <f t="shared" si="48"/>
        <v>9.2556345377626847</v>
      </c>
      <c r="M62" s="22">
        <f t="shared" si="48"/>
        <v>3075.7308468538176</v>
      </c>
      <c r="N62" s="22">
        <f t="shared" si="48"/>
        <v>43360.114017719243</v>
      </c>
      <c r="O62" s="22">
        <f t="shared" si="48"/>
        <v>26434.121816920393</v>
      </c>
      <c r="P62" s="22">
        <f t="shared" si="48"/>
        <v>167369.1457110866</v>
      </c>
      <c r="Q62" s="22">
        <f t="shared" si="48"/>
        <v>57949.383877033477</v>
      </c>
      <c r="R62" s="22">
        <f t="shared" si="48"/>
        <v>13.697636748464939</v>
      </c>
      <c r="T62" s="9">
        <f t="shared" si="28"/>
        <v>0</v>
      </c>
    </row>
    <row r="63" spans="1:20" x14ac:dyDescent="0.25">
      <c r="A63" s="8">
        <v>904</v>
      </c>
      <c r="B63" s="8" t="s">
        <v>156</v>
      </c>
      <c r="D63" s="113">
        <v>18</v>
      </c>
      <c r="F63" s="43">
        <v>3156.2620830000001</v>
      </c>
      <c r="G63" s="22">
        <f t="shared" si="48"/>
        <v>2806.3921923543894</v>
      </c>
      <c r="H63" s="22">
        <f t="shared" si="48"/>
        <v>223.31648439552188</v>
      </c>
      <c r="I63" s="22">
        <f t="shared" si="48"/>
        <v>69.386885977642848</v>
      </c>
      <c r="J63" s="22">
        <f t="shared" si="48"/>
        <v>49.170149628014293</v>
      </c>
      <c r="K63" s="22">
        <f t="shared" si="48"/>
        <v>0.324787728001528</v>
      </c>
      <c r="L63" s="22">
        <f t="shared" si="48"/>
        <v>0</v>
      </c>
      <c r="M63" s="22">
        <f t="shared" si="48"/>
        <v>0</v>
      </c>
      <c r="N63" s="22">
        <f t="shared" si="48"/>
        <v>0</v>
      </c>
      <c r="O63" s="22">
        <f t="shared" si="48"/>
        <v>0</v>
      </c>
      <c r="P63" s="22">
        <f t="shared" si="48"/>
        <v>0</v>
      </c>
      <c r="Q63" s="22">
        <f t="shared" si="48"/>
        <v>7.6715829164301059</v>
      </c>
      <c r="R63" s="22">
        <f t="shared" si="48"/>
        <v>0</v>
      </c>
      <c r="T63" s="9">
        <f t="shared" si="28"/>
        <v>0</v>
      </c>
    </row>
    <row r="64" spans="1:20" x14ac:dyDescent="0.25">
      <c r="A64" s="8">
        <v>905</v>
      </c>
      <c r="B64" s="10" t="s">
        <v>157</v>
      </c>
      <c r="C64" s="10"/>
      <c r="D64" s="118">
        <v>1</v>
      </c>
      <c r="E64" s="10"/>
      <c r="F64" s="44">
        <v>149939.88146585823</v>
      </c>
      <c r="G64" s="119">
        <f t="shared" si="48"/>
        <v>131869.74831244486</v>
      </c>
      <c r="H64" s="119">
        <f t="shared" si="48"/>
        <v>15856.481330437537</v>
      </c>
      <c r="I64" s="119">
        <f t="shared" si="48"/>
        <v>1024.1266118201825</v>
      </c>
      <c r="J64" s="119">
        <f t="shared" si="48"/>
        <v>104.61797583982431</v>
      </c>
      <c r="K64" s="119">
        <f t="shared" si="48"/>
        <v>63.873442832797622</v>
      </c>
      <c r="L64" s="119">
        <f t="shared" si="48"/>
        <v>0.13447040596378446</v>
      </c>
      <c r="M64" s="119">
        <f t="shared" si="48"/>
        <v>21.246324142277945</v>
      </c>
      <c r="N64" s="119">
        <f t="shared" si="48"/>
        <v>21.246324142277945</v>
      </c>
      <c r="O64" s="119">
        <f t="shared" si="48"/>
        <v>3.3617601490946116</v>
      </c>
      <c r="P64" s="119">
        <f t="shared" si="48"/>
        <v>2.1515264954205513</v>
      </c>
      <c r="Q64" s="119">
        <f t="shared" si="48"/>
        <v>971.81762390027029</v>
      </c>
      <c r="R64" s="119">
        <f t="shared" si="48"/>
        <v>1.0757632477102756</v>
      </c>
      <c r="T64" s="9">
        <f t="shared" si="28"/>
        <v>0</v>
      </c>
    </row>
    <row r="65" spans="1:20" x14ac:dyDescent="0.25">
      <c r="B65" s="30" t="s">
        <v>8</v>
      </c>
      <c r="C65" s="30"/>
      <c r="D65" s="114"/>
      <c r="E65" s="30"/>
      <c r="F65" s="46">
        <f>SUM(F60:F64)</f>
        <v>50229724.321116567</v>
      </c>
      <c r="G65" s="46">
        <f t="shared" ref="G65:R65" si="49">SUM(G60:G64)</f>
        <v>43816951.773889594</v>
      </c>
      <c r="H65" s="46">
        <f t="shared" si="49"/>
        <v>5487069.6394549664</v>
      </c>
      <c r="I65" s="46">
        <f t="shared" si="49"/>
        <v>380334.27401122102</v>
      </c>
      <c r="J65" s="46">
        <f t="shared" si="49"/>
        <v>108570.76810961298</v>
      </c>
      <c r="K65" s="46">
        <f t="shared" si="49"/>
        <v>43855.976375322294</v>
      </c>
      <c r="L65" s="46">
        <f t="shared" ref="L65:M65" si="50">SUM(L60:L64)</f>
        <v>40.294469414901613</v>
      </c>
      <c r="M65" s="46">
        <f t="shared" si="50"/>
        <v>8586.4261729905211</v>
      </c>
      <c r="N65" s="46">
        <f t="shared" si="49"/>
        <v>60504.301090520123</v>
      </c>
      <c r="O65" s="46">
        <f t="shared" si="49"/>
        <v>34637.712657808683</v>
      </c>
      <c r="P65" s="46">
        <f t="shared" si="49"/>
        <v>214031.30590799806</v>
      </c>
      <c r="Q65" s="46">
        <f t="shared" si="49"/>
        <v>74867.798723352273</v>
      </c>
      <c r="R65" s="46">
        <f t="shared" si="49"/>
        <v>274.05025375791286</v>
      </c>
      <c r="T65" s="9">
        <f t="shared" si="28"/>
        <v>0</v>
      </c>
    </row>
    <row r="66" spans="1:20" x14ac:dyDescent="0.25">
      <c r="F66" s="43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T66" s="9">
        <f t="shared" si="28"/>
        <v>0</v>
      </c>
    </row>
    <row r="67" spans="1:20" x14ac:dyDescent="0.25">
      <c r="B67" s="30" t="s">
        <v>158</v>
      </c>
      <c r="C67" s="30"/>
      <c r="D67" s="114"/>
      <c r="E67" s="30"/>
      <c r="F67" s="43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T67" s="9">
        <f t="shared" si="28"/>
        <v>0</v>
      </c>
    </row>
    <row r="68" spans="1:20" x14ac:dyDescent="0.25">
      <c r="A68" s="8">
        <v>908.01</v>
      </c>
      <c r="B68" s="8" t="s">
        <v>159</v>
      </c>
      <c r="D68" s="113" t="s">
        <v>482</v>
      </c>
      <c r="F68" s="43">
        <v>404322.48786843568</v>
      </c>
      <c r="G68" s="22">
        <v>404322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T68" s="9">
        <f t="shared" si="28"/>
        <v>-0.48786843568086624</v>
      </c>
    </row>
    <row r="69" spans="1:20" x14ac:dyDescent="0.25">
      <c r="A69" s="8">
        <v>908.02</v>
      </c>
      <c r="B69" s="8" t="s">
        <v>160</v>
      </c>
      <c r="D69" s="113">
        <v>73</v>
      </c>
      <c r="F69" s="43">
        <v>26209.79999999702</v>
      </c>
      <c r="G69" s="22">
        <f t="shared" ref="G69:R74" si="51">INDEX(Alloc,($D69),(G$1))*$F69</f>
        <v>13176.924530398501</v>
      </c>
      <c r="H69" s="22">
        <f t="shared" si="51"/>
        <v>3540.681881999597</v>
      </c>
      <c r="I69" s="22">
        <f t="shared" si="51"/>
        <v>3619.1278133995893</v>
      </c>
      <c r="J69" s="22">
        <f t="shared" si="51"/>
        <v>2425.3762625997242</v>
      </c>
      <c r="K69" s="22">
        <f t="shared" si="51"/>
        <v>1578.2493167998209</v>
      </c>
      <c r="L69" s="22">
        <f t="shared" si="51"/>
        <v>6.0806735999993089</v>
      </c>
      <c r="M69" s="22">
        <f t="shared" si="51"/>
        <v>137.62765979998437</v>
      </c>
      <c r="N69" s="22">
        <f t="shared" si="51"/>
        <v>839.60473319990467</v>
      </c>
      <c r="O69" s="22">
        <f t="shared" si="51"/>
        <v>772.9532117999122</v>
      </c>
      <c r="P69" s="22">
        <f t="shared" si="51"/>
        <v>0</v>
      </c>
      <c r="Q69" s="22">
        <f t="shared" si="51"/>
        <v>104.83919999998811</v>
      </c>
      <c r="R69" s="22">
        <f t="shared" si="51"/>
        <v>8.3347163999990528</v>
      </c>
      <c r="T69" s="9">
        <f t="shared" si="28"/>
        <v>0</v>
      </c>
    </row>
    <row r="70" spans="1:20" x14ac:dyDescent="0.25">
      <c r="A70" s="8">
        <v>909</v>
      </c>
      <c r="B70" s="8" t="s">
        <v>161</v>
      </c>
      <c r="D70" s="113">
        <v>1</v>
      </c>
      <c r="F70" s="43">
        <v>1776312.5276852157</v>
      </c>
      <c r="G70" s="22">
        <f t="shared" si="51"/>
        <v>1562238.7030059763</v>
      </c>
      <c r="H70" s="22">
        <f t="shared" si="51"/>
        <v>187849.0642843174</v>
      </c>
      <c r="I70" s="22">
        <f t="shared" si="51"/>
        <v>12132.655519847362</v>
      </c>
      <c r="J70" s="22">
        <f t="shared" si="51"/>
        <v>1239.3915433877689</v>
      </c>
      <c r="K70" s="22">
        <f t="shared" si="51"/>
        <v>756.69792173417761</v>
      </c>
      <c r="L70" s="22">
        <f t="shared" si="51"/>
        <v>1.5930482562824793</v>
      </c>
      <c r="M70" s="22">
        <f t="shared" si="51"/>
        <v>251.70162449263174</v>
      </c>
      <c r="N70" s="22">
        <f t="shared" si="51"/>
        <v>251.70162449263174</v>
      </c>
      <c r="O70" s="22">
        <f t="shared" si="51"/>
        <v>39.826206407061981</v>
      </c>
      <c r="P70" s="22">
        <f t="shared" si="51"/>
        <v>25.488772100519668</v>
      </c>
      <c r="Q70" s="22">
        <f t="shared" si="51"/>
        <v>11512.959748153478</v>
      </c>
      <c r="R70" s="22">
        <f t="shared" si="51"/>
        <v>12.744386050259834</v>
      </c>
      <c r="T70" s="9">
        <f t="shared" si="28"/>
        <v>0</v>
      </c>
    </row>
    <row r="71" spans="1:20" x14ac:dyDescent="0.25">
      <c r="A71" s="8">
        <v>910</v>
      </c>
      <c r="B71" s="8" t="s">
        <v>162</v>
      </c>
      <c r="D71" s="113">
        <v>1</v>
      </c>
      <c r="F71" s="43">
        <v>93021.700834750038</v>
      </c>
      <c r="G71" s="22">
        <f t="shared" si="51"/>
        <v>81811.110938267666</v>
      </c>
      <c r="H71" s="22">
        <f t="shared" si="51"/>
        <v>9837.2550931195783</v>
      </c>
      <c r="I71" s="22">
        <f t="shared" si="51"/>
        <v>635.36130861444997</v>
      </c>
      <c r="J71" s="22">
        <f t="shared" si="51"/>
        <v>64.904293343230322</v>
      </c>
      <c r="K71" s="22">
        <f t="shared" si="51"/>
        <v>39.626657246830845</v>
      </c>
      <c r="L71" s="22">
        <f t="shared" si="51"/>
        <v>8.3424541572275468E-2</v>
      </c>
      <c r="M71" s="22">
        <f t="shared" si="51"/>
        <v>13.181077568419525</v>
      </c>
      <c r="N71" s="22">
        <f t="shared" si="51"/>
        <v>13.181077568419525</v>
      </c>
      <c r="O71" s="22">
        <f t="shared" si="51"/>
        <v>2.0856135393068866</v>
      </c>
      <c r="P71" s="22">
        <f t="shared" si="51"/>
        <v>1.3347926651564075</v>
      </c>
      <c r="Q71" s="22">
        <f t="shared" si="51"/>
        <v>602.90916194283477</v>
      </c>
      <c r="R71" s="22">
        <f t="shared" si="51"/>
        <v>0.66739633257820374</v>
      </c>
      <c r="T71" s="9">
        <f t="shared" si="28"/>
        <v>0</v>
      </c>
    </row>
    <row r="72" spans="1:20" x14ac:dyDescent="0.25">
      <c r="A72" s="8">
        <v>911</v>
      </c>
      <c r="B72" s="8" t="s">
        <v>163</v>
      </c>
      <c r="F72" s="43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T72" s="9">
        <f t="shared" si="28"/>
        <v>0</v>
      </c>
    </row>
    <row r="73" spans="1:20" x14ac:dyDescent="0.25">
      <c r="A73" s="8">
        <v>912</v>
      </c>
      <c r="B73" s="8" t="s">
        <v>164</v>
      </c>
      <c r="D73" s="113">
        <v>1</v>
      </c>
      <c r="F73" s="43">
        <v>324958.17362548632</v>
      </c>
      <c r="G73" s="22">
        <f t="shared" si="51"/>
        <v>285795.56118845014</v>
      </c>
      <c r="H73" s="22">
        <f t="shared" si="51"/>
        <v>34365.061269165315</v>
      </c>
      <c r="I73" s="22">
        <f t="shared" si="51"/>
        <v>2219.5449941990455</v>
      </c>
      <c r="J73" s="22">
        <f t="shared" si="51"/>
        <v>226.73398181287519</v>
      </c>
      <c r="K73" s="22">
        <f t="shared" si="51"/>
        <v>138.43013028421043</v>
      </c>
      <c r="L73" s="22">
        <f t="shared" si="51"/>
        <v>0.29143185322991672</v>
      </c>
      <c r="M73" s="22">
        <f t="shared" si="51"/>
        <v>46.046232810326842</v>
      </c>
      <c r="N73" s="22">
        <f t="shared" si="51"/>
        <v>46.046232810326842</v>
      </c>
      <c r="O73" s="22">
        <f t="shared" si="51"/>
        <v>7.2857963307479174</v>
      </c>
      <c r="P73" s="22">
        <f t="shared" si="51"/>
        <v>4.6629096516786674</v>
      </c>
      <c r="Q73" s="22">
        <f t="shared" si="51"/>
        <v>2106.1780032926081</v>
      </c>
      <c r="R73" s="22">
        <f t="shared" si="51"/>
        <v>2.3314548258393337</v>
      </c>
      <c r="T73" s="9">
        <f t="shared" si="28"/>
        <v>0</v>
      </c>
    </row>
    <row r="74" spans="1:20" x14ac:dyDescent="0.25">
      <c r="A74" s="8">
        <v>913</v>
      </c>
      <c r="B74" s="8" t="s">
        <v>165</v>
      </c>
      <c r="F74" s="43">
        <v>0</v>
      </c>
      <c r="G74" s="22">
        <f t="shared" si="51"/>
        <v>0</v>
      </c>
      <c r="H74" s="22">
        <f t="shared" si="51"/>
        <v>0</v>
      </c>
      <c r="I74" s="22">
        <f t="shared" si="51"/>
        <v>0</v>
      </c>
      <c r="J74" s="22">
        <f t="shared" si="51"/>
        <v>0</v>
      </c>
      <c r="K74" s="22">
        <f t="shared" si="51"/>
        <v>0</v>
      </c>
      <c r="L74" s="22">
        <f t="shared" si="51"/>
        <v>0</v>
      </c>
      <c r="M74" s="22">
        <f t="shared" si="51"/>
        <v>0</v>
      </c>
      <c r="N74" s="22">
        <f t="shared" si="51"/>
        <v>0</v>
      </c>
      <c r="O74" s="22">
        <f t="shared" si="51"/>
        <v>0</v>
      </c>
      <c r="P74" s="22">
        <f t="shared" si="51"/>
        <v>0</v>
      </c>
      <c r="Q74" s="22">
        <f t="shared" si="51"/>
        <v>0</v>
      </c>
      <c r="R74" s="22">
        <f t="shared" si="51"/>
        <v>0</v>
      </c>
      <c r="T74" s="9">
        <f t="shared" si="28"/>
        <v>0</v>
      </c>
    </row>
    <row r="75" spans="1:20" x14ac:dyDescent="0.25">
      <c r="A75" s="8">
        <v>916</v>
      </c>
      <c r="B75" s="10" t="s">
        <v>166</v>
      </c>
      <c r="C75" s="10"/>
      <c r="D75" s="118"/>
      <c r="E75" s="10"/>
      <c r="F75" s="44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v>0</v>
      </c>
      <c r="R75" s="119">
        <v>0</v>
      </c>
      <c r="T75" s="9">
        <f t="shared" si="28"/>
        <v>0</v>
      </c>
    </row>
    <row r="76" spans="1:20" x14ac:dyDescent="0.25">
      <c r="B76" s="30" t="s">
        <v>8</v>
      </c>
      <c r="C76" s="30"/>
      <c r="D76" s="114"/>
      <c r="E76" s="30"/>
      <c r="F76" s="46">
        <f>SUM(F68:F75)</f>
        <v>2624824.690013885</v>
      </c>
      <c r="G76" s="46">
        <f t="shared" ref="G76:R76" si="52">SUM(G68:G75)</f>
        <v>2347344.2996630925</v>
      </c>
      <c r="H76" s="46">
        <f t="shared" si="52"/>
        <v>235592.06252860188</v>
      </c>
      <c r="I76" s="46">
        <f t="shared" si="52"/>
        <v>18606.689636060444</v>
      </c>
      <c r="J76" s="46">
        <f t="shared" si="52"/>
        <v>3956.4060811435988</v>
      </c>
      <c r="K76" s="46">
        <f t="shared" si="52"/>
        <v>2513.0040260650399</v>
      </c>
      <c r="L76" s="46">
        <f t="shared" ref="L76:M76" si="53">SUM(L68:L75)</f>
        <v>8.0485782510839812</v>
      </c>
      <c r="M76" s="46">
        <f t="shared" si="53"/>
        <v>448.55659467136246</v>
      </c>
      <c r="N76" s="46">
        <f t="shared" si="52"/>
        <v>1150.533668071283</v>
      </c>
      <c r="O76" s="46">
        <f t="shared" si="52"/>
        <v>822.1508280770289</v>
      </c>
      <c r="P76" s="46">
        <f t="shared" si="52"/>
        <v>31.486474417354742</v>
      </c>
      <c r="Q76" s="46">
        <f t="shared" si="52"/>
        <v>14326.886113388908</v>
      </c>
      <c r="R76" s="46">
        <f t="shared" si="52"/>
        <v>24.077953608676424</v>
      </c>
      <c r="T76" s="9">
        <f t="shared" si="28"/>
        <v>-0.48786843568086624</v>
      </c>
    </row>
    <row r="77" spans="1:20" x14ac:dyDescent="0.25">
      <c r="F77" s="4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T77" s="9">
        <f t="shared" si="28"/>
        <v>0</v>
      </c>
    </row>
    <row r="78" spans="1:20" x14ac:dyDescent="0.25">
      <c r="B78" s="30" t="s">
        <v>167</v>
      </c>
      <c r="C78" s="30"/>
      <c r="D78" s="114"/>
      <c r="E78" s="30"/>
      <c r="F78" s="43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T78" s="9">
        <f t="shared" ref="T78:T141" si="54">SUM(G78:R78)-F78</f>
        <v>0</v>
      </c>
    </row>
    <row r="79" spans="1:20" x14ac:dyDescent="0.25">
      <c r="A79" s="8">
        <v>920</v>
      </c>
      <c r="B79" s="8" t="s">
        <v>168</v>
      </c>
      <c r="D79" s="113">
        <v>62</v>
      </c>
      <c r="F79" s="43">
        <v>30077737.4205296</v>
      </c>
      <c r="G79" s="22">
        <f t="shared" ref="G79:R88" si="55">INDEX(Alloc,($D79),(G$1))*$F79</f>
        <v>18164341.365363613</v>
      </c>
      <c r="H79" s="22">
        <f t="shared" si="55"/>
        <v>3827179.876586183</v>
      </c>
      <c r="I79" s="22">
        <f t="shared" si="55"/>
        <v>3065522.600949245</v>
      </c>
      <c r="J79" s="22">
        <f t="shared" si="55"/>
        <v>1829573.4366383511</v>
      </c>
      <c r="K79" s="22">
        <f t="shared" si="55"/>
        <v>1286789.8226602783</v>
      </c>
      <c r="L79" s="22">
        <f t="shared" si="55"/>
        <v>8558.7945371587393</v>
      </c>
      <c r="M79" s="22">
        <f t="shared" si="55"/>
        <v>178776.35535732473</v>
      </c>
      <c r="N79" s="22">
        <f t="shared" si="55"/>
        <v>587156.63791632687</v>
      </c>
      <c r="O79" s="22">
        <f t="shared" si="55"/>
        <v>500116.82141997456</v>
      </c>
      <c r="P79" s="22">
        <f t="shared" si="55"/>
        <v>175051.90223064017</v>
      </c>
      <c r="Q79" s="22">
        <f t="shared" si="55"/>
        <v>444379.20928158291</v>
      </c>
      <c r="R79" s="22">
        <f t="shared" si="55"/>
        <v>10290.597588923078</v>
      </c>
      <c r="T79" s="9">
        <f t="shared" si="54"/>
        <v>0</v>
      </c>
    </row>
    <row r="80" spans="1:20" x14ac:dyDescent="0.25">
      <c r="A80" s="8">
        <v>921</v>
      </c>
      <c r="B80" s="8" t="s">
        <v>169</v>
      </c>
      <c r="D80" s="113">
        <v>62</v>
      </c>
      <c r="F80" s="43">
        <v>3432585.6418920001</v>
      </c>
      <c r="G80" s="22">
        <f t="shared" si="55"/>
        <v>2072983.6321602617</v>
      </c>
      <c r="H80" s="22">
        <f t="shared" si="55"/>
        <v>436772.30469938763</v>
      </c>
      <c r="I80" s="22">
        <f t="shared" si="55"/>
        <v>349849.08332006168</v>
      </c>
      <c r="J80" s="22">
        <f t="shared" si="55"/>
        <v>208797.87005206282</v>
      </c>
      <c r="K80" s="22">
        <f t="shared" si="55"/>
        <v>146853.3423122972</v>
      </c>
      <c r="L80" s="22">
        <f t="shared" si="55"/>
        <v>976.76214235789678</v>
      </c>
      <c r="M80" s="22">
        <f t="shared" si="55"/>
        <v>20402.636738575849</v>
      </c>
      <c r="N80" s="22">
        <f t="shared" si="55"/>
        <v>67008.545778363798</v>
      </c>
      <c r="O80" s="22">
        <f t="shared" si="55"/>
        <v>57075.231307230526</v>
      </c>
      <c r="P80" s="22">
        <f t="shared" si="55"/>
        <v>19977.588000773147</v>
      </c>
      <c r="Q80" s="22">
        <f t="shared" si="55"/>
        <v>50714.243295911569</v>
      </c>
      <c r="R80" s="22">
        <f t="shared" si="55"/>
        <v>1174.4020847165114</v>
      </c>
      <c r="T80" s="9">
        <f t="shared" si="54"/>
        <v>0</v>
      </c>
    </row>
    <row r="81" spans="1:20" x14ac:dyDescent="0.25">
      <c r="A81" s="8">
        <v>922</v>
      </c>
      <c r="B81" s="8" t="s">
        <v>170</v>
      </c>
      <c r="D81" s="113">
        <v>62</v>
      </c>
      <c r="F81" s="43">
        <v>-156178.807734</v>
      </c>
      <c r="G81" s="22">
        <f t="shared" si="55"/>
        <v>-94318.436857539258</v>
      </c>
      <c r="H81" s="22">
        <f t="shared" si="55"/>
        <v>-19872.651381709638</v>
      </c>
      <c r="I81" s="22">
        <f t="shared" si="55"/>
        <v>-15917.742023078466</v>
      </c>
      <c r="J81" s="22">
        <f t="shared" si="55"/>
        <v>-9500.0695697589945</v>
      </c>
      <c r="K81" s="22">
        <f t="shared" si="55"/>
        <v>-6681.6628357874979</v>
      </c>
      <c r="L81" s="22">
        <f t="shared" si="55"/>
        <v>-44.441585075523541</v>
      </c>
      <c r="M81" s="22">
        <f t="shared" si="55"/>
        <v>-928.29715348466709</v>
      </c>
      <c r="N81" s="22">
        <f t="shared" si="55"/>
        <v>-3048.8138911766991</v>
      </c>
      <c r="O81" s="22">
        <f t="shared" si="55"/>
        <v>-2596.8591920673175</v>
      </c>
      <c r="P81" s="22">
        <f t="shared" si="55"/>
        <v>-908.95791128522774</v>
      </c>
      <c r="Q81" s="22">
        <f t="shared" si="55"/>
        <v>-2307.4413516225604</v>
      </c>
      <c r="R81" s="22">
        <f t="shared" si="55"/>
        <v>-53.433981414153941</v>
      </c>
      <c r="T81" s="9">
        <f t="shared" si="54"/>
        <v>0</v>
      </c>
    </row>
    <row r="82" spans="1:20" x14ac:dyDescent="0.25">
      <c r="A82" s="8">
        <v>923</v>
      </c>
      <c r="B82" s="8" t="s">
        <v>171</v>
      </c>
      <c r="D82" s="113">
        <v>62</v>
      </c>
      <c r="F82" s="43">
        <v>12344244.369874001</v>
      </c>
      <c r="G82" s="22">
        <f t="shared" si="55"/>
        <v>7454851.5899608219</v>
      </c>
      <c r="H82" s="22">
        <f t="shared" si="55"/>
        <v>1570718.0026047388</v>
      </c>
      <c r="I82" s="22">
        <f t="shared" si="55"/>
        <v>1258125.223264314</v>
      </c>
      <c r="J82" s="22">
        <f t="shared" si="55"/>
        <v>750877.6766924886</v>
      </c>
      <c r="K82" s="22">
        <f t="shared" si="55"/>
        <v>528113.12903953181</v>
      </c>
      <c r="L82" s="22">
        <f t="shared" si="55"/>
        <v>3512.6262923659046</v>
      </c>
      <c r="M82" s="22">
        <f t="shared" si="55"/>
        <v>73371.84267656898</v>
      </c>
      <c r="N82" s="22">
        <f t="shared" si="55"/>
        <v>240975.73964741209</v>
      </c>
      <c r="O82" s="22">
        <f t="shared" si="55"/>
        <v>205253.61235712588</v>
      </c>
      <c r="P82" s="22">
        <f t="shared" si="55"/>
        <v>71843.284896536134</v>
      </c>
      <c r="Q82" s="22">
        <f t="shared" si="55"/>
        <v>182378.26454722247</v>
      </c>
      <c r="R82" s="22">
        <f t="shared" si="55"/>
        <v>4223.3778948744457</v>
      </c>
      <c r="T82" s="9">
        <f t="shared" si="54"/>
        <v>0</v>
      </c>
    </row>
    <row r="83" spans="1:20" x14ac:dyDescent="0.25">
      <c r="A83" s="8">
        <v>924</v>
      </c>
      <c r="B83" s="8" t="s">
        <v>172</v>
      </c>
      <c r="D83" s="113">
        <v>74</v>
      </c>
      <c r="F83" s="43">
        <v>5082999.766913482</v>
      </c>
      <c r="G83" s="22">
        <f t="shared" si="55"/>
        <v>2839954.7663139305</v>
      </c>
      <c r="H83" s="22">
        <f t="shared" si="55"/>
        <v>650809.87128020218</v>
      </c>
      <c r="I83" s="22">
        <f t="shared" si="55"/>
        <v>607774.25775241514</v>
      </c>
      <c r="J83" s="22">
        <f t="shared" si="55"/>
        <v>361382.0733675579</v>
      </c>
      <c r="K83" s="22">
        <f t="shared" si="55"/>
        <v>245874.87991846786</v>
      </c>
      <c r="L83" s="22">
        <f t="shared" si="55"/>
        <v>1402.2109621226925</v>
      </c>
      <c r="M83" s="22">
        <f t="shared" si="55"/>
        <v>33378.10393683063</v>
      </c>
      <c r="N83" s="22">
        <f t="shared" si="55"/>
        <v>125105.86920491626</v>
      </c>
      <c r="O83" s="22">
        <f t="shared" si="55"/>
        <v>100425.40291373096</v>
      </c>
      <c r="P83" s="22">
        <f t="shared" si="55"/>
        <v>58690.364222254422</v>
      </c>
      <c r="Q83" s="22">
        <f t="shared" si="55"/>
        <v>56538.340389226119</v>
      </c>
      <c r="R83" s="22">
        <f t="shared" si="55"/>
        <v>1663.6266518269733</v>
      </c>
      <c r="T83" s="9">
        <f t="shared" si="54"/>
        <v>0</v>
      </c>
    </row>
    <row r="84" spans="1:20" x14ac:dyDescent="0.25">
      <c r="A84" s="8">
        <v>925</v>
      </c>
      <c r="B84" s="8" t="s">
        <v>173</v>
      </c>
      <c r="D84" s="113">
        <v>78</v>
      </c>
      <c r="F84" s="43">
        <v>3487885.7588320775</v>
      </c>
      <c r="G84" s="22">
        <f t="shared" si="55"/>
        <v>2081964.8407394891</v>
      </c>
      <c r="H84" s="22">
        <f t="shared" si="55"/>
        <v>437192.57477393706</v>
      </c>
      <c r="I84" s="22">
        <f t="shared" si="55"/>
        <v>367684.37167360994</v>
      </c>
      <c r="J84" s="22">
        <f t="shared" si="55"/>
        <v>216869.05788042489</v>
      </c>
      <c r="K84" s="22">
        <f t="shared" si="55"/>
        <v>147514.66346811914</v>
      </c>
      <c r="L84" s="22">
        <f t="shared" si="55"/>
        <v>847.29734918734164</v>
      </c>
      <c r="M84" s="22">
        <f t="shared" si="55"/>
        <v>20250.318445103359</v>
      </c>
      <c r="N84" s="22">
        <f t="shared" si="55"/>
        <v>75243.553530172503</v>
      </c>
      <c r="O84" s="22">
        <f t="shared" si="55"/>
        <v>60031.572648119072</v>
      </c>
      <c r="P84" s="22">
        <f t="shared" si="55"/>
        <v>36720.795030511428</v>
      </c>
      <c r="Q84" s="22">
        <f t="shared" si="55"/>
        <v>42562.415889376462</v>
      </c>
      <c r="R84" s="22">
        <f t="shared" si="55"/>
        <v>1004.2974040266604</v>
      </c>
      <c r="T84" s="9">
        <f t="shared" si="54"/>
        <v>0</v>
      </c>
    </row>
    <row r="85" spans="1:20" x14ac:dyDescent="0.25">
      <c r="A85" s="8">
        <v>926</v>
      </c>
      <c r="B85" s="8" t="s">
        <v>174</v>
      </c>
      <c r="D85" s="113">
        <v>78</v>
      </c>
      <c r="F85" s="43">
        <v>29850640.61786855</v>
      </c>
      <c r="G85" s="22">
        <f t="shared" si="55"/>
        <v>17818239.626277994</v>
      </c>
      <c r="H85" s="22">
        <f t="shared" si="55"/>
        <v>3741658.7964014588</v>
      </c>
      <c r="I85" s="22">
        <f t="shared" si="55"/>
        <v>3146781.4024135163</v>
      </c>
      <c r="J85" s="22">
        <f t="shared" si="55"/>
        <v>1856047.117234716</v>
      </c>
      <c r="K85" s="22">
        <f t="shared" si="55"/>
        <v>1262486.0759565511</v>
      </c>
      <c r="L85" s="22">
        <f t="shared" si="55"/>
        <v>7251.4899901805247</v>
      </c>
      <c r="M85" s="22">
        <f t="shared" si="55"/>
        <v>173309.85591242171</v>
      </c>
      <c r="N85" s="22">
        <f t="shared" si="55"/>
        <v>643962.68414268026</v>
      </c>
      <c r="O85" s="22">
        <f t="shared" si="55"/>
        <v>513772.81962483679</v>
      </c>
      <c r="P85" s="22">
        <f t="shared" si="55"/>
        <v>314270.40088183782</v>
      </c>
      <c r="Q85" s="22">
        <f t="shared" si="55"/>
        <v>364265.19341260428</v>
      </c>
      <c r="R85" s="22">
        <f t="shared" si="55"/>
        <v>8595.1556197461723</v>
      </c>
      <c r="T85" s="9">
        <f t="shared" si="54"/>
        <v>0</v>
      </c>
    </row>
    <row r="86" spans="1:20" x14ac:dyDescent="0.25">
      <c r="A86" s="8">
        <v>928</v>
      </c>
      <c r="B86" s="8" t="s">
        <v>175</v>
      </c>
      <c r="D86" s="113">
        <v>84</v>
      </c>
      <c r="F86" s="43">
        <v>8322384.0846997648</v>
      </c>
      <c r="G86" s="22">
        <f t="shared" si="55"/>
        <v>4545447.3358311113</v>
      </c>
      <c r="H86" s="22">
        <f t="shared" si="55"/>
        <v>1137586.6249101143</v>
      </c>
      <c r="I86" s="22">
        <f t="shared" si="55"/>
        <v>1077834.021643223</v>
      </c>
      <c r="J86" s="22">
        <f t="shared" si="55"/>
        <v>647045.77882764</v>
      </c>
      <c r="K86" s="22">
        <f t="shared" si="55"/>
        <v>432094.78025137295</v>
      </c>
      <c r="L86" s="22">
        <f t="shared" si="55"/>
        <v>0</v>
      </c>
      <c r="M86" s="22">
        <f t="shared" si="55"/>
        <v>0</v>
      </c>
      <c r="N86" s="22">
        <f t="shared" si="55"/>
        <v>203856.41229244033</v>
      </c>
      <c r="O86" s="22">
        <f t="shared" si="55"/>
        <v>171995.07847591795</v>
      </c>
      <c r="P86" s="22">
        <f t="shared" si="55"/>
        <v>32017.940177551285</v>
      </c>
      <c r="Q86" s="22">
        <f t="shared" si="55"/>
        <v>73157.81628343898</v>
      </c>
      <c r="R86" s="22">
        <f t="shared" si="55"/>
        <v>1348.2960069545234</v>
      </c>
      <c r="T86" s="9">
        <f t="shared" si="54"/>
        <v>0</v>
      </c>
    </row>
    <row r="87" spans="1:20" x14ac:dyDescent="0.25">
      <c r="A87" s="8">
        <v>930</v>
      </c>
      <c r="B87" s="8" t="s">
        <v>176</v>
      </c>
      <c r="D87" s="113">
        <v>62</v>
      </c>
      <c r="F87" s="43">
        <v>4820104.1603624756</v>
      </c>
      <c r="G87" s="22">
        <f t="shared" si="55"/>
        <v>2910924.3212447641</v>
      </c>
      <c r="H87" s="22">
        <f t="shared" si="55"/>
        <v>613324.24669008853</v>
      </c>
      <c r="I87" s="22">
        <f t="shared" si="55"/>
        <v>491264.95241078804</v>
      </c>
      <c r="J87" s="22">
        <f t="shared" si="55"/>
        <v>293198.0690678531</v>
      </c>
      <c r="K87" s="22">
        <f t="shared" si="55"/>
        <v>206214.34687714913</v>
      </c>
      <c r="L87" s="22">
        <f t="shared" si="55"/>
        <v>1371.5885799338184</v>
      </c>
      <c r="M87" s="22">
        <f t="shared" si="55"/>
        <v>28649.783133092744</v>
      </c>
      <c r="N87" s="22">
        <f t="shared" si="55"/>
        <v>94094.715757216632</v>
      </c>
      <c r="O87" s="22">
        <f t="shared" si="55"/>
        <v>80146.160526965294</v>
      </c>
      <c r="P87" s="22">
        <f t="shared" si="55"/>
        <v>28052.92134924214</v>
      </c>
      <c r="Q87" s="22">
        <f t="shared" si="55"/>
        <v>71213.936257544134</v>
      </c>
      <c r="R87" s="22">
        <f t="shared" si="55"/>
        <v>1649.1184678382238</v>
      </c>
      <c r="T87" s="9">
        <f t="shared" si="54"/>
        <v>0</v>
      </c>
    </row>
    <row r="88" spans="1:20" x14ac:dyDescent="0.25">
      <c r="A88" s="8">
        <v>931</v>
      </c>
      <c r="B88" s="10" t="s">
        <v>177</v>
      </c>
      <c r="C88" s="10"/>
      <c r="D88" s="118">
        <v>62</v>
      </c>
      <c r="E88" s="10"/>
      <c r="F88" s="44">
        <v>7281686.8702663016</v>
      </c>
      <c r="G88" s="119">
        <f t="shared" si="55"/>
        <v>4397506.5071525043</v>
      </c>
      <c r="H88" s="119">
        <f t="shared" si="55"/>
        <v>926543.27909862821</v>
      </c>
      <c r="I88" s="119">
        <f t="shared" si="55"/>
        <v>742149.42971743236</v>
      </c>
      <c r="J88" s="119">
        <f t="shared" si="55"/>
        <v>442931.61701266357</v>
      </c>
      <c r="K88" s="119">
        <f t="shared" si="55"/>
        <v>311526.1106728774</v>
      </c>
      <c r="L88" s="119">
        <f t="shared" si="55"/>
        <v>2072.0462093002202</v>
      </c>
      <c r="M88" s="119">
        <f t="shared" si="55"/>
        <v>43280.962970005625</v>
      </c>
      <c r="N88" s="119">
        <f t="shared" si="55"/>
        <v>142148.01869328044</v>
      </c>
      <c r="O88" s="119">
        <f t="shared" si="55"/>
        <v>121076.06503830645</v>
      </c>
      <c r="P88" s="119">
        <f t="shared" si="55"/>
        <v>42379.289381586364</v>
      </c>
      <c r="Q88" s="119">
        <f t="shared" si="55"/>
        <v>107582.23627008602</v>
      </c>
      <c r="R88" s="119">
        <f t="shared" si="55"/>
        <v>2491.3080496310758</v>
      </c>
      <c r="T88" s="9">
        <f t="shared" si="54"/>
        <v>0</v>
      </c>
    </row>
    <row r="89" spans="1:20" x14ac:dyDescent="0.25">
      <c r="B89" s="30" t="s">
        <v>8</v>
      </c>
      <c r="C89" s="30"/>
      <c r="D89" s="114"/>
      <c r="E89" s="30"/>
      <c r="F89" s="46">
        <f>SUM(F79:F88)</f>
        <v>104544089.88350426</v>
      </c>
      <c r="G89" s="46">
        <f t="shared" ref="G89:R89" si="56">SUM(G79:G88)</f>
        <v>62191895.548186943</v>
      </c>
      <c r="H89" s="46">
        <f t="shared" si="56"/>
        <v>13321912.92566303</v>
      </c>
      <c r="I89" s="46">
        <f t="shared" si="56"/>
        <v>11091067.601121528</v>
      </c>
      <c r="J89" s="46">
        <f t="shared" si="56"/>
        <v>6597222.627204</v>
      </c>
      <c r="K89" s="46">
        <f t="shared" si="56"/>
        <v>4560785.4883208573</v>
      </c>
      <c r="L89" s="46">
        <f t="shared" ref="L89:M89" si="57">SUM(L79:L88)</f>
        <v>25948.374477531615</v>
      </c>
      <c r="M89" s="46">
        <f t="shared" si="57"/>
        <v>570491.56201643893</v>
      </c>
      <c r="N89" s="46">
        <f t="shared" si="56"/>
        <v>2176503.3630716326</v>
      </c>
      <c r="O89" s="46">
        <f t="shared" si="56"/>
        <v>1807295.9051201399</v>
      </c>
      <c r="P89" s="46">
        <f t="shared" si="56"/>
        <v>778095.52825964766</v>
      </c>
      <c r="Q89" s="46">
        <f t="shared" si="56"/>
        <v>1390484.2142753704</v>
      </c>
      <c r="R89" s="46">
        <f t="shared" si="56"/>
        <v>32386.745787123509</v>
      </c>
      <c r="T89" s="9">
        <f t="shared" si="54"/>
        <v>0</v>
      </c>
    </row>
    <row r="90" spans="1:20" ht="16.5" thickBot="1" x14ac:dyDescent="0.3">
      <c r="B90" s="12"/>
      <c r="C90" s="12"/>
      <c r="D90" s="121"/>
      <c r="E90" s="12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T90" s="9">
        <f t="shared" si="54"/>
        <v>0</v>
      </c>
    </row>
    <row r="91" spans="1:20" ht="16.5" thickTop="1" x14ac:dyDescent="0.25">
      <c r="B91" s="30" t="s">
        <v>178</v>
      </c>
      <c r="C91" s="30"/>
      <c r="D91" s="114"/>
      <c r="E91" s="30"/>
      <c r="F91" s="46">
        <f>SUM(F20,F29,F35,F40,F44,F57,F65,F76,F89)</f>
        <v>1095390907.1926994</v>
      </c>
      <c r="G91" s="46">
        <f t="shared" ref="G91:R91" si="58">SUM(G20,G29,G35,G40,G44,G57,G65,G76,G89)</f>
        <v>581285450.95317233</v>
      </c>
      <c r="H91" s="46">
        <f t="shared" si="58"/>
        <v>145843611.7741375</v>
      </c>
      <c r="I91" s="46">
        <f t="shared" si="58"/>
        <v>140108189.4382214</v>
      </c>
      <c r="J91" s="46">
        <f t="shared" si="58"/>
        <v>92078888.349417567</v>
      </c>
      <c r="K91" s="46">
        <f t="shared" si="58"/>
        <v>60577411.859540939</v>
      </c>
      <c r="L91" s="46">
        <f t="shared" ref="L91:M91" si="59">SUM(L20,L29,L35,L40,L44,L57,L65,L76,L89)</f>
        <v>246625.51108689504</v>
      </c>
      <c r="M91" s="46">
        <f t="shared" si="59"/>
        <v>5718390.2305646054</v>
      </c>
      <c r="N91" s="46">
        <f t="shared" si="58"/>
        <v>31728590.068678599</v>
      </c>
      <c r="O91" s="46">
        <f t="shared" si="58"/>
        <v>28886112.72323063</v>
      </c>
      <c r="P91" s="46">
        <f t="shared" si="58"/>
        <v>2452673.7726827362</v>
      </c>
      <c r="Q91" s="46">
        <f t="shared" si="58"/>
        <v>6128031.8965301542</v>
      </c>
      <c r="R91" s="46">
        <f t="shared" si="58"/>
        <v>336930.12242035673</v>
      </c>
      <c r="T91" s="9">
        <f t="shared" si="54"/>
        <v>-0.49301576614379883</v>
      </c>
    </row>
    <row r="92" spans="1:20" x14ac:dyDescent="0.25">
      <c r="F92" s="4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T92" s="9">
        <f t="shared" si="54"/>
        <v>0</v>
      </c>
    </row>
    <row r="93" spans="1:20" x14ac:dyDescent="0.25">
      <c r="F93" s="4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T93" s="9">
        <f t="shared" si="54"/>
        <v>0</v>
      </c>
    </row>
    <row r="94" spans="1:20" x14ac:dyDescent="0.25">
      <c r="B94" s="30" t="s">
        <v>179</v>
      </c>
      <c r="C94" s="30"/>
      <c r="D94" s="114"/>
      <c r="E94" s="30"/>
      <c r="F94" s="4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T94" s="9">
        <f t="shared" si="54"/>
        <v>0</v>
      </c>
    </row>
    <row r="95" spans="1:20" x14ac:dyDescent="0.25">
      <c r="A95" s="8">
        <v>591</v>
      </c>
      <c r="B95" s="8" t="s">
        <v>180</v>
      </c>
      <c r="F95" s="43">
        <v>0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T95" s="9">
        <f t="shared" si="54"/>
        <v>0</v>
      </c>
    </row>
    <row r="96" spans="1:20" x14ac:dyDescent="0.25">
      <c r="A96" s="8">
        <v>592</v>
      </c>
      <c r="B96" s="8" t="s">
        <v>181</v>
      </c>
      <c r="D96" s="113">
        <v>56</v>
      </c>
      <c r="F96" s="43">
        <v>1606371.0100402089</v>
      </c>
      <c r="G96" s="22">
        <f t="shared" ref="G96:R99" si="60">INDEX(Alloc,($D96),(G$1))*$F96</f>
        <v>799347.68354260537</v>
      </c>
      <c r="H96" s="22">
        <f t="shared" si="60"/>
        <v>206787.96175731558</v>
      </c>
      <c r="I96" s="22">
        <f t="shared" si="60"/>
        <v>222717.30171120775</v>
      </c>
      <c r="J96" s="22">
        <f t="shared" si="60"/>
        <v>126233.33444024556</v>
      </c>
      <c r="K96" s="22">
        <f t="shared" si="60"/>
        <v>100834.60115088202</v>
      </c>
      <c r="L96" s="22">
        <f t="shared" si="60"/>
        <v>357.71061550434638</v>
      </c>
      <c r="M96" s="22">
        <f t="shared" si="60"/>
        <v>12651.229361110343</v>
      </c>
      <c r="N96" s="22">
        <f t="shared" si="60"/>
        <v>55705.811032805388</v>
      </c>
      <c r="O96" s="22">
        <f t="shared" si="60"/>
        <v>54617.142458362207</v>
      </c>
      <c r="P96" s="22">
        <f t="shared" si="60"/>
        <v>25282.334770569283</v>
      </c>
      <c r="Q96" s="22">
        <f t="shared" si="60"/>
        <v>1415.4377145508513</v>
      </c>
      <c r="R96" s="22">
        <f t="shared" si="60"/>
        <v>420.46148505039997</v>
      </c>
      <c r="T96" s="9">
        <f t="shared" si="54"/>
        <v>0</v>
      </c>
    </row>
    <row r="97" spans="1:20" x14ac:dyDescent="0.25">
      <c r="A97" s="8">
        <v>593</v>
      </c>
      <c r="B97" s="8" t="s">
        <v>144</v>
      </c>
      <c r="D97" s="113">
        <v>57</v>
      </c>
      <c r="F97" s="43">
        <v>40423107.59376993</v>
      </c>
      <c r="G97" s="22">
        <f t="shared" si="60"/>
        <v>27398060.114924263</v>
      </c>
      <c r="H97" s="22">
        <f t="shared" si="60"/>
        <v>5253511.1332823774</v>
      </c>
      <c r="I97" s="22">
        <f t="shared" si="60"/>
        <v>4058383.2639011219</v>
      </c>
      <c r="J97" s="22">
        <f t="shared" si="60"/>
        <v>1691074.1099640732</v>
      </c>
      <c r="K97" s="22">
        <f t="shared" si="60"/>
        <v>1440526.5936719279</v>
      </c>
      <c r="L97" s="22">
        <f t="shared" si="60"/>
        <v>32271.168765137187</v>
      </c>
      <c r="M97" s="22">
        <f t="shared" si="60"/>
        <v>402903.10953257955</v>
      </c>
      <c r="N97" s="22">
        <f t="shared" si="60"/>
        <v>91363.054484369015</v>
      </c>
      <c r="O97" s="22">
        <f t="shared" si="60"/>
        <v>0</v>
      </c>
      <c r="P97" s="22">
        <f t="shared" si="60"/>
        <v>0</v>
      </c>
      <c r="Q97" s="22">
        <f t="shared" si="60"/>
        <v>26392.626716211445</v>
      </c>
      <c r="R97" s="22">
        <f t="shared" si="60"/>
        <v>28622.418527872935</v>
      </c>
      <c r="T97" s="9">
        <f t="shared" si="54"/>
        <v>0</v>
      </c>
    </row>
    <row r="98" spans="1:20" x14ac:dyDescent="0.25">
      <c r="A98" s="8">
        <v>594</v>
      </c>
      <c r="B98" s="8" t="s">
        <v>145</v>
      </c>
      <c r="D98" s="113">
        <v>58</v>
      </c>
      <c r="F98" s="43">
        <v>16035160.216004606</v>
      </c>
      <c r="G98" s="22">
        <f t="shared" si="60"/>
        <v>10460277.409522269</v>
      </c>
      <c r="H98" s="22">
        <f t="shared" si="60"/>
        <v>1935666.5648502479</v>
      </c>
      <c r="I98" s="22">
        <f t="shared" si="60"/>
        <v>1786387.1059785085</v>
      </c>
      <c r="J98" s="22">
        <f t="shared" si="60"/>
        <v>767077.32209071354</v>
      </c>
      <c r="K98" s="22">
        <f t="shared" si="60"/>
        <v>522158.72338341118</v>
      </c>
      <c r="L98" s="22">
        <f t="shared" si="60"/>
        <v>5812.7645517022947</v>
      </c>
      <c r="M98" s="22">
        <f t="shared" si="60"/>
        <v>178439.09643055341</v>
      </c>
      <c r="N98" s="22">
        <f t="shared" si="60"/>
        <v>296305.23113427061</v>
      </c>
      <c r="O98" s="22">
        <f t="shared" si="60"/>
        <v>71234.808492303593</v>
      </c>
      <c r="P98" s="22">
        <f t="shared" si="60"/>
        <v>0</v>
      </c>
      <c r="Q98" s="22">
        <f t="shared" si="60"/>
        <v>7665.1840242228054</v>
      </c>
      <c r="R98" s="22">
        <f t="shared" si="60"/>
        <v>4136.0055464035549</v>
      </c>
      <c r="T98" s="9">
        <f t="shared" si="54"/>
        <v>0</v>
      </c>
    </row>
    <row r="99" spans="1:20" x14ac:dyDescent="0.25">
      <c r="A99" s="8">
        <v>595</v>
      </c>
      <c r="B99" s="8" t="s">
        <v>182</v>
      </c>
      <c r="D99" s="113">
        <v>59</v>
      </c>
      <c r="F99" s="43">
        <v>255786.2425414742</v>
      </c>
      <c r="G99" s="22">
        <f t="shared" si="60"/>
        <v>186354.49760451325</v>
      </c>
      <c r="H99" s="22">
        <f t="shared" si="60"/>
        <v>34117.134842740888</v>
      </c>
      <c r="I99" s="22">
        <f t="shared" si="60"/>
        <v>15821.569671496127</v>
      </c>
      <c r="J99" s="22">
        <f t="shared" si="60"/>
        <v>4886.2985949081203</v>
      </c>
      <c r="K99" s="22">
        <f t="shared" si="60"/>
        <v>455.05541303181087</v>
      </c>
      <c r="L99" s="22">
        <f t="shared" si="60"/>
        <v>0</v>
      </c>
      <c r="M99" s="22">
        <f t="shared" si="60"/>
        <v>26.426959450610298</v>
      </c>
      <c r="N99" s="22">
        <f t="shared" si="60"/>
        <v>1309.6327900925971</v>
      </c>
      <c r="O99" s="22">
        <f t="shared" si="60"/>
        <v>0</v>
      </c>
      <c r="P99" s="22">
        <f t="shared" si="60"/>
        <v>0</v>
      </c>
      <c r="Q99" s="22">
        <f t="shared" si="60"/>
        <v>12794.998277376428</v>
      </c>
      <c r="R99" s="22">
        <f t="shared" si="60"/>
        <v>20.628387864387786</v>
      </c>
      <c r="T99" s="9">
        <f t="shared" si="54"/>
        <v>0</v>
      </c>
    </row>
    <row r="100" spans="1:20" x14ac:dyDescent="0.25">
      <c r="A100" s="8">
        <v>596</v>
      </c>
      <c r="B100" s="8" t="s">
        <v>146</v>
      </c>
      <c r="D100" s="113" t="s">
        <v>482</v>
      </c>
      <c r="F100" s="43">
        <v>2559362.8506887127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2559363</v>
      </c>
      <c r="R100" s="22">
        <v>0</v>
      </c>
      <c r="T100" s="9">
        <f t="shared" si="54"/>
        <v>0.14931128732860088</v>
      </c>
    </row>
    <row r="101" spans="1:20" x14ac:dyDescent="0.25">
      <c r="A101" s="8">
        <v>597</v>
      </c>
      <c r="B101" s="10" t="s">
        <v>183</v>
      </c>
      <c r="C101" s="10"/>
      <c r="D101" s="118">
        <v>19</v>
      </c>
      <c r="E101" s="10"/>
      <c r="F101" s="44">
        <v>501015.50515303854</v>
      </c>
      <c r="G101" s="119">
        <f t="shared" ref="G101:Q101" si="61">INDEX(Alloc,($D101),(G$1))*$F101</f>
        <v>325745.67046652077</v>
      </c>
      <c r="H101" s="119">
        <f t="shared" si="61"/>
        <v>92304.366331900426</v>
      </c>
      <c r="I101" s="119">
        <f t="shared" si="61"/>
        <v>25072.626928174664</v>
      </c>
      <c r="J101" s="119">
        <f t="shared" si="61"/>
        <v>2839.1485738616166</v>
      </c>
      <c r="K101" s="119">
        <f t="shared" si="61"/>
        <v>35234.917257470901</v>
      </c>
      <c r="L101" s="119">
        <f t="shared" si="61"/>
        <v>82.804446265674855</v>
      </c>
      <c r="M101" s="119">
        <f t="shared" si="61"/>
        <v>12315.641385472212</v>
      </c>
      <c r="N101" s="119">
        <f t="shared" si="61"/>
        <v>2980.3779885534482</v>
      </c>
      <c r="O101" s="119">
        <f t="shared" si="61"/>
        <v>1542.2436378844259</v>
      </c>
      <c r="P101" s="119">
        <f t="shared" si="61"/>
        <v>2165.7973210317164</v>
      </c>
      <c r="Q101" s="119">
        <f t="shared" si="61"/>
        <v>0</v>
      </c>
      <c r="R101" s="119">
        <f>INDEX(Alloc,($D101),(R$1))*$F101</f>
        <v>731.91081590266219</v>
      </c>
      <c r="T101" s="9">
        <f t="shared" si="54"/>
        <v>0</v>
      </c>
    </row>
    <row r="102" spans="1:20" x14ac:dyDescent="0.25">
      <c r="B102" s="30" t="s">
        <v>8</v>
      </c>
      <c r="C102" s="30"/>
      <c r="D102" s="114"/>
      <c r="E102" s="30"/>
      <c r="F102" s="46">
        <f>SUM(F96:F101)</f>
        <v>61380803.418197967</v>
      </c>
      <c r="G102" s="46">
        <f t="shared" ref="G102:R102" si="62">SUM(G96:G101)</f>
        <v>39169785.376060173</v>
      </c>
      <c r="H102" s="46">
        <f t="shared" si="62"/>
        <v>7522387.1610645819</v>
      </c>
      <c r="I102" s="46">
        <f t="shared" si="62"/>
        <v>6108381.8681905093</v>
      </c>
      <c r="J102" s="46">
        <f t="shared" si="62"/>
        <v>2592110.213663802</v>
      </c>
      <c r="K102" s="46">
        <f t="shared" si="62"/>
        <v>2099209.8908767235</v>
      </c>
      <c r="L102" s="46">
        <f t="shared" ref="L102:M102" si="63">SUM(L96:L101)</f>
        <v>38524.448378609508</v>
      </c>
      <c r="M102" s="46">
        <f t="shared" si="63"/>
        <v>606335.50366916612</v>
      </c>
      <c r="N102" s="46">
        <f t="shared" si="62"/>
        <v>447664.10743009107</v>
      </c>
      <c r="O102" s="46">
        <f t="shared" si="62"/>
        <v>127394.19458855024</v>
      </c>
      <c r="P102" s="46">
        <f t="shared" si="62"/>
        <v>27448.132091601001</v>
      </c>
      <c r="Q102" s="46">
        <f t="shared" si="62"/>
        <v>2607631.2467323616</v>
      </c>
      <c r="R102" s="46">
        <f t="shared" si="62"/>
        <v>33931.424763093943</v>
      </c>
      <c r="T102" s="9">
        <f t="shared" si="54"/>
        <v>0.14931129664182663</v>
      </c>
    </row>
    <row r="103" spans="1:20" x14ac:dyDescent="0.25">
      <c r="F103" s="43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T103" s="9">
        <f t="shared" si="54"/>
        <v>0</v>
      </c>
    </row>
    <row r="104" spans="1:20" x14ac:dyDescent="0.25">
      <c r="B104" s="30" t="s">
        <v>184</v>
      </c>
      <c r="C104" s="30"/>
      <c r="D104" s="114"/>
      <c r="E104" s="30"/>
      <c r="F104" s="4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T104" s="9">
        <f t="shared" si="54"/>
        <v>0</v>
      </c>
    </row>
    <row r="105" spans="1:20" x14ac:dyDescent="0.25">
      <c r="A105" s="8">
        <v>935</v>
      </c>
      <c r="B105" s="10" t="s">
        <v>185</v>
      </c>
      <c r="C105" s="10"/>
      <c r="D105" s="118">
        <v>70</v>
      </c>
      <c r="E105" s="10"/>
      <c r="F105" s="44">
        <v>12120662.048645999</v>
      </c>
      <c r="G105" s="119">
        <f t="shared" ref="G105:R105" si="64">INDEX(Alloc,($D105),(G$1))*$F105</f>
        <v>7202173.3048005234</v>
      </c>
      <c r="H105" s="119">
        <f t="shared" si="64"/>
        <v>1521567.3184021718</v>
      </c>
      <c r="I105" s="119">
        <f t="shared" si="64"/>
        <v>1290091.2308868375</v>
      </c>
      <c r="J105" s="119">
        <f t="shared" si="64"/>
        <v>761135.68403000245</v>
      </c>
      <c r="K105" s="119">
        <f t="shared" si="64"/>
        <v>517817.4943557427</v>
      </c>
      <c r="L105" s="119">
        <f t="shared" si="64"/>
        <v>2975.7486942904507</v>
      </c>
      <c r="M105" s="119">
        <f t="shared" si="64"/>
        <v>71103.894886323513</v>
      </c>
      <c r="N105" s="119">
        <f t="shared" si="64"/>
        <v>264029.94088796235</v>
      </c>
      <c r="O105" s="119">
        <f t="shared" si="64"/>
        <v>210648.16703449682</v>
      </c>
      <c r="P105" s="119">
        <f t="shared" si="64"/>
        <v>128451.89531557451</v>
      </c>
      <c r="Q105" s="119">
        <f t="shared" si="64"/>
        <v>147141.20197492029</v>
      </c>
      <c r="R105" s="119">
        <f t="shared" si="64"/>
        <v>3526.1673771546307</v>
      </c>
      <c r="T105" s="9">
        <f t="shared" si="54"/>
        <v>0</v>
      </c>
    </row>
    <row r="106" spans="1:20" x14ac:dyDescent="0.25">
      <c r="B106" s="30" t="s">
        <v>8</v>
      </c>
      <c r="C106" s="30"/>
      <c r="D106" s="114"/>
      <c r="E106" s="30"/>
      <c r="F106" s="46">
        <f>SUM(F105)</f>
        <v>12120662.048645999</v>
      </c>
      <c r="G106" s="46">
        <f t="shared" ref="G106:R106" si="65">SUM(G105)</f>
        <v>7202173.3048005234</v>
      </c>
      <c r="H106" s="46">
        <f t="shared" si="65"/>
        <v>1521567.3184021718</v>
      </c>
      <c r="I106" s="46">
        <f t="shared" si="65"/>
        <v>1290091.2308868375</v>
      </c>
      <c r="J106" s="46">
        <f t="shared" si="65"/>
        <v>761135.68403000245</v>
      </c>
      <c r="K106" s="46">
        <f t="shared" si="65"/>
        <v>517817.4943557427</v>
      </c>
      <c r="L106" s="46">
        <f t="shared" ref="L106:M106" si="66">SUM(L105)</f>
        <v>2975.7486942904507</v>
      </c>
      <c r="M106" s="46">
        <f t="shared" si="66"/>
        <v>71103.894886323513</v>
      </c>
      <c r="N106" s="46">
        <f t="shared" si="65"/>
        <v>264029.94088796235</v>
      </c>
      <c r="O106" s="46">
        <f t="shared" si="65"/>
        <v>210648.16703449682</v>
      </c>
      <c r="P106" s="46">
        <f t="shared" si="65"/>
        <v>128451.89531557451</v>
      </c>
      <c r="Q106" s="46">
        <f t="shared" si="65"/>
        <v>147141.20197492029</v>
      </c>
      <c r="R106" s="46">
        <f t="shared" si="65"/>
        <v>3526.1673771546307</v>
      </c>
      <c r="T106" s="9">
        <f t="shared" si="54"/>
        <v>0</v>
      </c>
    </row>
    <row r="107" spans="1:20" x14ac:dyDescent="0.25">
      <c r="B107" s="10"/>
      <c r="C107" s="10"/>
      <c r="D107" s="118"/>
      <c r="E107" s="10"/>
      <c r="F107" s="44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T107" s="9">
        <f t="shared" si="54"/>
        <v>0</v>
      </c>
    </row>
    <row r="108" spans="1:20" x14ac:dyDescent="0.25">
      <c r="B108" s="30" t="s">
        <v>186</v>
      </c>
      <c r="C108" s="30"/>
      <c r="D108" s="114"/>
      <c r="E108" s="30"/>
      <c r="F108" s="46">
        <f>SUM(F102,F106)</f>
        <v>73501465.466843963</v>
      </c>
      <c r="G108" s="46">
        <f t="shared" ref="G108:R108" si="67">SUM(G102,G106)</f>
        <v>46371958.680860698</v>
      </c>
      <c r="H108" s="46">
        <f t="shared" si="67"/>
        <v>9043954.4794667531</v>
      </c>
      <c r="I108" s="46">
        <f t="shared" si="67"/>
        <v>7398473.0990773467</v>
      </c>
      <c r="J108" s="46">
        <f t="shared" si="67"/>
        <v>3353245.8976938045</v>
      </c>
      <c r="K108" s="46">
        <f t="shared" si="67"/>
        <v>2617027.3852324663</v>
      </c>
      <c r="L108" s="46">
        <f t="shared" ref="L108:M108" si="68">SUM(L102,L106)</f>
        <v>41500.197072899959</v>
      </c>
      <c r="M108" s="46">
        <f t="shared" si="68"/>
        <v>677439.39855548961</v>
      </c>
      <c r="N108" s="46">
        <f t="shared" si="67"/>
        <v>711694.04831805336</v>
      </c>
      <c r="O108" s="46">
        <f t="shared" si="67"/>
        <v>338042.36162304704</v>
      </c>
      <c r="P108" s="46">
        <f t="shared" si="67"/>
        <v>155900.02740717551</v>
      </c>
      <c r="Q108" s="46">
        <f t="shared" si="67"/>
        <v>2754772.4487072821</v>
      </c>
      <c r="R108" s="46">
        <f t="shared" si="67"/>
        <v>37457.592140248576</v>
      </c>
      <c r="T108" s="9">
        <f t="shared" si="54"/>
        <v>0.14931128919124603</v>
      </c>
    </row>
    <row r="109" spans="1:20" x14ac:dyDescent="0.25">
      <c r="F109" s="43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T109" s="9">
        <f t="shared" si="54"/>
        <v>0</v>
      </c>
    </row>
    <row r="110" spans="1:20" ht="16.5" thickBot="1" x14ac:dyDescent="0.3">
      <c r="B110" s="12"/>
      <c r="C110" s="12"/>
      <c r="D110" s="121"/>
      <c r="E110" s="12"/>
      <c r="F110" s="51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T110" s="9">
        <f t="shared" si="54"/>
        <v>0</v>
      </c>
    </row>
    <row r="111" spans="1:20" ht="16.5" thickTop="1" x14ac:dyDescent="0.25">
      <c r="B111" s="30" t="s">
        <v>187</v>
      </c>
      <c r="C111" s="30"/>
      <c r="D111" s="114"/>
      <c r="E111" s="30"/>
      <c r="F111" s="46">
        <f>SUM(F91,F108)</f>
        <v>1168892372.6595435</v>
      </c>
      <c r="G111" s="46">
        <f t="shared" ref="G111:R111" si="69">SUM(G91,G108)</f>
        <v>627657409.63403296</v>
      </c>
      <c r="H111" s="46">
        <f t="shared" si="69"/>
        <v>154887566.25360426</v>
      </c>
      <c r="I111" s="46">
        <f t="shared" si="69"/>
        <v>147506662.53729874</v>
      </c>
      <c r="J111" s="46">
        <f t="shared" si="69"/>
        <v>95432134.247111365</v>
      </c>
      <c r="K111" s="46">
        <f t="shared" si="69"/>
        <v>63194439.244773403</v>
      </c>
      <c r="L111" s="46">
        <f t="shared" ref="L111:M111" si="70">SUM(L91,L108)</f>
        <v>288125.70815979503</v>
      </c>
      <c r="M111" s="46">
        <f t="shared" si="70"/>
        <v>6395829.6291200947</v>
      </c>
      <c r="N111" s="46">
        <f t="shared" si="69"/>
        <v>32440284.116996653</v>
      </c>
      <c r="O111" s="46">
        <f t="shared" si="69"/>
        <v>29224155.084853679</v>
      </c>
      <c r="P111" s="46">
        <f t="shared" si="69"/>
        <v>2608573.8000899116</v>
      </c>
      <c r="Q111" s="46">
        <f t="shared" si="69"/>
        <v>8882804.3452374358</v>
      </c>
      <c r="R111" s="46">
        <f t="shared" si="69"/>
        <v>374387.71456060529</v>
      </c>
      <c r="T111" s="9">
        <f t="shared" si="54"/>
        <v>-0.3437047004699707</v>
      </c>
    </row>
    <row r="112" spans="1:20" x14ac:dyDescent="0.25">
      <c r="F112" s="4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T112" s="9">
        <f t="shared" si="54"/>
        <v>0</v>
      </c>
    </row>
    <row r="113" spans="1:20" x14ac:dyDescent="0.25">
      <c r="A113" s="30" t="s">
        <v>212</v>
      </c>
      <c r="F113" s="4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T113" s="9">
        <f t="shared" si="54"/>
        <v>0</v>
      </c>
    </row>
    <row r="114" spans="1:20" x14ac:dyDescent="0.25">
      <c r="A114" s="8">
        <v>403.01</v>
      </c>
      <c r="B114" s="8" t="s">
        <v>213</v>
      </c>
      <c r="D114" s="113">
        <v>73</v>
      </c>
      <c r="F114" s="43">
        <v>49656182.506266594</v>
      </c>
      <c r="G114" s="22">
        <f t="shared" ref="G114:R122" si="71">INDEX(Alloc,($D114),(G$1))*$F114</f>
        <v>24964546.442660518</v>
      </c>
      <c r="H114" s="22">
        <f t="shared" si="71"/>
        <v>6708053.6947715534</v>
      </c>
      <c r="I114" s="22">
        <f t="shared" si="71"/>
        <v>6856674.6490128124</v>
      </c>
      <c r="J114" s="22">
        <f t="shared" si="71"/>
        <v>4595034.1605823915</v>
      </c>
      <c r="K114" s="22">
        <f t="shared" si="71"/>
        <v>2990096.68579735</v>
      </c>
      <c r="L114" s="22">
        <f t="shared" si="71"/>
        <v>11520.234341453852</v>
      </c>
      <c r="M114" s="22">
        <f t="shared" si="71"/>
        <v>260744.61434040591</v>
      </c>
      <c r="N114" s="22">
        <f t="shared" si="71"/>
        <v>1590686.1504057443</v>
      </c>
      <c r="O114" s="22">
        <f t="shared" si="71"/>
        <v>1464410.4782923083</v>
      </c>
      <c r="P114" s="22">
        <f t="shared" si="71"/>
        <v>0</v>
      </c>
      <c r="Q114" s="22">
        <f t="shared" si="71"/>
        <v>198624.73002506641</v>
      </c>
      <c r="R114" s="22">
        <f t="shared" si="71"/>
        <v>15790.666036992778</v>
      </c>
      <c r="T114" s="9">
        <f t="shared" si="54"/>
        <v>0</v>
      </c>
    </row>
    <row r="115" spans="1:20" x14ac:dyDescent="0.25">
      <c r="A115" s="8">
        <v>403.02</v>
      </c>
      <c r="B115" s="8" t="s">
        <v>214</v>
      </c>
      <c r="D115" s="113">
        <v>73</v>
      </c>
      <c r="F115" s="43">
        <v>18725546.655301787</v>
      </c>
      <c r="G115" s="22">
        <f t="shared" si="71"/>
        <v>9414231.1298596617</v>
      </c>
      <c r="H115" s="22">
        <f t="shared" si="71"/>
        <v>2529634.0976647181</v>
      </c>
      <c r="I115" s="22">
        <f t="shared" si="71"/>
        <v>2585679.6588040376</v>
      </c>
      <c r="J115" s="22">
        <f t="shared" si="71"/>
        <v>1732805.9108416613</v>
      </c>
      <c r="K115" s="22">
        <f t="shared" si="71"/>
        <v>1127577.5173956526</v>
      </c>
      <c r="L115" s="22">
        <f t="shared" si="71"/>
        <v>4344.3268240300149</v>
      </c>
      <c r="M115" s="22">
        <f t="shared" si="71"/>
        <v>98327.845486989696</v>
      </c>
      <c r="N115" s="22">
        <f t="shared" si="71"/>
        <v>599854.16155593761</v>
      </c>
      <c r="O115" s="22">
        <f t="shared" si="71"/>
        <v>552235.09641150502</v>
      </c>
      <c r="P115" s="22">
        <f t="shared" si="71"/>
        <v>0</v>
      </c>
      <c r="Q115" s="22">
        <f t="shared" si="71"/>
        <v>74902.186621207162</v>
      </c>
      <c r="R115" s="22">
        <f t="shared" si="71"/>
        <v>5954.7238363859688</v>
      </c>
      <c r="T115" s="9">
        <f t="shared" si="54"/>
        <v>0</v>
      </c>
    </row>
    <row r="116" spans="1:20" x14ac:dyDescent="0.25">
      <c r="A116" s="8">
        <v>403.03</v>
      </c>
      <c r="B116" s="8" t="s">
        <v>215</v>
      </c>
      <c r="D116" s="113">
        <v>73</v>
      </c>
      <c r="F116" s="43">
        <v>74534250.89338842</v>
      </c>
      <c r="G116" s="22">
        <f t="shared" si="71"/>
        <v>37471945.568149239</v>
      </c>
      <c r="H116" s="22">
        <f t="shared" si="71"/>
        <v>10068831.95318784</v>
      </c>
      <c r="I116" s="22">
        <f t="shared" si="71"/>
        <v>10291912.966111757</v>
      </c>
      <c r="J116" s="22">
        <f t="shared" si="71"/>
        <v>6897175.9749214835</v>
      </c>
      <c r="K116" s="22">
        <f t="shared" si="71"/>
        <v>4488154.4517962784</v>
      </c>
      <c r="L116" s="22">
        <f t="shared" si="71"/>
        <v>17291.946207266115</v>
      </c>
      <c r="M116" s="22">
        <f t="shared" si="71"/>
        <v>391379.3514411826</v>
      </c>
      <c r="N116" s="22">
        <f t="shared" si="71"/>
        <v>2387630.1931188051</v>
      </c>
      <c r="O116" s="22">
        <f t="shared" si="71"/>
        <v>2198089.593096918</v>
      </c>
      <c r="P116" s="22">
        <f t="shared" si="71"/>
        <v>0</v>
      </c>
      <c r="Q116" s="22">
        <f t="shared" si="71"/>
        <v>298137.00357355375</v>
      </c>
      <c r="R116" s="22">
        <f t="shared" si="71"/>
        <v>23701.891784097519</v>
      </c>
      <c r="T116" s="9">
        <f t="shared" si="54"/>
        <v>0</v>
      </c>
    </row>
    <row r="117" spans="1:20" x14ac:dyDescent="0.25">
      <c r="A117" s="8">
        <v>403.04</v>
      </c>
      <c r="B117" s="8" t="s">
        <v>216</v>
      </c>
      <c r="D117" s="113">
        <v>82</v>
      </c>
      <c r="F117" s="43">
        <v>29988545.120614346</v>
      </c>
      <c r="G117" s="22">
        <f t="shared" si="71"/>
        <v>14048503.881148195</v>
      </c>
      <c r="H117" s="22">
        <f t="shared" si="71"/>
        <v>3774878.0488521266</v>
      </c>
      <c r="I117" s="22">
        <f t="shared" si="71"/>
        <v>3858512.7368395021</v>
      </c>
      <c r="J117" s="22">
        <f t="shared" si="71"/>
        <v>2585801.2436644402</v>
      </c>
      <c r="K117" s="22">
        <f t="shared" si="71"/>
        <v>1682641.6210650655</v>
      </c>
      <c r="L117" s="22">
        <f t="shared" si="71"/>
        <v>6482.8759148248846</v>
      </c>
      <c r="M117" s="22">
        <f t="shared" si="71"/>
        <v>146730.95443424766</v>
      </c>
      <c r="N117" s="22">
        <f t="shared" si="71"/>
        <v>895139.85799784621</v>
      </c>
      <c r="O117" s="22">
        <f t="shared" si="71"/>
        <v>824079.71381077869</v>
      </c>
      <c r="P117" s="22">
        <f t="shared" si="71"/>
        <v>2045114.4532657042</v>
      </c>
      <c r="Q117" s="22">
        <f t="shared" si="71"/>
        <v>111773.72266939457</v>
      </c>
      <c r="R117" s="22">
        <f t="shared" si="71"/>
        <v>8886.0109522168677</v>
      </c>
      <c r="T117" s="9">
        <f t="shared" si="54"/>
        <v>0</v>
      </c>
    </row>
    <row r="118" spans="1:20" x14ac:dyDescent="0.25">
      <c r="A118" s="8">
        <v>403.05</v>
      </c>
      <c r="B118" s="8" t="s">
        <v>217</v>
      </c>
      <c r="D118" s="113">
        <v>68</v>
      </c>
      <c r="F118" s="43">
        <v>116546832.38730794</v>
      </c>
      <c r="G118" s="22">
        <f t="shared" si="71"/>
        <v>75915939.061680004</v>
      </c>
      <c r="H118" s="22">
        <f t="shared" si="71"/>
        <v>14152821.425414067</v>
      </c>
      <c r="I118" s="22">
        <f t="shared" si="71"/>
        <v>11337005.231030231</v>
      </c>
      <c r="J118" s="22">
        <f t="shared" si="71"/>
        <v>4961885.1385691864</v>
      </c>
      <c r="K118" s="22">
        <f t="shared" si="71"/>
        <v>3845804.3340073442</v>
      </c>
      <c r="L118" s="22">
        <f t="shared" si="71"/>
        <v>40981.114120695791</v>
      </c>
      <c r="M118" s="22">
        <f t="shared" si="71"/>
        <v>1021667.761376439</v>
      </c>
      <c r="N118" s="22">
        <f t="shared" si="71"/>
        <v>1717272.5909512369</v>
      </c>
      <c r="O118" s="22">
        <f t="shared" si="71"/>
        <v>733428.79683647631</v>
      </c>
      <c r="P118" s="22">
        <f t="shared" si="71"/>
        <v>243127.11951376958</v>
      </c>
      <c r="Q118" s="22">
        <f t="shared" si="71"/>
        <v>2535593.0072682523</v>
      </c>
      <c r="R118" s="22">
        <f t="shared" si="71"/>
        <v>41306.806540257414</v>
      </c>
      <c r="T118" s="9">
        <f t="shared" si="54"/>
        <v>0</v>
      </c>
    </row>
    <row r="119" spans="1:20" x14ac:dyDescent="0.25">
      <c r="A119" s="8">
        <v>403.06</v>
      </c>
      <c r="B119" s="8" t="s">
        <v>218</v>
      </c>
      <c r="D119" s="113">
        <v>70</v>
      </c>
      <c r="F119" s="43">
        <v>27073546.103763744</v>
      </c>
      <c r="G119" s="22">
        <f t="shared" si="71"/>
        <v>16087270.664938277</v>
      </c>
      <c r="H119" s="22">
        <f t="shared" si="71"/>
        <v>3398677.6282854271</v>
      </c>
      <c r="I119" s="22">
        <f t="shared" si="71"/>
        <v>2881636.6859579138</v>
      </c>
      <c r="J119" s="22">
        <f t="shared" si="71"/>
        <v>1700125.1210620129</v>
      </c>
      <c r="K119" s="22">
        <f t="shared" si="71"/>
        <v>1156632.8431986687</v>
      </c>
      <c r="L119" s="22">
        <f t="shared" si="71"/>
        <v>6646.8373711555714</v>
      </c>
      <c r="M119" s="22">
        <f t="shared" si="71"/>
        <v>158822.56007435638</v>
      </c>
      <c r="N119" s="22">
        <f t="shared" si="71"/>
        <v>589755.47282112308</v>
      </c>
      <c r="O119" s="22">
        <f t="shared" si="71"/>
        <v>470518.2636883154</v>
      </c>
      <c r="P119" s="22">
        <f t="shared" si="71"/>
        <v>286919.00623782584</v>
      </c>
      <c r="Q119" s="22">
        <f t="shared" si="71"/>
        <v>328664.72965280223</v>
      </c>
      <c r="R119" s="22">
        <f t="shared" si="71"/>
        <v>7876.2904758695158</v>
      </c>
      <c r="T119" s="9">
        <f t="shared" si="54"/>
        <v>0</v>
      </c>
    </row>
    <row r="120" spans="1:20" x14ac:dyDescent="0.25">
      <c r="A120" s="8">
        <v>403.07</v>
      </c>
      <c r="B120" s="8" t="s">
        <v>219</v>
      </c>
      <c r="D120" s="113">
        <v>73</v>
      </c>
      <c r="F120" s="43">
        <v>1739313.9972498524</v>
      </c>
      <c r="G120" s="22">
        <f t="shared" si="71"/>
        <v>874436.63348936872</v>
      </c>
      <c r="H120" s="22">
        <f t="shared" si="71"/>
        <v>234963.92788848255</v>
      </c>
      <c r="I120" s="22">
        <f t="shared" si="71"/>
        <v>240169.69468225143</v>
      </c>
      <c r="J120" s="22">
        <f t="shared" si="71"/>
        <v>160950.89936350958</v>
      </c>
      <c r="K120" s="22">
        <f t="shared" si="71"/>
        <v>104734.53165839713</v>
      </c>
      <c r="L120" s="22">
        <f t="shared" si="71"/>
        <v>403.52084736196582</v>
      </c>
      <c r="M120" s="22">
        <f t="shared" si="71"/>
        <v>9133.1377995589755</v>
      </c>
      <c r="N120" s="22">
        <f t="shared" si="71"/>
        <v>55717.184587901786</v>
      </c>
      <c r="O120" s="22">
        <f t="shared" si="71"/>
        <v>51294.1090928954</v>
      </c>
      <c r="P120" s="22">
        <f t="shared" si="71"/>
        <v>0</v>
      </c>
      <c r="Q120" s="22">
        <f t="shared" si="71"/>
        <v>6957.2559889994109</v>
      </c>
      <c r="R120" s="22">
        <f t="shared" si="71"/>
        <v>553.10185112545309</v>
      </c>
      <c r="T120" s="9">
        <f t="shared" si="54"/>
        <v>0</v>
      </c>
    </row>
    <row r="121" spans="1:20" x14ac:dyDescent="0.25">
      <c r="A121" s="8">
        <v>403.08</v>
      </c>
      <c r="B121" s="8" t="s">
        <v>220</v>
      </c>
      <c r="F121" s="43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T121" s="9">
        <f t="shared" si="54"/>
        <v>0</v>
      </c>
    </row>
    <row r="122" spans="1:20" x14ac:dyDescent="0.25">
      <c r="A122" s="8">
        <v>404</v>
      </c>
      <c r="B122" s="8" t="s">
        <v>221</v>
      </c>
      <c r="D122" s="113">
        <v>73</v>
      </c>
      <c r="F122" s="43">
        <v>984175.52593432798</v>
      </c>
      <c r="G122" s="22">
        <f t="shared" si="71"/>
        <v>494792.27731243148</v>
      </c>
      <c r="H122" s="22">
        <f t="shared" si="71"/>
        <v>132952.27179846834</v>
      </c>
      <c r="I122" s="22">
        <f t="shared" si="71"/>
        <v>135897.90914758985</v>
      </c>
      <c r="J122" s="22">
        <f t="shared" si="71"/>
        <v>91072.650643384899</v>
      </c>
      <c r="K122" s="22">
        <f t="shared" si="71"/>
        <v>59263.113469661504</v>
      </c>
      <c r="L122" s="22">
        <f t="shared" si="71"/>
        <v>228.32872201676412</v>
      </c>
      <c r="M122" s="22">
        <f t="shared" si="71"/>
        <v>5167.905686681157</v>
      </c>
      <c r="N122" s="22">
        <f t="shared" si="71"/>
        <v>31527.078797780268</v>
      </c>
      <c r="O122" s="22">
        <f t="shared" si="71"/>
        <v>29024.320435329271</v>
      </c>
      <c r="P122" s="22">
        <f t="shared" si="71"/>
        <v>0</v>
      </c>
      <c r="Q122" s="22">
        <f t="shared" si="71"/>
        <v>3936.7021037373129</v>
      </c>
      <c r="R122" s="22">
        <f t="shared" si="71"/>
        <v>312.96781724711633</v>
      </c>
      <c r="T122" s="9">
        <f t="shared" si="54"/>
        <v>0</v>
      </c>
    </row>
    <row r="123" spans="1:20" x14ac:dyDescent="0.25">
      <c r="A123" s="8">
        <v>404.01</v>
      </c>
      <c r="B123" s="8" t="s">
        <v>222</v>
      </c>
      <c r="F123" s="43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T123" s="9">
        <f t="shared" si="54"/>
        <v>0</v>
      </c>
    </row>
    <row r="124" spans="1:20" x14ac:dyDescent="0.25">
      <c r="A124" s="8">
        <v>404.02</v>
      </c>
      <c r="B124" s="8" t="s">
        <v>223</v>
      </c>
      <c r="D124" s="113">
        <v>70</v>
      </c>
      <c r="F124" s="43">
        <v>33860372.439818002</v>
      </c>
      <c r="G124" s="22">
        <f t="shared" ref="G124:R135" si="72">INDEX(Alloc,($D124),(G$1))*$F124</f>
        <v>20120045.381836478</v>
      </c>
      <c r="H124" s="22">
        <f t="shared" si="72"/>
        <v>4250661.8769317213</v>
      </c>
      <c r="I124" s="22">
        <f t="shared" si="72"/>
        <v>3604008.5420953874</v>
      </c>
      <c r="J124" s="22">
        <f t="shared" si="72"/>
        <v>2126314.3576691463</v>
      </c>
      <c r="K124" s="22">
        <f t="shared" si="72"/>
        <v>1446578.8373909388</v>
      </c>
      <c r="L124" s="22">
        <f t="shared" si="72"/>
        <v>8313.0738792632783</v>
      </c>
      <c r="M124" s="22">
        <f t="shared" si="72"/>
        <v>198636.37424339695</v>
      </c>
      <c r="N124" s="22">
        <f t="shared" si="72"/>
        <v>737596.0238680396</v>
      </c>
      <c r="O124" s="22">
        <f t="shared" si="72"/>
        <v>588468.2999102216</v>
      </c>
      <c r="P124" s="22">
        <f t="shared" si="72"/>
        <v>358844.17852172867</v>
      </c>
      <c r="Q124" s="22">
        <f t="shared" si="72"/>
        <v>411054.76583020925</v>
      </c>
      <c r="R124" s="22">
        <f t="shared" si="72"/>
        <v>9850.7276414764729</v>
      </c>
      <c r="T124" s="9">
        <f t="shared" si="54"/>
        <v>0</v>
      </c>
    </row>
    <row r="125" spans="1:20" x14ac:dyDescent="0.25">
      <c r="A125" s="8">
        <v>405</v>
      </c>
      <c r="B125" s="8" t="s">
        <v>224</v>
      </c>
      <c r="D125" s="113">
        <v>75</v>
      </c>
      <c r="F125" s="43">
        <v>2458878.21</v>
      </c>
      <c r="G125" s="22">
        <f t="shared" si="72"/>
        <v>1369309.2933700054</v>
      </c>
      <c r="H125" s="22">
        <f t="shared" si="72"/>
        <v>315143.95399441838</v>
      </c>
      <c r="I125" s="22">
        <f t="shared" si="72"/>
        <v>295675.45246746205</v>
      </c>
      <c r="J125" s="22">
        <f t="shared" si="72"/>
        <v>175870.72355587594</v>
      </c>
      <c r="K125" s="22">
        <f t="shared" si="72"/>
        <v>119658.23657075642</v>
      </c>
      <c r="L125" s="22">
        <f t="shared" si="72"/>
        <v>682.16695585122602</v>
      </c>
      <c r="M125" s="22">
        <f t="shared" si="72"/>
        <v>16235.418587268887</v>
      </c>
      <c r="N125" s="22">
        <f t="shared" si="72"/>
        <v>60878.60500866911</v>
      </c>
      <c r="O125" s="22">
        <f t="shared" si="72"/>
        <v>48882.241567014753</v>
      </c>
      <c r="P125" s="22">
        <f t="shared" si="72"/>
        <v>28511.643956180927</v>
      </c>
      <c r="Q125" s="22">
        <f t="shared" si="72"/>
        <v>27221.084293490308</v>
      </c>
      <c r="R125" s="22">
        <f t="shared" si="72"/>
        <v>809.38967300613251</v>
      </c>
      <c r="T125" s="9">
        <f t="shared" si="54"/>
        <v>0</v>
      </c>
    </row>
    <row r="126" spans="1:20" x14ac:dyDescent="0.25">
      <c r="A126" s="8">
        <v>406</v>
      </c>
      <c r="B126" s="8" t="s">
        <v>225</v>
      </c>
      <c r="D126" s="113">
        <v>82</v>
      </c>
      <c r="F126" s="43">
        <v>25800</v>
      </c>
      <c r="G126" s="22">
        <f t="shared" si="72"/>
        <v>12086.328252198926</v>
      </c>
      <c r="H126" s="22">
        <f t="shared" si="72"/>
        <v>3247.6351643160237</v>
      </c>
      <c r="I126" s="22">
        <f t="shared" si="72"/>
        <v>3319.5884698663826</v>
      </c>
      <c r="J126" s="22">
        <f t="shared" si="72"/>
        <v>2224.6385017418897</v>
      </c>
      <c r="K126" s="22">
        <f t="shared" si="72"/>
        <v>1447.6245395991837</v>
      </c>
      <c r="L126" s="22">
        <f t="shared" si="72"/>
        <v>5.5774029026672425</v>
      </c>
      <c r="M126" s="22">
        <f t="shared" si="72"/>
        <v>126.23682173235208</v>
      </c>
      <c r="N126" s="22">
        <f t="shared" si="72"/>
        <v>770.11433010363112</v>
      </c>
      <c r="O126" s="22">
        <f t="shared" si="72"/>
        <v>708.97926294206741</v>
      </c>
      <c r="P126" s="22">
        <f t="shared" si="72"/>
        <v>1759.4702471239539</v>
      </c>
      <c r="Q126" s="22">
        <f t="shared" si="72"/>
        <v>96.162119011504188</v>
      </c>
      <c r="R126" s="22">
        <f t="shared" si="72"/>
        <v>7.644888461414582</v>
      </c>
      <c r="T126" s="9">
        <f t="shared" si="54"/>
        <v>0</v>
      </c>
    </row>
    <row r="127" spans="1:20" x14ac:dyDescent="0.25">
      <c r="A127" s="8">
        <v>406.01</v>
      </c>
      <c r="B127" s="8" t="s">
        <v>226</v>
      </c>
      <c r="F127" s="43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T127" s="9">
        <f t="shared" si="54"/>
        <v>0</v>
      </c>
    </row>
    <row r="128" spans="1:20" x14ac:dyDescent="0.25">
      <c r="A128" s="8">
        <v>406.02</v>
      </c>
      <c r="B128" s="8" t="s">
        <v>227</v>
      </c>
      <c r="D128" s="113">
        <v>73</v>
      </c>
      <c r="F128" s="43">
        <v>715282.68</v>
      </c>
      <c r="G128" s="22">
        <f t="shared" si="72"/>
        <v>359606.93680463999</v>
      </c>
      <c r="H128" s="22">
        <f t="shared" si="72"/>
        <v>96627.5372412</v>
      </c>
      <c r="I128" s="22">
        <f t="shared" si="72"/>
        <v>98768.378302440033</v>
      </c>
      <c r="J128" s="22">
        <f t="shared" si="72"/>
        <v>66190.113359159994</v>
      </c>
      <c r="K128" s="22">
        <f t="shared" si="72"/>
        <v>43071.461858880015</v>
      </c>
      <c r="L128" s="22">
        <f t="shared" si="72"/>
        <v>165.94558176000004</v>
      </c>
      <c r="M128" s="22">
        <f t="shared" si="72"/>
        <v>3755.9493526800006</v>
      </c>
      <c r="N128" s="22">
        <f t="shared" si="72"/>
        <v>22913.365371120006</v>
      </c>
      <c r="O128" s="22">
        <f t="shared" si="72"/>
        <v>21094.401515880003</v>
      </c>
      <c r="P128" s="22">
        <f t="shared" si="72"/>
        <v>0</v>
      </c>
      <c r="Q128" s="22">
        <f t="shared" si="72"/>
        <v>2861.130720000001</v>
      </c>
      <c r="R128" s="22">
        <f t="shared" si="72"/>
        <v>227.45989224000004</v>
      </c>
      <c r="T128" s="9">
        <f t="shared" si="54"/>
        <v>0</v>
      </c>
    </row>
    <row r="129" spans="1:20" x14ac:dyDescent="0.25">
      <c r="A129" s="8">
        <v>406.03</v>
      </c>
      <c r="B129" s="8" t="s">
        <v>228</v>
      </c>
      <c r="D129" s="113">
        <v>73</v>
      </c>
      <c r="F129" s="43">
        <v>10141653.090000002</v>
      </c>
      <c r="G129" s="22">
        <f t="shared" si="72"/>
        <v>5098695.8076913208</v>
      </c>
      <c r="H129" s="22">
        <f t="shared" si="72"/>
        <v>1370035.9159281</v>
      </c>
      <c r="I129" s="22">
        <f t="shared" si="72"/>
        <v>1400389.8836264706</v>
      </c>
      <c r="J129" s="22">
        <f t="shared" si="72"/>
        <v>938478.15198933007</v>
      </c>
      <c r="K129" s="22">
        <f t="shared" si="72"/>
        <v>610689.78246744024</v>
      </c>
      <c r="L129" s="22">
        <f t="shared" si="72"/>
        <v>2352.8635168800006</v>
      </c>
      <c r="M129" s="22">
        <f t="shared" si="72"/>
        <v>53253.82037559001</v>
      </c>
      <c r="N129" s="22">
        <f t="shared" si="72"/>
        <v>324877.7150850601</v>
      </c>
      <c r="O129" s="22">
        <f t="shared" si="72"/>
        <v>299087.4912771901</v>
      </c>
      <c r="P129" s="22">
        <f t="shared" si="72"/>
        <v>0</v>
      </c>
      <c r="Q129" s="22">
        <f t="shared" si="72"/>
        <v>40566.612360000014</v>
      </c>
      <c r="R129" s="22">
        <f t="shared" si="72"/>
        <v>3225.0456826200007</v>
      </c>
      <c r="T129" s="9">
        <f t="shared" si="54"/>
        <v>0</v>
      </c>
    </row>
    <row r="130" spans="1:20" x14ac:dyDescent="0.25">
      <c r="A130" s="8">
        <v>407</v>
      </c>
      <c r="B130" s="8" t="s">
        <v>229</v>
      </c>
      <c r="D130" s="113">
        <v>73</v>
      </c>
      <c r="F130" s="43">
        <v>9683054.2138744853</v>
      </c>
      <c r="G130" s="22">
        <f t="shared" si="72"/>
        <v>4868136.1399169695</v>
      </c>
      <c r="H130" s="22">
        <f t="shared" si="72"/>
        <v>1308083.793752304</v>
      </c>
      <c r="I130" s="22">
        <f t="shared" si="72"/>
        <v>1337065.1750144309</v>
      </c>
      <c r="J130" s="22">
        <f t="shared" si="72"/>
        <v>896040.78778930323</v>
      </c>
      <c r="K130" s="22">
        <f t="shared" si="72"/>
        <v>583074.79254266608</v>
      </c>
      <c r="L130" s="22">
        <f t="shared" si="72"/>
        <v>2246.4685776188808</v>
      </c>
      <c r="M130" s="22">
        <f t="shared" si="72"/>
        <v>50845.717677054927</v>
      </c>
      <c r="N130" s="22">
        <f t="shared" si="72"/>
        <v>310186.95868725533</v>
      </c>
      <c r="O130" s="22">
        <f t="shared" si="72"/>
        <v>285562.9518213725</v>
      </c>
      <c r="P130" s="22">
        <f t="shared" si="72"/>
        <v>0</v>
      </c>
      <c r="Q130" s="22">
        <f t="shared" si="72"/>
        <v>38732.216855497951</v>
      </c>
      <c r="R130" s="22">
        <f t="shared" si="72"/>
        <v>3079.2112400120868</v>
      </c>
      <c r="T130" s="9">
        <f t="shared" si="54"/>
        <v>0</v>
      </c>
    </row>
    <row r="131" spans="1:20" x14ac:dyDescent="0.25">
      <c r="A131" s="8">
        <v>407.01</v>
      </c>
      <c r="B131" s="8" t="s">
        <v>230</v>
      </c>
      <c r="D131" s="113">
        <v>80</v>
      </c>
      <c r="F131" s="43">
        <v>28786888.535833333</v>
      </c>
      <c r="G131" s="22">
        <f t="shared" si="72"/>
        <v>17263365.823500998</v>
      </c>
      <c r="H131" s="22">
        <f t="shared" si="72"/>
        <v>3531860.2834739718</v>
      </c>
      <c r="I131" s="22">
        <f t="shared" si="72"/>
        <v>3055552.4370919662</v>
      </c>
      <c r="J131" s="22">
        <f t="shared" si="72"/>
        <v>1580626.6528032175</v>
      </c>
      <c r="K131" s="22">
        <f t="shared" si="72"/>
        <v>1137887.6988236893</v>
      </c>
      <c r="L131" s="22">
        <f t="shared" si="72"/>
        <v>9020.5813368245072</v>
      </c>
      <c r="M131" s="22">
        <f t="shared" si="72"/>
        <v>220846.87370456639</v>
      </c>
      <c r="N131" s="22">
        <f t="shared" si="72"/>
        <v>547101.1608027753</v>
      </c>
      <c r="O131" s="22">
        <f t="shared" si="72"/>
        <v>353480.7731870159</v>
      </c>
      <c r="P131" s="22">
        <f t="shared" si="72"/>
        <v>597767.42109872098</v>
      </c>
      <c r="Q131" s="22">
        <f t="shared" si="72"/>
        <v>479648.74628969113</v>
      </c>
      <c r="R131" s="22">
        <f t="shared" si="72"/>
        <v>9730.0837198879726</v>
      </c>
      <c r="T131" s="9">
        <f t="shared" si="54"/>
        <v>0</v>
      </c>
    </row>
    <row r="132" spans="1:20" x14ac:dyDescent="0.25">
      <c r="A132" s="8">
        <v>407.02</v>
      </c>
      <c r="B132" s="8" t="s">
        <v>231</v>
      </c>
      <c r="D132" s="113">
        <v>73</v>
      </c>
      <c r="F132" s="43">
        <v>10579661.133228529</v>
      </c>
      <c r="G132" s="22">
        <f t="shared" si="72"/>
        <v>5318903.4754083762</v>
      </c>
      <c r="H132" s="22">
        <f t="shared" si="72"/>
        <v>1429206.4224878419</v>
      </c>
      <c r="I132" s="22">
        <f t="shared" si="72"/>
        <v>1460871.3482595955</v>
      </c>
      <c r="J132" s="22">
        <f t="shared" si="72"/>
        <v>979010.10228556837</v>
      </c>
      <c r="K132" s="22">
        <f t="shared" si="72"/>
        <v>637064.87479848927</v>
      </c>
      <c r="L132" s="22">
        <f t="shared" si="72"/>
        <v>2454.481382909019</v>
      </c>
      <c r="M132" s="22">
        <f t="shared" si="72"/>
        <v>55553.800610583014</v>
      </c>
      <c r="N132" s="22">
        <f t="shared" si="72"/>
        <v>338908.86474184279</v>
      </c>
      <c r="O132" s="22">
        <f t="shared" si="72"/>
        <v>312004.78648004262</v>
      </c>
      <c r="P132" s="22">
        <f t="shared" si="72"/>
        <v>0</v>
      </c>
      <c r="Q132" s="22">
        <f t="shared" si="72"/>
        <v>42318.644532914128</v>
      </c>
      <c r="R132" s="22">
        <f t="shared" si="72"/>
        <v>3364.3322403666725</v>
      </c>
      <c r="T132" s="9">
        <f t="shared" si="54"/>
        <v>0</v>
      </c>
    </row>
    <row r="133" spans="1:20" x14ac:dyDescent="0.25">
      <c r="A133" s="8">
        <v>411</v>
      </c>
      <c r="B133" s="8" t="s">
        <v>232</v>
      </c>
      <c r="D133" s="113">
        <v>73</v>
      </c>
      <c r="F133" s="43">
        <v>1820785.2132301694</v>
      </c>
      <c r="G133" s="22">
        <f t="shared" si="72"/>
        <v>915396.12438104115</v>
      </c>
      <c r="H133" s="22">
        <f t="shared" si="72"/>
        <v>245969.87445526355</v>
      </c>
      <c r="I133" s="22">
        <f t="shared" si="72"/>
        <v>251419.48459846154</v>
      </c>
      <c r="J133" s="22">
        <f t="shared" si="72"/>
        <v>168490.00127668018</v>
      </c>
      <c r="K133" s="22">
        <f t="shared" si="72"/>
        <v>109640.4023998679</v>
      </c>
      <c r="L133" s="22">
        <f t="shared" si="72"/>
        <v>422.42216946939936</v>
      </c>
      <c r="M133" s="22">
        <f t="shared" si="72"/>
        <v>9560.9431546716205</v>
      </c>
      <c r="N133" s="22">
        <f t="shared" si="72"/>
        <v>58327.033520615259</v>
      </c>
      <c r="O133" s="22">
        <f t="shared" si="72"/>
        <v>53696.776723370931</v>
      </c>
      <c r="P133" s="22">
        <f t="shared" si="72"/>
        <v>0</v>
      </c>
      <c r="Q133" s="22">
        <f t="shared" si="72"/>
        <v>7283.1408529206792</v>
      </c>
      <c r="R133" s="22">
        <f t="shared" si="72"/>
        <v>579.0096978071939</v>
      </c>
      <c r="T133" s="9">
        <f t="shared" si="54"/>
        <v>0</v>
      </c>
    </row>
    <row r="134" spans="1:20" x14ac:dyDescent="0.25">
      <c r="A134" s="8">
        <v>411.01</v>
      </c>
      <c r="B134" s="8" t="s">
        <v>233</v>
      </c>
      <c r="D134" s="113">
        <v>75</v>
      </c>
      <c r="F134" s="43">
        <v>-1063695.3252306676</v>
      </c>
      <c r="G134" s="22">
        <f t="shared" si="72"/>
        <v>-592354.63075358409</v>
      </c>
      <c r="H134" s="22">
        <f t="shared" si="72"/>
        <v>-136329.30223029281</v>
      </c>
      <c r="I134" s="22">
        <f t="shared" si="72"/>
        <v>-127907.3503095958</v>
      </c>
      <c r="J134" s="22">
        <f t="shared" si="72"/>
        <v>-76080.574357247358</v>
      </c>
      <c r="K134" s="22">
        <f t="shared" si="72"/>
        <v>-51763.404282499585</v>
      </c>
      <c r="L134" s="22">
        <f t="shared" si="72"/>
        <v>-295.10115589083375</v>
      </c>
      <c r="M134" s="22">
        <f t="shared" si="72"/>
        <v>-7023.3404746146434</v>
      </c>
      <c r="N134" s="22">
        <f t="shared" si="72"/>
        <v>-26335.703529735067</v>
      </c>
      <c r="O134" s="22">
        <f t="shared" si="72"/>
        <v>-21146.15178180371</v>
      </c>
      <c r="P134" s="22">
        <f t="shared" si="72"/>
        <v>-12333.958740815744</v>
      </c>
      <c r="Q134" s="22">
        <f t="shared" si="72"/>
        <v>-11775.670707454678</v>
      </c>
      <c r="R134" s="22">
        <f t="shared" si="72"/>
        <v>-350.13690713319301</v>
      </c>
      <c r="T134" s="9">
        <f t="shared" si="54"/>
        <v>0</v>
      </c>
    </row>
    <row r="135" spans="1:20" x14ac:dyDescent="0.25">
      <c r="A135" s="8">
        <v>411.02</v>
      </c>
      <c r="B135" s="8" t="s">
        <v>234</v>
      </c>
      <c r="D135" s="113">
        <v>75</v>
      </c>
      <c r="F135" s="43">
        <v>-26423.68</v>
      </c>
      <c r="G135" s="22">
        <f t="shared" si="72"/>
        <v>-14714.917738457307</v>
      </c>
      <c r="H135" s="22">
        <f t="shared" si="72"/>
        <v>-3386.6105935695095</v>
      </c>
      <c r="I135" s="22">
        <f t="shared" si="72"/>
        <v>-3177.3975254575248</v>
      </c>
      <c r="J135" s="22">
        <f t="shared" si="72"/>
        <v>-1889.9479045808162</v>
      </c>
      <c r="K135" s="22">
        <f t="shared" si="72"/>
        <v>-1285.8753799400115</v>
      </c>
      <c r="L135" s="22">
        <f t="shared" si="72"/>
        <v>-7.3307255620386842</v>
      </c>
      <c r="M135" s="22">
        <f t="shared" si="72"/>
        <v>-174.46960311875111</v>
      </c>
      <c r="N135" s="22">
        <f t="shared" si="72"/>
        <v>-654.21571961283507</v>
      </c>
      <c r="O135" s="22">
        <f t="shared" si="72"/>
        <v>-525.29999395516882</v>
      </c>
      <c r="P135" s="22">
        <f t="shared" si="72"/>
        <v>-306.3927904636069</v>
      </c>
      <c r="Q135" s="22">
        <f t="shared" si="72"/>
        <v>-292.52413466391812</v>
      </c>
      <c r="R135" s="22">
        <f t="shared" si="72"/>
        <v>-8.6978906185104155</v>
      </c>
      <c r="T135" s="9">
        <f t="shared" si="54"/>
        <v>0</v>
      </c>
    </row>
    <row r="136" spans="1:20" x14ac:dyDescent="0.25">
      <c r="A136" s="8">
        <v>421</v>
      </c>
      <c r="B136" s="10" t="s">
        <v>235</v>
      </c>
      <c r="C136" s="10"/>
      <c r="D136" s="118"/>
      <c r="E136" s="10"/>
      <c r="F136" s="44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v>0</v>
      </c>
      <c r="R136" s="119">
        <v>0</v>
      </c>
      <c r="T136" s="9">
        <f t="shared" si="54"/>
        <v>0</v>
      </c>
    </row>
    <row r="137" spans="1:20" x14ac:dyDescent="0.25">
      <c r="B137" s="30" t="s">
        <v>236</v>
      </c>
      <c r="F137" s="46">
        <f>SUM(F114:F136)</f>
        <v>416230649.70058089</v>
      </c>
      <c r="G137" s="46">
        <f t="shared" ref="G137:R137" si="73">SUM(G114:G136)</f>
        <v>233990141.42190766</v>
      </c>
      <c r="H137" s="46">
        <f t="shared" si="73"/>
        <v>53411934.428467952</v>
      </c>
      <c r="I137" s="46">
        <f t="shared" si="73"/>
        <v>49563475.073677123</v>
      </c>
      <c r="J137" s="46">
        <f t="shared" si="73"/>
        <v>29580126.106616266</v>
      </c>
      <c r="K137" s="46">
        <f t="shared" si="73"/>
        <v>20090969.530118305</v>
      </c>
      <c r="L137" s="46">
        <f t="shared" ref="L137:M137" si="74">SUM(L114:L136)</f>
        <v>113260.33327083106</v>
      </c>
      <c r="M137" s="46">
        <f t="shared" si="74"/>
        <v>2693591.455089672</v>
      </c>
      <c r="N137" s="46">
        <f t="shared" si="73"/>
        <v>10242152.612402508</v>
      </c>
      <c r="O137" s="46">
        <f t="shared" si="73"/>
        <v>8264395.6216338174</v>
      </c>
      <c r="P137" s="46">
        <f t="shared" si="73"/>
        <v>3549402.9413097752</v>
      </c>
      <c r="Q137" s="46">
        <f t="shared" si="73"/>
        <v>4596303.6469146293</v>
      </c>
      <c r="R137" s="46">
        <f t="shared" si="73"/>
        <v>134896.5291723189</v>
      </c>
      <c r="T137" s="9">
        <f t="shared" si="54"/>
        <v>0</v>
      </c>
    </row>
    <row r="138" spans="1:20" x14ac:dyDescent="0.25">
      <c r="F138" s="4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T138" s="9">
        <f t="shared" si="54"/>
        <v>0</v>
      </c>
    </row>
    <row r="139" spans="1:20" x14ac:dyDescent="0.25">
      <c r="A139" s="30" t="s">
        <v>237</v>
      </c>
      <c r="F139" s="4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T139" s="9">
        <f t="shared" si="54"/>
        <v>0</v>
      </c>
    </row>
    <row r="140" spans="1:20" x14ac:dyDescent="0.25">
      <c r="A140" s="8">
        <v>236</v>
      </c>
      <c r="B140" s="8" t="s">
        <v>238</v>
      </c>
      <c r="F140" s="43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T140" s="9">
        <f t="shared" si="54"/>
        <v>0</v>
      </c>
    </row>
    <row r="141" spans="1:20" x14ac:dyDescent="0.25">
      <c r="A141" s="8">
        <v>236.01</v>
      </c>
      <c r="B141" s="8" t="s">
        <v>239</v>
      </c>
      <c r="D141" s="113">
        <v>78</v>
      </c>
      <c r="F141" s="43">
        <v>8164401.2455378426</v>
      </c>
      <c r="G141" s="22">
        <f t="shared" ref="G141:R142" si="75">INDEX(Alloc,($D141),(G$1))*$F141</f>
        <v>4873438.3848028546</v>
      </c>
      <c r="H141" s="22">
        <f t="shared" si="75"/>
        <v>1023375.1472466377</v>
      </c>
      <c r="I141" s="22">
        <f t="shared" si="75"/>
        <v>860671.17721826339</v>
      </c>
      <c r="J141" s="22">
        <f t="shared" si="75"/>
        <v>507644.49546376459</v>
      </c>
      <c r="K141" s="22">
        <f t="shared" si="75"/>
        <v>345300.55897171702</v>
      </c>
      <c r="L141" s="22">
        <f t="shared" si="75"/>
        <v>1983.3434955628925</v>
      </c>
      <c r="M141" s="22">
        <f t="shared" si="75"/>
        <v>47401.703085338821</v>
      </c>
      <c r="N141" s="22">
        <f t="shared" si="75"/>
        <v>176129.20968092114</v>
      </c>
      <c r="O141" s="22">
        <f t="shared" si="75"/>
        <v>140521.18687052891</v>
      </c>
      <c r="P141" s="22">
        <f t="shared" si="75"/>
        <v>85955.597578011497</v>
      </c>
      <c r="Q141" s="22">
        <f t="shared" si="75"/>
        <v>99629.593779093411</v>
      </c>
      <c r="R141" s="22">
        <f t="shared" si="75"/>
        <v>2350.8473451467903</v>
      </c>
      <c r="T141" s="9">
        <f t="shared" si="54"/>
        <v>0</v>
      </c>
    </row>
    <row r="142" spans="1:20" x14ac:dyDescent="0.25">
      <c r="A142" s="8">
        <v>236.02</v>
      </c>
      <c r="B142" s="8" t="s">
        <v>240</v>
      </c>
      <c r="D142" s="113">
        <v>84</v>
      </c>
      <c r="F142" s="43">
        <v>76958872.988314226</v>
      </c>
      <c r="G142" s="22">
        <f t="shared" si="75"/>
        <v>42032727.717578955</v>
      </c>
      <c r="H142" s="22">
        <f t="shared" si="75"/>
        <v>10519507.834373264</v>
      </c>
      <c r="I142" s="22">
        <f t="shared" si="75"/>
        <v>9966962.6791944876</v>
      </c>
      <c r="J142" s="22">
        <f t="shared" si="75"/>
        <v>5983371.2796274563</v>
      </c>
      <c r="K142" s="22">
        <f t="shared" si="75"/>
        <v>3995673.2318343366</v>
      </c>
      <c r="L142" s="22">
        <f t="shared" si="75"/>
        <v>0</v>
      </c>
      <c r="M142" s="22">
        <f t="shared" si="75"/>
        <v>0</v>
      </c>
      <c r="N142" s="22">
        <f t="shared" si="75"/>
        <v>1885104.0256973803</v>
      </c>
      <c r="O142" s="22">
        <f t="shared" si="75"/>
        <v>1590475.4291955782</v>
      </c>
      <c r="P142" s="22">
        <f t="shared" si="75"/>
        <v>296076.76915580675</v>
      </c>
      <c r="Q142" s="22">
        <f t="shared" si="75"/>
        <v>676506.03891381412</v>
      </c>
      <c r="R142" s="22">
        <f t="shared" si="75"/>
        <v>12467.982743145378</v>
      </c>
      <c r="T142" s="9">
        <f t="shared" ref="T142:T158" si="76">SUM(G142:R142)-F142</f>
        <v>0</v>
      </c>
    </row>
    <row r="143" spans="1:20" x14ac:dyDescent="0.25">
      <c r="A143" s="8">
        <v>236.03</v>
      </c>
      <c r="B143" s="8" t="s">
        <v>241</v>
      </c>
      <c r="F143" s="43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T143" s="9">
        <f t="shared" si="76"/>
        <v>0</v>
      </c>
    </row>
    <row r="144" spans="1:20" x14ac:dyDescent="0.25">
      <c r="A144" s="8">
        <v>236.04</v>
      </c>
      <c r="B144" s="8" t="s">
        <v>242</v>
      </c>
      <c r="D144" s="113">
        <v>52</v>
      </c>
      <c r="F144" s="43">
        <v>800</v>
      </c>
      <c r="G144" s="22">
        <f t="shared" ref="G144:R145" si="77">INDEX(Alloc,($D144),(G$1))*$F144</f>
        <v>407.41416633208132</v>
      </c>
      <c r="H144" s="22">
        <f t="shared" si="77"/>
        <v>106.98212543472911</v>
      </c>
      <c r="I144" s="22">
        <f t="shared" si="77"/>
        <v>110.14873590070032</v>
      </c>
      <c r="J144" s="22">
        <f t="shared" si="77"/>
        <v>72.666370682915826</v>
      </c>
      <c r="K144" s="22">
        <f t="shared" si="77"/>
        <v>47.436841318445502</v>
      </c>
      <c r="L144" s="22">
        <f t="shared" si="77"/>
        <v>0.16473999886232427</v>
      </c>
      <c r="M144" s="22">
        <f t="shared" si="77"/>
        <v>4.4811939223488872</v>
      </c>
      <c r="N144" s="22">
        <f t="shared" si="77"/>
        <v>24.830766314441881</v>
      </c>
      <c r="O144" s="22">
        <f t="shared" si="77"/>
        <v>22.692458339922158</v>
      </c>
      <c r="P144" s="22">
        <f t="shared" si="77"/>
        <v>0</v>
      </c>
      <c r="Q144" s="22">
        <f t="shared" si="77"/>
        <v>2.9234497582805536</v>
      </c>
      <c r="R144" s="22">
        <f t="shared" si="77"/>
        <v>0.25915199727226113</v>
      </c>
      <c r="T144" s="9">
        <f t="shared" si="76"/>
        <v>0</v>
      </c>
    </row>
    <row r="145" spans="1:20" x14ac:dyDescent="0.25">
      <c r="A145" s="8">
        <v>236.05</v>
      </c>
      <c r="B145" s="10" t="s">
        <v>243</v>
      </c>
      <c r="C145" s="10"/>
      <c r="D145" s="118">
        <v>52</v>
      </c>
      <c r="E145" s="10"/>
      <c r="F145" s="44">
        <v>1446741.7986646658</v>
      </c>
      <c r="G145" s="119">
        <f t="shared" si="77"/>
        <v>736778.87975092581</v>
      </c>
      <c r="H145" s="119">
        <f t="shared" si="77"/>
        <v>193469.39072051112</v>
      </c>
      <c r="I145" s="119">
        <f t="shared" si="77"/>
        <v>199195.97537202301</v>
      </c>
      <c r="J145" s="119">
        <f t="shared" si="77"/>
        <v>131411.84478029373</v>
      </c>
      <c r="K145" s="119">
        <f t="shared" si="77"/>
        <v>85786.076415022719</v>
      </c>
      <c r="L145" s="119">
        <f t="shared" si="77"/>
        <v>297.92030283261749</v>
      </c>
      <c r="M145" s="119">
        <f t="shared" si="77"/>
        <v>8103.9131942302474</v>
      </c>
      <c r="N145" s="119">
        <f t="shared" si="77"/>
        <v>44904.634399972056</v>
      </c>
      <c r="O145" s="119">
        <f t="shared" si="77"/>
        <v>41037.659993527472</v>
      </c>
      <c r="P145" s="119">
        <f t="shared" si="77"/>
        <v>0</v>
      </c>
      <c r="Q145" s="119">
        <f t="shared" si="77"/>
        <v>5286.8462020007382</v>
      </c>
      <c r="R145" s="119">
        <f t="shared" si="77"/>
        <v>468.65753332651451</v>
      </c>
      <c r="T145" s="9">
        <f t="shared" si="76"/>
        <v>0</v>
      </c>
    </row>
    <row r="146" spans="1:20" x14ac:dyDescent="0.25">
      <c r="B146" s="30" t="s">
        <v>244</v>
      </c>
      <c r="F146" s="46">
        <f>SUM(F140:F145)</f>
        <v>86570816.032516733</v>
      </c>
      <c r="G146" s="46">
        <f t="shared" ref="G146:R146" si="78">SUM(G140:G145)</f>
        <v>47643352.396299064</v>
      </c>
      <c r="H146" s="46">
        <f t="shared" si="78"/>
        <v>11736459.354465848</v>
      </c>
      <c r="I146" s="46">
        <f t="shared" si="78"/>
        <v>11026939.980520677</v>
      </c>
      <c r="J146" s="46">
        <f t="shared" si="78"/>
        <v>6622500.2862421973</v>
      </c>
      <c r="K146" s="46">
        <f t="shared" si="78"/>
        <v>4426807.3040623944</v>
      </c>
      <c r="L146" s="46">
        <f t="shared" ref="L146:M146" si="79">SUM(L140:L145)</f>
        <v>2281.4285383943725</v>
      </c>
      <c r="M146" s="46">
        <f t="shared" si="79"/>
        <v>55510.09747349142</v>
      </c>
      <c r="N146" s="46">
        <f t="shared" si="78"/>
        <v>2106162.7005445878</v>
      </c>
      <c r="O146" s="46">
        <f t="shared" si="78"/>
        <v>1772056.9685179745</v>
      </c>
      <c r="P146" s="46">
        <f t="shared" si="78"/>
        <v>382032.36673381826</v>
      </c>
      <c r="Q146" s="46">
        <f t="shared" si="78"/>
        <v>781425.40234466654</v>
      </c>
      <c r="R146" s="46">
        <f t="shared" si="78"/>
        <v>15287.746773615954</v>
      </c>
      <c r="T146" s="9">
        <f t="shared" si="76"/>
        <v>0</v>
      </c>
    </row>
    <row r="147" spans="1:20" hidden="1" x14ac:dyDescent="0.25">
      <c r="F147" s="4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T147" s="9">
        <f t="shared" si="76"/>
        <v>0</v>
      </c>
    </row>
    <row r="148" spans="1:20" hidden="1" x14ac:dyDescent="0.25">
      <c r="A148" s="8" t="s">
        <v>245</v>
      </c>
      <c r="F148" s="4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T148" s="9">
        <f t="shared" si="76"/>
        <v>0</v>
      </c>
    </row>
    <row r="149" spans="1:20" hidden="1" x14ac:dyDescent="0.25">
      <c r="A149" s="8" t="s">
        <v>246</v>
      </c>
      <c r="B149" s="8" t="s">
        <v>247</v>
      </c>
      <c r="D149" s="113">
        <v>76</v>
      </c>
      <c r="F149" s="43">
        <v>48493274.447837904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T149" s="9">
        <f t="shared" si="76"/>
        <v>-48493274.447837904</v>
      </c>
    </row>
    <row r="150" spans="1:20" hidden="1" x14ac:dyDescent="0.25">
      <c r="A150" s="8" t="s">
        <v>248</v>
      </c>
      <c r="B150" s="10" t="s">
        <v>249</v>
      </c>
      <c r="C150" s="10"/>
      <c r="D150" s="118">
        <v>76</v>
      </c>
      <c r="E150" s="10"/>
      <c r="F150" s="44">
        <v>41744854.149501175</v>
      </c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T150" s="9">
        <f t="shared" si="76"/>
        <v>-41744854.149501175</v>
      </c>
    </row>
    <row r="151" spans="1:20" hidden="1" x14ac:dyDescent="0.25">
      <c r="B151" s="30" t="s">
        <v>250</v>
      </c>
      <c r="F151" s="46">
        <f>SUM(F149:F150)</f>
        <v>90238128.597339079</v>
      </c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T151" s="9">
        <f t="shared" si="76"/>
        <v>-90238128.597339079</v>
      </c>
    </row>
    <row r="152" spans="1:20" ht="16.5" thickBot="1" x14ac:dyDescent="0.3">
      <c r="B152" s="12"/>
      <c r="C152" s="12"/>
      <c r="D152" s="121"/>
      <c r="E152" s="12"/>
      <c r="F152" s="51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T152" s="9">
        <f t="shared" si="76"/>
        <v>0</v>
      </c>
    </row>
    <row r="153" spans="1:20" ht="16.5" thickTop="1" x14ac:dyDescent="0.25">
      <c r="B153" s="30" t="s">
        <v>251</v>
      </c>
      <c r="F153" s="46">
        <f>SUM(F111,F137,F146,F151)</f>
        <v>1761931966.9899802</v>
      </c>
      <c r="G153" s="46">
        <f t="shared" ref="G153:R153" si="80">SUM(G111,G137,G146,G151)</f>
        <v>909290903.45223975</v>
      </c>
      <c r="H153" s="46">
        <f t="shared" si="80"/>
        <v>220035960.03653806</v>
      </c>
      <c r="I153" s="46">
        <f t="shared" si="80"/>
        <v>208097077.59149653</v>
      </c>
      <c r="J153" s="46">
        <f t="shared" si="80"/>
        <v>131634760.63996984</v>
      </c>
      <c r="K153" s="46">
        <f t="shared" si="80"/>
        <v>87712216.078954101</v>
      </c>
      <c r="L153" s="46">
        <f t="shared" ref="L153:M153" si="81">SUM(L111,L137,L146,L151)</f>
        <v>403667.46996902046</v>
      </c>
      <c r="M153" s="46">
        <f t="shared" si="81"/>
        <v>9144931.1816832572</v>
      </c>
      <c r="N153" s="46">
        <f t="shared" si="80"/>
        <v>44788599.429943748</v>
      </c>
      <c r="O153" s="46">
        <f t="shared" si="80"/>
        <v>39260607.675005473</v>
      </c>
      <c r="P153" s="46">
        <f t="shared" si="80"/>
        <v>6540009.1081335051</v>
      </c>
      <c r="Q153" s="46">
        <f t="shared" si="80"/>
        <v>14260533.394496731</v>
      </c>
      <c r="R153" s="46">
        <f t="shared" si="80"/>
        <v>524571.99050654017</v>
      </c>
      <c r="T153" s="9">
        <f t="shared" si="76"/>
        <v>-90238128.941043615</v>
      </c>
    </row>
    <row r="154" spans="1:20" x14ac:dyDescent="0.25">
      <c r="T154" s="9">
        <f t="shared" si="76"/>
        <v>0</v>
      </c>
    </row>
    <row r="155" spans="1:20" x14ac:dyDescent="0.25">
      <c r="T155" s="9">
        <f t="shared" si="76"/>
        <v>0</v>
      </c>
    </row>
    <row r="156" spans="1:20" x14ac:dyDescent="0.25">
      <c r="T156" s="9">
        <f t="shared" si="76"/>
        <v>0</v>
      </c>
    </row>
    <row r="157" spans="1:20" x14ac:dyDescent="0.25">
      <c r="T157" s="9">
        <f t="shared" si="76"/>
        <v>0</v>
      </c>
    </row>
    <row r="158" spans="1:20" x14ac:dyDescent="0.25">
      <c r="T158" s="9">
        <f t="shared" si="76"/>
        <v>0</v>
      </c>
    </row>
  </sheetData>
  <mergeCells count="3">
    <mergeCell ref="A2:R2"/>
    <mergeCell ref="A3:R3"/>
    <mergeCell ref="A4:R4"/>
  </mergeCells>
  <pageMargins left="0.7" right="0.7" top="0.75" bottom="0.75" header="0.3" footer="0.3"/>
  <pageSetup scale="49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workbookViewId="0">
      <selection activeCell="A7" sqref="A7:XFD7"/>
    </sheetView>
  </sheetViews>
  <sheetFormatPr defaultRowHeight="15.75" x14ac:dyDescent="0.25"/>
  <cols>
    <col min="1" max="1" width="9.140625" style="8"/>
    <col min="2" max="2" width="36.5703125" style="8" customWidth="1"/>
    <col min="3" max="3" width="16" style="8" hidden="1" customWidth="1"/>
    <col min="4" max="4" width="16" style="113" customWidth="1"/>
    <col min="5" max="5" width="16" style="8" customWidth="1"/>
    <col min="6" max="6" width="17.5703125" style="39" customWidth="1"/>
    <col min="7" max="7" width="14.140625" style="8" bestFit="1" customWidth="1"/>
    <col min="8" max="11" width="12.7109375" style="8" bestFit="1" customWidth="1"/>
    <col min="12" max="12" width="8.42578125" style="8" bestFit="1" customWidth="1"/>
    <col min="13" max="13" width="10.85546875" style="8" bestFit="1" customWidth="1"/>
    <col min="14" max="14" width="11.28515625" style="8" bestFit="1" customWidth="1"/>
    <col min="15" max="15" width="10.85546875" style="8" customWidth="1"/>
    <col min="16" max="16" width="11" style="8" customWidth="1"/>
    <col min="17" max="17" width="11.28515625" style="8" bestFit="1" customWidth="1"/>
    <col min="18" max="18" width="9.42578125" style="8" bestFit="1" customWidth="1"/>
    <col min="19" max="30" width="9.28515625" style="8" bestFit="1" customWidth="1"/>
    <col min="31" max="16384" width="9.140625" style="8"/>
  </cols>
  <sheetData>
    <row r="1" spans="1:30" x14ac:dyDescent="0.25">
      <c r="F1" s="39">
        <v>4</v>
      </c>
      <c r="G1" s="122">
        <f>F1+1</f>
        <v>5</v>
      </c>
      <c r="H1" s="122">
        <f t="shared" ref="H1:K1" si="0">G1+1</f>
        <v>6</v>
      </c>
      <c r="I1" s="122">
        <f t="shared" si="0"/>
        <v>7</v>
      </c>
      <c r="J1" s="122">
        <f t="shared" si="0"/>
        <v>8</v>
      </c>
      <c r="K1" s="122">
        <f t="shared" si="0"/>
        <v>9</v>
      </c>
      <c r="L1" s="122">
        <f t="shared" ref="L1" si="1">K1+1</f>
        <v>10</v>
      </c>
      <c r="M1" s="122">
        <f t="shared" ref="M1" si="2">L1+1</f>
        <v>11</v>
      </c>
      <c r="N1" s="122">
        <f t="shared" ref="N1" si="3">M1+1</f>
        <v>12</v>
      </c>
      <c r="O1" s="122">
        <f t="shared" ref="O1" si="4">N1+1</f>
        <v>13</v>
      </c>
      <c r="P1" s="122">
        <f t="shared" ref="P1" si="5">O1+1</f>
        <v>14</v>
      </c>
      <c r="Q1" s="122">
        <f t="shared" ref="Q1" si="6">P1+1</f>
        <v>15</v>
      </c>
      <c r="R1" s="122">
        <f t="shared" ref="R1" si="7">Q1+1</f>
        <v>16</v>
      </c>
      <c r="S1" s="122">
        <f t="shared" ref="S1" si="8">R1+1</f>
        <v>17</v>
      </c>
      <c r="T1" s="122">
        <f t="shared" ref="T1" si="9">S1+1</f>
        <v>18</v>
      </c>
      <c r="U1" s="122">
        <f t="shared" ref="U1" si="10">T1+1</f>
        <v>19</v>
      </c>
      <c r="V1" s="122">
        <f t="shared" ref="V1" si="11">U1+1</f>
        <v>20</v>
      </c>
      <c r="W1" s="122">
        <f t="shared" ref="W1" si="12">V1+1</f>
        <v>21</v>
      </c>
      <c r="X1" s="122">
        <f t="shared" ref="X1" si="13">W1+1</f>
        <v>22</v>
      </c>
      <c r="Y1" s="122">
        <f t="shared" ref="Y1" si="14">X1+1</f>
        <v>23</v>
      </c>
      <c r="Z1" s="122">
        <f t="shared" ref="Z1" si="15">Y1+1</f>
        <v>24</v>
      </c>
      <c r="AA1" s="122">
        <f t="shared" ref="AA1" si="16">Z1+1</f>
        <v>25</v>
      </c>
      <c r="AB1" s="122">
        <f t="shared" ref="AB1" si="17">AA1+1</f>
        <v>26</v>
      </c>
      <c r="AC1" s="122">
        <f t="shared" ref="AC1" si="18">AB1+1</f>
        <v>27</v>
      </c>
      <c r="AD1" s="122">
        <f t="shared" ref="AD1" si="19">AC1+1</f>
        <v>28</v>
      </c>
    </row>
    <row r="2" spans="1:30" x14ac:dyDescent="0.25">
      <c r="A2" s="128" t="s">
        <v>562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0" x14ac:dyDescent="0.25">
      <c r="A3" s="128" t="s">
        <v>563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0" x14ac:dyDescent="0.25">
      <c r="A4" s="129" t="s">
        <v>567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30" hidden="1" x14ac:dyDescent="0.25"/>
    <row r="6" spans="1:30" hidden="1" x14ac:dyDescent="0.25"/>
    <row r="7" spans="1:30" s="36" customFormat="1" ht="78.75" x14ac:dyDescent="0.25">
      <c r="A7" s="31"/>
      <c r="B7" s="28" t="s">
        <v>0</v>
      </c>
      <c r="C7" s="28" t="s">
        <v>432</v>
      </c>
      <c r="D7" s="32" t="s">
        <v>561</v>
      </c>
      <c r="E7" s="33"/>
      <c r="F7" s="117" t="s">
        <v>1</v>
      </c>
      <c r="G7" s="116" t="s">
        <v>293</v>
      </c>
      <c r="H7" s="116" t="s">
        <v>294</v>
      </c>
      <c r="I7" s="116" t="s">
        <v>295</v>
      </c>
      <c r="J7" s="116" t="s">
        <v>296</v>
      </c>
      <c r="K7" s="116" t="s">
        <v>553</v>
      </c>
      <c r="L7" s="116">
        <v>35</v>
      </c>
      <c r="M7" s="116">
        <v>43</v>
      </c>
      <c r="N7" s="116" t="s">
        <v>297</v>
      </c>
      <c r="O7" s="116" t="s">
        <v>298</v>
      </c>
      <c r="P7" s="116" t="s">
        <v>301</v>
      </c>
      <c r="Q7" s="116" t="s">
        <v>299</v>
      </c>
      <c r="R7" s="116" t="s">
        <v>300</v>
      </c>
      <c r="U7" s="116" t="s">
        <v>483</v>
      </c>
    </row>
    <row r="8" spans="1:30" x14ac:dyDescent="0.25">
      <c r="B8" s="30"/>
      <c r="C8" s="30"/>
      <c r="D8" s="114"/>
      <c r="E8" s="30"/>
      <c r="F8" s="38"/>
    </row>
    <row r="9" spans="1:30" x14ac:dyDescent="0.25">
      <c r="A9" s="30" t="s">
        <v>188</v>
      </c>
      <c r="B9" s="30"/>
    </row>
    <row r="11" spans="1:30" x14ac:dyDescent="0.25">
      <c r="B11" s="30" t="s">
        <v>189</v>
      </c>
    </row>
    <row r="12" spans="1:30" x14ac:dyDescent="0.25">
      <c r="A12" s="8" t="s">
        <v>190</v>
      </c>
      <c r="B12" s="10" t="s">
        <v>191</v>
      </c>
      <c r="C12" s="10"/>
      <c r="D12" s="118">
        <v>73</v>
      </c>
      <c r="E12" s="10"/>
      <c r="F12" s="44">
        <v>25242452.978371721</v>
      </c>
      <c r="G12" s="45">
        <f>INDEX(Alloc,($D12),(G$1))*$F12</f>
        <v>12690592.749970425</v>
      </c>
      <c r="H12" s="45">
        <f t="shared" ref="H12:R12" si="20">INDEX(Alloc,($D12),(H$1))*$F12</f>
        <v>3410002.9728482356</v>
      </c>
      <c r="I12" s="45">
        <f t="shared" si="20"/>
        <v>3485553.6346125035</v>
      </c>
      <c r="J12" s="45">
        <f t="shared" si="20"/>
        <v>2335860.8712595836</v>
      </c>
      <c r="K12" s="45">
        <f t="shared" si="20"/>
        <v>1519999.5485456318</v>
      </c>
      <c r="L12" s="45">
        <f t="shared" si="20"/>
        <v>5856.24909098224</v>
      </c>
      <c r="M12" s="45">
        <f t="shared" si="20"/>
        <v>132548.12058942992</v>
      </c>
      <c r="N12" s="45">
        <f t="shared" si="20"/>
        <v>808616.73870915989</v>
      </c>
      <c r="O12" s="45">
        <f t="shared" si="20"/>
        <v>744425.18078516051</v>
      </c>
      <c r="P12" s="45">
        <f t="shared" si="20"/>
        <v>0</v>
      </c>
      <c r="Q12" s="45">
        <f t="shared" si="20"/>
        <v>100969.8119134869</v>
      </c>
      <c r="R12" s="45">
        <f t="shared" si="20"/>
        <v>8027.1000471222078</v>
      </c>
      <c r="T12" s="9">
        <f>SUM(G12:R12)-F12</f>
        <v>0</v>
      </c>
    </row>
    <row r="13" spans="1:30" x14ac:dyDescent="0.25">
      <c r="B13" s="30" t="s">
        <v>8</v>
      </c>
      <c r="F13" s="46">
        <f>SUM(F12)</f>
        <v>25242452.978371721</v>
      </c>
      <c r="G13" s="46">
        <f t="shared" ref="G13:R13" si="21">SUM(G12)</f>
        <v>12690592.749970425</v>
      </c>
      <c r="H13" s="46">
        <f t="shared" si="21"/>
        <v>3410002.9728482356</v>
      </c>
      <c r="I13" s="46">
        <f t="shared" si="21"/>
        <v>3485553.6346125035</v>
      </c>
      <c r="J13" s="46">
        <f t="shared" si="21"/>
        <v>2335860.8712595836</v>
      </c>
      <c r="K13" s="46">
        <f t="shared" si="21"/>
        <v>1519999.5485456318</v>
      </c>
      <c r="L13" s="46">
        <f t="shared" ref="L13:M13" si="22">SUM(L12)</f>
        <v>5856.24909098224</v>
      </c>
      <c r="M13" s="46">
        <f t="shared" si="22"/>
        <v>132548.12058942992</v>
      </c>
      <c r="N13" s="46">
        <f t="shared" si="21"/>
        <v>808616.73870915989</v>
      </c>
      <c r="O13" s="46">
        <f t="shared" si="21"/>
        <v>744425.18078516051</v>
      </c>
      <c r="P13" s="46">
        <f t="shared" si="21"/>
        <v>0</v>
      </c>
      <c r="Q13" s="46">
        <f t="shared" si="21"/>
        <v>100969.8119134869</v>
      </c>
      <c r="R13" s="46">
        <f t="shared" si="21"/>
        <v>8027.1000471222078</v>
      </c>
      <c r="T13" s="9">
        <f t="shared" ref="T13:T76" si="23">SUM(G13:R13)-F13</f>
        <v>0</v>
      </c>
    </row>
    <row r="14" spans="1:30" x14ac:dyDescent="0.25">
      <c r="F14" s="4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T14" s="9">
        <f t="shared" si="23"/>
        <v>0</v>
      </c>
    </row>
    <row r="15" spans="1:30" x14ac:dyDescent="0.25">
      <c r="B15" s="30" t="s">
        <v>192</v>
      </c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T15" s="9">
        <f t="shared" si="23"/>
        <v>0</v>
      </c>
    </row>
    <row r="16" spans="1:30" x14ac:dyDescent="0.25">
      <c r="A16" s="8" t="s">
        <v>193</v>
      </c>
      <c r="B16" s="10" t="s">
        <v>194</v>
      </c>
      <c r="C16" s="10"/>
      <c r="D16" s="118">
        <v>82</v>
      </c>
      <c r="E16" s="10"/>
      <c r="F16" s="44">
        <v>9172906.2088294737</v>
      </c>
      <c r="G16" s="45">
        <f t="shared" ref="G16:R16" si="24">INDEX(Alloc,($D16),(G$1))*$F16</f>
        <v>4297161.0645948295</v>
      </c>
      <c r="H16" s="45">
        <f t="shared" si="24"/>
        <v>1154660.9597971854</v>
      </c>
      <c r="I16" s="45">
        <f t="shared" si="24"/>
        <v>1180243.1661238789</v>
      </c>
      <c r="J16" s="45">
        <f t="shared" si="24"/>
        <v>790945.74903214257</v>
      </c>
      <c r="K16" s="45">
        <f t="shared" si="24"/>
        <v>514686.98167997133</v>
      </c>
      <c r="L16" s="45">
        <f t="shared" si="24"/>
        <v>1982.9842525201502</v>
      </c>
      <c r="M16" s="45">
        <f t="shared" si="24"/>
        <v>44882.113405100456</v>
      </c>
      <c r="N16" s="45">
        <f t="shared" si="24"/>
        <v>273805.67907426931</v>
      </c>
      <c r="O16" s="45">
        <f t="shared" si="24"/>
        <v>252069.77840979202</v>
      </c>
      <c r="P16" s="45">
        <f t="shared" si="24"/>
        <v>625560.29279434285</v>
      </c>
      <c r="Q16" s="45">
        <f t="shared" si="24"/>
        <v>34189.383664140521</v>
      </c>
      <c r="R16" s="45">
        <f t="shared" si="24"/>
        <v>2718.0560012991714</v>
      </c>
      <c r="T16" s="9">
        <f t="shared" si="23"/>
        <v>0</v>
      </c>
    </row>
    <row r="17" spans="1:20" x14ac:dyDescent="0.25">
      <c r="B17" s="30" t="s">
        <v>8</v>
      </c>
      <c r="F17" s="46">
        <f>SUM(F16)</f>
        <v>9172906.2088294737</v>
      </c>
      <c r="G17" s="46">
        <f t="shared" ref="G17:R17" si="25">SUM(G16)</f>
        <v>4297161.0645948295</v>
      </c>
      <c r="H17" s="46">
        <f t="shared" si="25"/>
        <v>1154660.9597971854</v>
      </c>
      <c r="I17" s="46">
        <f t="shared" si="25"/>
        <v>1180243.1661238789</v>
      </c>
      <c r="J17" s="46">
        <f t="shared" si="25"/>
        <v>790945.74903214257</v>
      </c>
      <c r="K17" s="46">
        <f t="shared" si="25"/>
        <v>514686.98167997133</v>
      </c>
      <c r="L17" s="46">
        <f t="shared" ref="L17:M17" si="26">SUM(L16)</f>
        <v>1982.9842525201502</v>
      </c>
      <c r="M17" s="46">
        <f t="shared" si="26"/>
        <v>44882.113405100456</v>
      </c>
      <c r="N17" s="46">
        <f t="shared" si="25"/>
        <v>273805.67907426931</v>
      </c>
      <c r="O17" s="46">
        <f t="shared" si="25"/>
        <v>252069.77840979202</v>
      </c>
      <c r="P17" s="46">
        <f t="shared" si="25"/>
        <v>625560.29279434285</v>
      </c>
      <c r="Q17" s="46">
        <f t="shared" si="25"/>
        <v>34189.383664140521</v>
      </c>
      <c r="R17" s="46">
        <f t="shared" si="25"/>
        <v>2718.0560012991714</v>
      </c>
      <c r="T17" s="9">
        <f t="shared" si="23"/>
        <v>0</v>
      </c>
    </row>
    <row r="18" spans="1:20" x14ac:dyDescent="0.25">
      <c r="F18" s="4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T18" s="9">
        <f t="shared" si="23"/>
        <v>0</v>
      </c>
    </row>
    <row r="19" spans="1:20" x14ac:dyDescent="0.25">
      <c r="B19" s="30" t="s">
        <v>195</v>
      </c>
      <c r="F19" s="4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T19" s="9">
        <f t="shared" si="23"/>
        <v>0</v>
      </c>
    </row>
    <row r="20" spans="1:20" x14ac:dyDescent="0.25">
      <c r="A20" s="8" t="s">
        <v>196</v>
      </c>
      <c r="B20" s="10" t="s">
        <v>197</v>
      </c>
      <c r="C20" s="10"/>
      <c r="D20" s="118">
        <v>68</v>
      </c>
      <c r="E20" s="10"/>
      <c r="F20" s="44">
        <v>24400551.446550019</v>
      </c>
      <c r="G20" s="45">
        <f t="shared" ref="G20:R20" si="27">INDEX(Alloc,($D20),(G$1))*$F20</f>
        <v>15893960.725863589</v>
      </c>
      <c r="H20" s="45">
        <f t="shared" si="27"/>
        <v>2963071.9276610627</v>
      </c>
      <c r="I20" s="45">
        <f t="shared" si="27"/>
        <v>2373545.2411976922</v>
      </c>
      <c r="J20" s="45">
        <f t="shared" si="27"/>
        <v>1038833.3266165571</v>
      </c>
      <c r="K20" s="45">
        <f t="shared" si="27"/>
        <v>805167.71312551328</v>
      </c>
      <c r="L20" s="45">
        <f t="shared" si="27"/>
        <v>8579.9138677223455</v>
      </c>
      <c r="M20" s="45">
        <f t="shared" si="27"/>
        <v>213899.05038261862</v>
      </c>
      <c r="N20" s="45">
        <f t="shared" si="27"/>
        <v>359532.70753859729</v>
      </c>
      <c r="O20" s="45">
        <f t="shared" si="27"/>
        <v>153552.58245129808</v>
      </c>
      <c r="P20" s="45">
        <f t="shared" si="27"/>
        <v>50901.733373864714</v>
      </c>
      <c r="Q20" s="45">
        <f t="shared" si="27"/>
        <v>530858.42278197466</v>
      </c>
      <c r="R20" s="45">
        <f t="shared" si="27"/>
        <v>8648.1016895316498</v>
      </c>
      <c r="T20" s="9">
        <f t="shared" si="23"/>
        <v>0</v>
      </c>
    </row>
    <row r="21" spans="1:20" x14ac:dyDescent="0.25">
      <c r="B21" s="30" t="s">
        <v>8</v>
      </c>
      <c r="F21" s="46">
        <f>SUM(F20)</f>
        <v>24400551.446550019</v>
      </c>
      <c r="G21" s="46">
        <f t="shared" ref="G21:R21" si="28">SUM(G20)</f>
        <v>15893960.725863589</v>
      </c>
      <c r="H21" s="46">
        <f t="shared" si="28"/>
        <v>2963071.9276610627</v>
      </c>
      <c r="I21" s="46">
        <f t="shared" si="28"/>
        <v>2373545.2411976922</v>
      </c>
      <c r="J21" s="46">
        <f t="shared" si="28"/>
        <v>1038833.3266165571</v>
      </c>
      <c r="K21" s="46">
        <f t="shared" si="28"/>
        <v>805167.71312551328</v>
      </c>
      <c r="L21" s="46">
        <f t="shared" ref="L21:M21" si="29">SUM(L20)</f>
        <v>8579.9138677223455</v>
      </c>
      <c r="M21" s="46">
        <f t="shared" si="29"/>
        <v>213899.05038261862</v>
      </c>
      <c r="N21" s="46">
        <f t="shared" si="28"/>
        <v>359532.70753859729</v>
      </c>
      <c r="O21" s="46">
        <f t="shared" si="28"/>
        <v>153552.58245129808</v>
      </c>
      <c r="P21" s="46">
        <f t="shared" si="28"/>
        <v>50901.733373864714</v>
      </c>
      <c r="Q21" s="46">
        <f t="shared" si="28"/>
        <v>530858.42278197466</v>
      </c>
      <c r="R21" s="46">
        <f t="shared" si="28"/>
        <v>8648.1016895316498</v>
      </c>
      <c r="T21" s="9">
        <f t="shared" si="23"/>
        <v>0</v>
      </c>
    </row>
    <row r="22" spans="1:20" x14ac:dyDescent="0.25">
      <c r="F22" s="4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T22" s="9">
        <f t="shared" si="23"/>
        <v>0</v>
      </c>
    </row>
    <row r="23" spans="1:20" x14ac:dyDescent="0.25">
      <c r="B23" s="30" t="s">
        <v>198</v>
      </c>
      <c r="F23" s="4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T23" s="9">
        <f t="shared" si="23"/>
        <v>0</v>
      </c>
    </row>
    <row r="24" spans="1:20" x14ac:dyDescent="0.25">
      <c r="A24" s="8" t="s">
        <v>199</v>
      </c>
      <c r="B24" s="10" t="s">
        <v>200</v>
      </c>
      <c r="C24" s="10"/>
      <c r="D24" s="118">
        <v>63</v>
      </c>
      <c r="E24" s="10"/>
      <c r="F24" s="44">
        <v>11152893.808019754</v>
      </c>
      <c r="G24" s="45">
        <f t="shared" ref="G24:R24" si="30">INDEX(Alloc,($D24),(G$1))*$F24</f>
        <v>9729016.3688967321</v>
      </c>
      <c r="H24" s="45">
        <f t="shared" si="30"/>
        <v>1218336.4697528987</v>
      </c>
      <c r="I24" s="45">
        <f t="shared" si="30"/>
        <v>84448.557640484025</v>
      </c>
      <c r="J24" s="45">
        <f t="shared" si="30"/>
        <v>24106.806552242975</v>
      </c>
      <c r="K24" s="45">
        <f t="shared" si="30"/>
        <v>9737.6813026896543</v>
      </c>
      <c r="L24" s="45">
        <f t="shared" si="30"/>
        <v>8.9468923930759043</v>
      </c>
      <c r="M24" s="45">
        <f t="shared" si="30"/>
        <v>1906.5105491233162</v>
      </c>
      <c r="N24" s="45">
        <f t="shared" si="30"/>
        <v>13434.237478132838</v>
      </c>
      <c r="O24" s="45">
        <f t="shared" si="30"/>
        <v>7690.8789814487782</v>
      </c>
      <c r="P24" s="45">
        <f t="shared" si="30"/>
        <v>47523.024636234564</v>
      </c>
      <c r="Q24" s="45">
        <f t="shared" si="30"/>
        <v>16623.475841986932</v>
      </c>
      <c r="R24" s="45">
        <f t="shared" si="30"/>
        <v>60.849495384109368</v>
      </c>
      <c r="T24" s="9">
        <f t="shared" si="23"/>
        <v>0</v>
      </c>
    </row>
    <row r="25" spans="1:20" x14ac:dyDescent="0.25">
      <c r="B25" s="30" t="s">
        <v>8</v>
      </c>
      <c r="F25" s="46">
        <f>SUM(F24)</f>
        <v>11152893.808019754</v>
      </c>
      <c r="G25" s="46">
        <f t="shared" ref="G25:R25" si="31">SUM(G24)</f>
        <v>9729016.3688967321</v>
      </c>
      <c r="H25" s="46">
        <f t="shared" si="31"/>
        <v>1218336.4697528987</v>
      </c>
      <c r="I25" s="46">
        <f t="shared" si="31"/>
        <v>84448.557640484025</v>
      </c>
      <c r="J25" s="46">
        <f t="shared" si="31"/>
        <v>24106.806552242975</v>
      </c>
      <c r="K25" s="46">
        <f t="shared" si="31"/>
        <v>9737.6813026896543</v>
      </c>
      <c r="L25" s="46">
        <f t="shared" ref="L25:M25" si="32">SUM(L24)</f>
        <v>8.9468923930759043</v>
      </c>
      <c r="M25" s="46">
        <f t="shared" si="32"/>
        <v>1906.5105491233162</v>
      </c>
      <c r="N25" s="46">
        <f t="shared" si="31"/>
        <v>13434.237478132838</v>
      </c>
      <c r="O25" s="46">
        <f t="shared" si="31"/>
        <v>7690.8789814487782</v>
      </c>
      <c r="P25" s="46">
        <f t="shared" si="31"/>
        <v>47523.024636234564</v>
      </c>
      <c r="Q25" s="46">
        <f t="shared" si="31"/>
        <v>16623.475841986932</v>
      </c>
      <c r="R25" s="46">
        <f t="shared" si="31"/>
        <v>60.849495384109368</v>
      </c>
      <c r="T25" s="9">
        <f t="shared" si="23"/>
        <v>0</v>
      </c>
    </row>
    <row r="26" spans="1:20" x14ac:dyDescent="0.25">
      <c r="F26" s="43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T26" s="9">
        <f t="shared" si="23"/>
        <v>0</v>
      </c>
    </row>
    <row r="27" spans="1:20" x14ac:dyDescent="0.25">
      <c r="B27" s="30" t="s">
        <v>201</v>
      </c>
      <c r="F27" s="43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T27" s="9">
        <f t="shared" si="23"/>
        <v>0</v>
      </c>
    </row>
    <row r="28" spans="1:20" x14ac:dyDescent="0.25">
      <c r="A28" s="8" t="s">
        <v>202</v>
      </c>
      <c r="B28" s="10" t="s">
        <v>203</v>
      </c>
      <c r="C28" s="10"/>
      <c r="D28" s="118">
        <v>1</v>
      </c>
      <c r="E28" s="10"/>
      <c r="F28" s="44">
        <v>1422849.8356199341</v>
      </c>
      <c r="G28" s="45">
        <f t="shared" ref="G28:R28" si="33">INDEX(Alloc,($D28),(G$1))*$F28</f>
        <v>1251373.8698154727</v>
      </c>
      <c r="H28" s="45">
        <f t="shared" si="33"/>
        <v>150469.58576968664</v>
      </c>
      <c r="I28" s="45">
        <f t="shared" si="33"/>
        <v>9718.4175886797057</v>
      </c>
      <c r="J28" s="45">
        <f t="shared" si="33"/>
        <v>992.76902363350985</v>
      </c>
      <c r="K28" s="45">
        <f t="shared" si="33"/>
        <v>606.12504656287547</v>
      </c>
      <c r="L28" s="45">
        <f t="shared" si="33"/>
        <v>1.2760527296060538</v>
      </c>
      <c r="M28" s="45">
        <f t="shared" si="33"/>
        <v>201.6163312777565</v>
      </c>
      <c r="N28" s="45">
        <f t="shared" si="33"/>
        <v>201.6163312777565</v>
      </c>
      <c r="O28" s="45">
        <f t="shared" si="33"/>
        <v>31.901318240151344</v>
      </c>
      <c r="P28" s="45">
        <f t="shared" si="33"/>
        <v>20.41684367369686</v>
      </c>
      <c r="Q28" s="45">
        <f t="shared" si="33"/>
        <v>9222.0330768629501</v>
      </c>
      <c r="R28" s="45">
        <f t="shared" si="33"/>
        <v>10.20842183684843</v>
      </c>
      <c r="T28" s="9">
        <f t="shared" si="23"/>
        <v>0</v>
      </c>
    </row>
    <row r="29" spans="1:20" x14ac:dyDescent="0.25">
      <c r="B29" s="30" t="s">
        <v>8</v>
      </c>
      <c r="F29" s="46">
        <f>SUM(F28)</f>
        <v>1422849.8356199341</v>
      </c>
      <c r="G29" s="46">
        <f t="shared" ref="G29:R29" si="34">SUM(G28)</f>
        <v>1251373.8698154727</v>
      </c>
      <c r="H29" s="46">
        <f t="shared" si="34"/>
        <v>150469.58576968664</v>
      </c>
      <c r="I29" s="46">
        <f t="shared" si="34"/>
        <v>9718.4175886797057</v>
      </c>
      <c r="J29" s="46">
        <f t="shared" si="34"/>
        <v>992.76902363350985</v>
      </c>
      <c r="K29" s="46">
        <f t="shared" si="34"/>
        <v>606.12504656287547</v>
      </c>
      <c r="L29" s="46">
        <f t="shared" ref="L29:M29" si="35">SUM(L28)</f>
        <v>1.2760527296060538</v>
      </c>
      <c r="M29" s="46">
        <f t="shared" si="35"/>
        <v>201.6163312777565</v>
      </c>
      <c r="N29" s="46">
        <f t="shared" si="34"/>
        <v>201.6163312777565</v>
      </c>
      <c r="O29" s="46">
        <f t="shared" si="34"/>
        <v>31.901318240151344</v>
      </c>
      <c r="P29" s="46">
        <f t="shared" si="34"/>
        <v>20.41684367369686</v>
      </c>
      <c r="Q29" s="46">
        <f t="shared" si="34"/>
        <v>9222.0330768629501</v>
      </c>
      <c r="R29" s="46">
        <f t="shared" si="34"/>
        <v>10.20842183684843</v>
      </c>
      <c r="T29" s="9">
        <f t="shared" si="23"/>
        <v>0</v>
      </c>
    </row>
    <row r="30" spans="1:20" x14ac:dyDescent="0.25">
      <c r="B30" s="10"/>
      <c r="C30" s="10"/>
      <c r="D30" s="118"/>
      <c r="E30" s="10"/>
      <c r="F30" s="4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T30" s="9">
        <f t="shared" si="23"/>
        <v>0</v>
      </c>
    </row>
    <row r="31" spans="1:20" x14ac:dyDescent="0.25">
      <c r="B31" s="30" t="s">
        <v>204</v>
      </c>
      <c r="F31" s="46">
        <f>SUM(F13,F17,F21,F25,F29)</f>
        <v>71391654.277390912</v>
      </c>
      <c r="G31" s="46">
        <f t="shared" ref="G31:R31" si="36">SUM(G13,G17,G21,G25,G29)</f>
        <v>43862104.779141054</v>
      </c>
      <c r="H31" s="46">
        <f t="shared" si="36"/>
        <v>8896541.9158290699</v>
      </c>
      <c r="I31" s="46">
        <f t="shared" si="36"/>
        <v>7133509.0171632385</v>
      </c>
      <c r="J31" s="46">
        <f t="shared" si="36"/>
        <v>4190739.5224841596</v>
      </c>
      <c r="K31" s="46">
        <f t="shared" si="36"/>
        <v>2850198.0497003687</v>
      </c>
      <c r="L31" s="46">
        <f t="shared" ref="L31:M31" si="37">SUM(L13,L17,L21,L25,L29)</f>
        <v>16429.370156347417</v>
      </c>
      <c r="M31" s="46">
        <f t="shared" si="37"/>
        <v>393437.41125755006</v>
      </c>
      <c r="N31" s="46">
        <f t="shared" si="36"/>
        <v>1455590.9791314369</v>
      </c>
      <c r="O31" s="46">
        <f t="shared" si="36"/>
        <v>1157770.3219459394</v>
      </c>
      <c r="P31" s="46">
        <f t="shared" si="36"/>
        <v>724005.46764811571</v>
      </c>
      <c r="Q31" s="46">
        <f t="shared" si="36"/>
        <v>691863.12727845192</v>
      </c>
      <c r="R31" s="46">
        <f t="shared" si="36"/>
        <v>19464.315655173985</v>
      </c>
      <c r="T31" s="9">
        <f t="shared" si="23"/>
        <v>0</v>
      </c>
    </row>
    <row r="32" spans="1:20" x14ac:dyDescent="0.25">
      <c r="F32" s="4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T32" s="9">
        <f t="shared" si="23"/>
        <v>0</v>
      </c>
    </row>
    <row r="33" spans="1:20" x14ac:dyDescent="0.25">
      <c r="F33" s="4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T33" s="9">
        <f t="shared" si="23"/>
        <v>0</v>
      </c>
    </row>
    <row r="34" spans="1:20" x14ac:dyDescent="0.25">
      <c r="B34" s="30" t="s">
        <v>205</v>
      </c>
      <c r="F34" s="4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T34" s="9">
        <f t="shared" si="23"/>
        <v>0</v>
      </c>
    </row>
    <row r="35" spans="1:20" x14ac:dyDescent="0.25">
      <c r="A35" s="8" t="s">
        <v>206</v>
      </c>
      <c r="B35" s="8" t="s">
        <v>207</v>
      </c>
      <c r="D35" s="113">
        <v>75</v>
      </c>
      <c r="F35" s="43">
        <v>27978916.317603432</v>
      </c>
      <c r="G35" s="15">
        <f t="shared" ref="G35:R35" si="38">INDEX(Alloc,($D35),(G$1))*$F35</f>
        <v>15581003.555322926</v>
      </c>
      <c r="H35" s="15">
        <f t="shared" si="38"/>
        <v>3585938.6125547457</v>
      </c>
      <c r="I35" s="15">
        <f t="shared" si="38"/>
        <v>3364411.7500869031</v>
      </c>
      <c r="J35" s="15">
        <f t="shared" si="38"/>
        <v>2001185.8403862221</v>
      </c>
      <c r="K35" s="15">
        <f t="shared" si="38"/>
        <v>1361559.0126056664</v>
      </c>
      <c r="L35" s="15">
        <f t="shared" si="38"/>
        <v>7762.1950102179835</v>
      </c>
      <c r="M35" s="15">
        <f t="shared" si="38"/>
        <v>184738.47797222112</v>
      </c>
      <c r="N35" s="15">
        <f t="shared" si="38"/>
        <v>692721.33452676621</v>
      </c>
      <c r="O35" s="15">
        <f t="shared" si="38"/>
        <v>556217.92924033513</v>
      </c>
      <c r="P35" s="15">
        <f t="shared" si="38"/>
        <v>324426.35714246694</v>
      </c>
      <c r="Q35" s="15">
        <f t="shared" si="38"/>
        <v>309741.42453439959</v>
      </c>
      <c r="R35" s="15">
        <f t="shared" si="38"/>
        <v>9209.828220557125</v>
      </c>
      <c r="T35" s="9">
        <f t="shared" si="23"/>
        <v>0</v>
      </c>
    </row>
    <row r="36" spans="1:20" x14ac:dyDescent="0.25">
      <c r="A36" s="8" t="s">
        <v>208</v>
      </c>
      <c r="B36" s="10" t="s">
        <v>209</v>
      </c>
      <c r="C36" s="10"/>
      <c r="D36" s="118" t="s">
        <v>482</v>
      </c>
      <c r="E36" s="10"/>
      <c r="F36" s="44">
        <v>213614.34113897898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213614</v>
      </c>
      <c r="R36" s="45">
        <v>0</v>
      </c>
      <c r="T36" s="9">
        <f t="shared" si="23"/>
        <v>-0.34113897898350842</v>
      </c>
    </row>
    <row r="37" spans="1:20" x14ac:dyDescent="0.25">
      <c r="B37" s="30" t="s">
        <v>8</v>
      </c>
      <c r="F37" s="46">
        <f>SUM(F35:F36)</f>
        <v>28192530.658742409</v>
      </c>
      <c r="G37" s="46">
        <f t="shared" ref="G37:R37" si="39">SUM(G35:G36)</f>
        <v>15581003.555322926</v>
      </c>
      <c r="H37" s="46">
        <f t="shared" si="39"/>
        <v>3585938.6125547457</v>
      </c>
      <c r="I37" s="46">
        <f t="shared" si="39"/>
        <v>3364411.7500869031</v>
      </c>
      <c r="J37" s="46">
        <f t="shared" si="39"/>
        <v>2001185.8403862221</v>
      </c>
      <c r="K37" s="46">
        <f t="shared" si="39"/>
        <v>1361559.0126056664</v>
      </c>
      <c r="L37" s="46">
        <f t="shared" ref="L37:M37" si="40">SUM(L35:L36)</f>
        <v>7762.1950102179835</v>
      </c>
      <c r="M37" s="46">
        <f t="shared" si="40"/>
        <v>184738.47797222112</v>
      </c>
      <c r="N37" s="46">
        <f t="shared" si="39"/>
        <v>692721.33452676621</v>
      </c>
      <c r="O37" s="46">
        <f t="shared" si="39"/>
        <v>556217.92924033513</v>
      </c>
      <c r="P37" s="46">
        <f t="shared" si="39"/>
        <v>324426.35714246694</v>
      </c>
      <c r="Q37" s="46">
        <f t="shared" si="39"/>
        <v>523355.42453439959</v>
      </c>
      <c r="R37" s="46">
        <f t="shared" si="39"/>
        <v>9209.828220557125</v>
      </c>
      <c r="T37" s="9">
        <f t="shared" si="23"/>
        <v>-0.34113897755742073</v>
      </c>
    </row>
    <row r="38" spans="1:20" x14ac:dyDescent="0.25">
      <c r="B38" s="10"/>
      <c r="C38" s="10"/>
      <c r="D38" s="118"/>
      <c r="E38" s="10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T38" s="9">
        <f t="shared" si="23"/>
        <v>0</v>
      </c>
    </row>
    <row r="39" spans="1:20" x14ac:dyDescent="0.25">
      <c r="B39" s="30" t="s">
        <v>210</v>
      </c>
      <c r="F39" s="46">
        <f>SUM(F37)</f>
        <v>28192530.658742409</v>
      </c>
      <c r="G39" s="46">
        <f t="shared" ref="G39:R39" si="41">SUM(G37)</f>
        <v>15581003.555322926</v>
      </c>
      <c r="H39" s="46">
        <f t="shared" si="41"/>
        <v>3585938.6125547457</v>
      </c>
      <c r="I39" s="46">
        <f t="shared" si="41"/>
        <v>3364411.7500869031</v>
      </c>
      <c r="J39" s="46">
        <f t="shared" si="41"/>
        <v>2001185.8403862221</v>
      </c>
      <c r="K39" s="46">
        <f t="shared" si="41"/>
        <v>1361559.0126056664</v>
      </c>
      <c r="L39" s="46">
        <f t="shared" ref="L39:M39" si="42">SUM(L37)</f>
        <v>7762.1950102179835</v>
      </c>
      <c r="M39" s="46">
        <f t="shared" si="42"/>
        <v>184738.47797222112</v>
      </c>
      <c r="N39" s="46">
        <f t="shared" si="41"/>
        <v>692721.33452676621</v>
      </c>
      <c r="O39" s="46">
        <f t="shared" si="41"/>
        <v>556217.92924033513</v>
      </c>
      <c r="P39" s="46">
        <f t="shared" si="41"/>
        <v>324426.35714246694</v>
      </c>
      <c r="Q39" s="46">
        <f t="shared" si="41"/>
        <v>523355.42453439959</v>
      </c>
      <c r="R39" s="46">
        <f t="shared" si="41"/>
        <v>9209.828220557125</v>
      </c>
      <c r="T39" s="9">
        <f t="shared" si="23"/>
        <v>-0.34113897755742073</v>
      </c>
    </row>
    <row r="40" spans="1:20" x14ac:dyDescent="0.25"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T40" s="9">
        <f t="shared" si="23"/>
        <v>0</v>
      </c>
    </row>
    <row r="41" spans="1:20" ht="16.5" thickBot="1" x14ac:dyDescent="0.3">
      <c r="B41" s="12"/>
      <c r="C41" s="12"/>
      <c r="D41" s="121"/>
      <c r="E41" s="1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T41" s="9">
        <f t="shared" si="23"/>
        <v>0</v>
      </c>
    </row>
    <row r="42" spans="1:20" ht="16.5" thickTop="1" x14ac:dyDescent="0.25">
      <c r="B42" s="30" t="s">
        <v>211</v>
      </c>
      <c r="F42" s="46">
        <f>SUM(F31,F39)</f>
        <v>99584184.936133325</v>
      </c>
      <c r="G42" s="46">
        <f t="shared" ref="G42:R42" si="43">SUM(G31,G39)</f>
        <v>59443108.334463984</v>
      </c>
      <c r="H42" s="46">
        <f t="shared" si="43"/>
        <v>12482480.528383816</v>
      </c>
      <c r="I42" s="46">
        <f t="shared" si="43"/>
        <v>10497920.767250141</v>
      </c>
      <c r="J42" s="46">
        <f t="shared" si="43"/>
        <v>6191925.3628703821</v>
      </c>
      <c r="K42" s="46">
        <f t="shared" si="43"/>
        <v>4211757.0623060353</v>
      </c>
      <c r="L42" s="46">
        <f t="shared" ref="L42:M42" si="44">SUM(L31,L39)</f>
        <v>24191.5651665654</v>
      </c>
      <c r="M42" s="46">
        <f t="shared" si="44"/>
        <v>578175.88922977122</v>
      </c>
      <c r="N42" s="46">
        <f t="shared" si="43"/>
        <v>2148312.313658203</v>
      </c>
      <c r="O42" s="46">
        <f t="shared" si="43"/>
        <v>1713988.2511862745</v>
      </c>
      <c r="P42" s="46">
        <f t="shared" si="43"/>
        <v>1048431.8247905826</v>
      </c>
      <c r="Q42" s="46">
        <f t="shared" si="43"/>
        <v>1215218.5518128516</v>
      </c>
      <c r="R42" s="46">
        <f t="shared" si="43"/>
        <v>28674.143875731112</v>
      </c>
      <c r="T42" s="9">
        <f t="shared" si="23"/>
        <v>-0.34113897383213043</v>
      </c>
    </row>
    <row r="43" spans="1:20" x14ac:dyDescent="0.25">
      <c r="T43" s="9">
        <f t="shared" si="23"/>
        <v>0</v>
      </c>
    </row>
    <row r="44" spans="1:20" x14ac:dyDescent="0.25">
      <c r="T44" s="9">
        <f t="shared" si="23"/>
        <v>0</v>
      </c>
    </row>
    <row r="45" spans="1:20" x14ac:dyDescent="0.25">
      <c r="T45" s="9">
        <f t="shared" si="23"/>
        <v>0</v>
      </c>
    </row>
    <row r="46" spans="1:20" x14ac:dyDescent="0.25">
      <c r="T46" s="9">
        <f t="shared" si="23"/>
        <v>0</v>
      </c>
    </row>
    <row r="47" spans="1:20" x14ac:dyDescent="0.25">
      <c r="T47" s="9">
        <f t="shared" si="23"/>
        <v>0</v>
      </c>
    </row>
    <row r="48" spans="1:20" x14ac:dyDescent="0.25">
      <c r="T48" s="9">
        <f t="shared" si="23"/>
        <v>0</v>
      </c>
    </row>
    <row r="49" spans="20:20" x14ac:dyDescent="0.25">
      <c r="T49" s="9">
        <f t="shared" si="23"/>
        <v>0</v>
      </c>
    </row>
    <row r="50" spans="20:20" x14ac:dyDescent="0.25">
      <c r="T50" s="9">
        <f t="shared" si="23"/>
        <v>0</v>
      </c>
    </row>
    <row r="51" spans="20:20" x14ac:dyDescent="0.25">
      <c r="T51" s="9">
        <f t="shared" si="23"/>
        <v>0</v>
      </c>
    </row>
    <row r="52" spans="20:20" x14ac:dyDescent="0.25">
      <c r="T52" s="9">
        <f t="shared" si="23"/>
        <v>0</v>
      </c>
    </row>
    <row r="53" spans="20:20" x14ac:dyDescent="0.25">
      <c r="T53" s="9">
        <f t="shared" si="23"/>
        <v>0</v>
      </c>
    </row>
    <row r="54" spans="20:20" x14ac:dyDescent="0.25">
      <c r="T54" s="9">
        <f t="shared" si="23"/>
        <v>0</v>
      </c>
    </row>
    <row r="55" spans="20:20" x14ac:dyDescent="0.25">
      <c r="T55" s="9">
        <f t="shared" si="23"/>
        <v>0</v>
      </c>
    </row>
    <row r="56" spans="20:20" x14ac:dyDescent="0.25">
      <c r="T56" s="9">
        <f t="shared" si="23"/>
        <v>0</v>
      </c>
    </row>
    <row r="57" spans="20:20" x14ac:dyDescent="0.25">
      <c r="T57" s="9">
        <f t="shared" si="23"/>
        <v>0</v>
      </c>
    </row>
    <row r="58" spans="20:20" x14ac:dyDescent="0.25">
      <c r="T58" s="9">
        <f t="shared" si="23"/>
        <v>0</v>
      </c>
    </row>
    <row r="59" spans="20:20" x14ac:dyDescent="0.25">
      <c r="T59" s="9">
        <f t="shared" si="23"/>
        <v>0</v>
      </c>
    </row>
    <row r="60" spans="20:20" x14ac:dyDescent="0.25">
      <c r="T60" s="9">
        <f t="shared" si="23"/>
        <v>0</v>
      </c>
    </row>
    <row r="61" spans="20:20" x14ac:dyDescent="0.25">
      <c r="T61" s="9">
        <f t="shared" si="23"/>
        <v>0</v>
      </c>
    </row>
    <row r="62" spans="20:20" x14ac:dyDescent="0.25">
      <c r="T62" s="9">
        <f t="shared" si="23"/>
        <v>0</v>
      </c>
    </row>
    <row r="63" spans="20:20" x14ac:dyDescent="0.25">
      <c r="T63" s="9">
        <f t="shared" si="23"/>
        <v>0</v>
      </c>
    </row>
    <row r="64" spans="20:20" x14ac:dyDescent="0.25">
      <c r="T64" s="9">
        <f t="shared" si="23"/>
        <v>0</v>
      </c>
    </row>
    <row r="65" spans="20:20" x14ac:dyDescent="0.25">
      <c r="T65" s="9">
        <f t="shared" si="23"/>
        <v>0</v>
      </c>
    </row>
    <row r="66" spans="20:20" x14ac:dyDescent="0.25">
      <c r="T66" s="9">
        <f t="shared" si="23"/>
        <v>0</v>
      </c>
    </row>
    <row r="67" spans="20:20" x14ac:dyDescent="0.25">
      <c r="T67" s="9">
        <f t="shared" si="23"/>
        <v>0</v>
      </c>
    </row>
    <row r="68" spans="20:20" x14ac:dyDescent="0.25">
      <c r="T68" s="9">
        <f t="shared" si="23"/>
        <v>0</v>
      </c>
    </row>
    <row r="69" spans="20:20" x14ac:dyDescent="0.25">
      <c r="T69" s="9">
        <f t="shared" si="23"/>
        <v>0</v>
      </c>
    </row>
    <row r="70" spans="20:20" x14ac:dyDescent="0.25">
      <c r="T70" s="9">
        <f t="shared" si="23"/>
        <v>0</v>
      </c>
    </row>
    <row r="71" spans="20:20" x14ac:dyDescent="0.25">
      <c r="T71" s="9">
        <f t="shared" si="23"/>
        <v>0</v>
      </c>
    </row>
    <row r="72" spans="20:20" x14ac:dyDescent="0.25">
      <c r="T72" s="9">
        <f t="shared" si="23"/>
        <v>0</v>
      </c>
    </row>
    <row r="73" spans="20:20" x14ac:dyDescent="0.25">
      <c r="T73" s="9">
        <f t="shared" si="23"/>
        <v>0</v>
      </c>
    </row>
    <row r="74" spans="20:20" x14ac:dyDescent="0.25">
      <c r="T74" s="9">
        <f t="shared" si="23"/>
        <v>0</v>
      </c>
    </row>
    <row r="75" spans="20:20" x14ac:dyDescent="0.25">
      <c r="T75" s="9">
        <f t="shared" si="23"/>
        <v>0</v>
      </c>
    </row>
    <row r="76" spans="20:20" x14ac:dyDescent="0.25">
      <c r="T76" s="9">
        <f t="shared" si="23"/>
        <v>0</v>
      </c>
    </row>
    <row r="77" spans="20:20" x14ac:dyDescent="0.25">
      <c r="T77" s="9">
        <f t="shared" ref="T77:T98" si="45">SUM(G77:R77)-F77</f>
        <v>0</v>
      </c>
    </row>
    <row r="78" spans="20:20" x14ac:dyDescent="0.25">
      <c r="T78" s="9">
        <f t="shared" si="45"/>
        <v>0</v>
      </c>
    </row>
    <row r="79" spans="20:20" x14ac:dyDescent="0.25">
      <c r="T79" s="9">
        <f t="shared" si="45"/>
        <v>0</v>
      </c>
    </row>
    <row r="80" spans="20:20" x14ac:dyDescent="0.25">
      <c r="T80" s="9">
        <f t="shared" si="45"/>
        <v>0</v>
      </c>
    </row>
    <row r="81" spans="20:20" x14ac:dyDescent="0.25">
      <c r="T81" s="9">
        <f t="shared" si="45"/>
        <v>0</v>
      </c>
    </row>
    <row r="82" spans="20:20" x14ac:dyDescent="0.25">
      <c r="T82" s="9">
        <f t="shared" si="45"/>
        <v>0</v>
      </c>
    </row>
    <row r="83" spans="20:20" x14ac:dyDescent="0.25">
      <c r="T83" s="9">
        <f t="shared" si="45"/>
        <v>0</v>
      </c>
    </row>
    <row r="84" spans="20:20" x14ac:dyDescent="0.25">
      <c r="T84" s="9">
        <f t="shared" si="45"/>
        <v>0</v>
      </c>
    </row>
    <row r="85" spans="20:20" x14ac:dyDescent="0.25">
      <c r="T85" s="9">
        <f t="shared" si="45"/>
        <v>0</v>
      </c>
    </row>
    <row r="86" spans="20:20" x14ac:dyDescent="0.25">
      <c r="T86" s="9">
        <f t="shared" si="45"/>
        <v>0</v>
      </c>
    </row>
    <row r="87" spans="20:20" x14ac:dyDescent="0.25">
      <c r="T87" s="9">
        <f t="shared" si="45"/>
        <v>0</v>
      </c>
    </row>
    <row r="88" spans="20:20" x14ac:dyDescent="0.25">
      <c r="T88" s="9">
        <f t="shared" si="45"/>
        <v>0</v>
      </c>
    </row>
    <row r="89" spans="20:20" x14ac:dyDescent="0.25">
      <c r="T89" s="9">
        <f t="shared" si="45"/>
        <v>0</v>
      </c>
    </row>
    <row r="90" spans="20:20" x14ac:dyDescent="0.25">
      <c r="T90" s="9">
        <f t="shared" si="45"/>
        <v>0</v>
      </c>
    </row>
    <row r="91" spans="20:20" x14ac:dyDescent="0.25">
      <c r="T91" s="9">
        <f t="shared" si="45"/>
        <v>0</v>
      </c>
    </row>
    <row r="92" spans="20:20" x14ac:dyDescent="0.25">
      <c r="T92" s="9">
        <f t="shared" si="45"/>
        <v>0</v>
      </c>
    </row>
    <row r="93" spans="20:20" x14ac:dyDescent="0.25">
      <c r="T93" s="9">
        <f t="shared" si="45"/>
        <v>0</v>
      </c>
    </row>
    <row r="94" spans="20:20" x14ac:dyDescent="0.25">
      <c r="T94" s="9">
        <f t="shared" si="45"/>
        <v>0</v>
      </c>
    </row>
    <row r="95" spans="20:20" x14ac:dyDescent="0.25">
      <c r="T95" s="9">
        <f t="shared" si="45"/>
        <v>0</v>
      </c>
    </row>
    <row r="96" spans="20:20" x14ac:dyDescent="0.25">
      <c r="T96" s="9">
        <f t="shared" si="45"/>
        <v>0</v>
      </c>
    </row>
    <row r="97" spans="20:20" x14ac:dyDescent="0.25">
      <c r="T97" s="9">
        <f t="shared" si="45"/>
        <v>0</v>
      </c>
    </row>
    <row r="98" spans="20:20" x14ac:dyDescent="0.25">
      <c r="T98" s="9">
        <f t="shared" si="45"/>
        <v>0</v>
      </c>
    </row>
  </sheetData>
  <mergeCells count="3">
    <mergeCell ref="A2:R2"/>
    <mergeCell ref="A3:R3"/>
    <mergeCell ref="A4:R4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workbookViewId="0">
      <pane xSplit="5" ySplit="8" topLeftCell="F40" activePane="bottomRight" state="frozen"/>
      <selection pane="topRight" activeCell="F1" sqref="F1"/>
      <selection pane="bottomLeft" activeCell="A9" sqref="A9"/>
      <selection pane="bottomRight" activeCell="A2" sqref="A2:R4"/>
    </sheetView>
  </sheetViews>
  <sheetFormatPr defaultRowHeight="15.75" x14ac:dyDescent="0.25"/>
  <cols>
    <col min="1" max="1" width="9.42578125" style="8" bestFit="1" customWidth="1"/>
    <col min="2" max="2" width="46.28515625" style="8" bestFit="1" customWidth="1"/>
    <col min="3" max="3" width="16" style="8" hidden="1" customWidth="1"/>
    <col min="4" max="5" width="16" style="8" customWidth="1"/>
    <col min="6" max="6" width="15.42578125" style="39" bestFit="1" customWidth="1"/>
    <col min="7" max="7" width="17.28515625" style="8" bestFit="1" customWidth="1"/>
    <col min="8" max="11" width="15.42578125" style="8" bestFit="1" customWidth="1"/>
    <col min="12" max="12" width="10.85546875" style="8" bestFit="1" customWidth="1"/>
    <col min="13" max="14" width="14.140625" style="8" bestFit="1" customWidth="1"/>
    <col min="15" max="15" width="11.7109375" style="8" customWidth="1"/>
    <col min="16" max="16" width="11.28515625" style="8" bestFit="1" customWidth="1"/>
    <col min="17" max="17" width="14.140625" style="8" bestFit="1" customWidth="1"/>
    <col min="18" max="18" width="9.5703125" style="8" bestFit="1" customWidth="1"/>
    <col min="19" max="19" width="9.42578125" style="8" bestFit="1" customWidth="1"/>
    <col min="20" max="20" width="15.28515625" style="8" bestFit="1" customWidth="1"/>
    <col min="21" max="30" width="9.42578125" style="8" bestFit="1" customWidth="1"/>
    <col min="31" max="16384" width="9.140625" style="8"/>
  </cols>
  <sheetData>
    <row r="1" spans="1:30" x14ac:dyDescent="0.25">
      <c r="F1" s="39">
        <v>4</v>
      </c>
      <c r="G1" s="122">
        <f>F1+1</f>
        <v>5</v>
      </c>
      <c r="H1" s="122">
        <f t="shared" ref="H1:K1" si="0">G1+1</f>
        <v>6</v>
      </c>
      <c r="I1" s="122">
        <f t="shared" si="0"/>
        <v>7</v>
      </c>
      <c r="J1" s="122">
        <f t="shared" si="0"/>
        <v>8</v>
      </c>
      <c r="K1" s="122">
        <f t="shared" si="0"/>
        <v>9</v>
      </c>
      <c r="L1" s="122">
        <f t="shared" ref="L1" si="1">K1+1</f>
        <v>10</v>
      </c>
      <c r="M1" s="122">
        <f t="shared" ref="M1" si="2">L1+1</f>
        <v>11</v>
      </c>
      <c r="N1" s="122">
        <f t="shared" ref="N1" si="3">M1+1</f>
        <v>12</v>
      </c>
      <c r="O1" s="122">
        <f t="shared" ref="O1" si="4">N1+1</f>
        <v>13</v>
      </c>
      <c r="P1" s="122">
        <f t="shared" ref="P1" si="5">O1+1</f>
        <v>14</v>
      </c>
      <c r="Q1" s="122">
        <f t="shared" ref="Q1" si="6">P1+1</f>
        <v>15</v>
      </c>
      <c r="R1" s="122">
        <f t="shared" ref="R1" si="7">Q1+1</f>
        <v>16</v>
      </c>
      <c r="S1" s="122">
        <f t="shared" ref="S1" si="8">R1+1</f>
        <v>17</v>
      </c>
      <c r="T1" s="122">
        <f t="shared" ref="T1" si="9">S1+1</f>
        <v>18</v>
      </c>
      <c r="U1" s="122">
        <f t="shared" ref="U1" si="10">T1+1</f>
        <v>19</v>
      </c>
      <c r="V1" s="122">
        <f t="shared" ref="V1" si="11">U1+1</f>
        <v>20</v>
      </c>
      <c r="W1" s="122">
        <f t="shared" ref="W1" si="12">V1+1</f>
        <v>21</v>
      </c>
      <c r="X1" s="122">
        <f t="shared" ref="X1" si="13">W1+1</f>
        <v>22</v>
      </c>
      <c r="Y1" s="122">
        <f t="shared" ref="Y1" si="14">X1+1</f>
        <v>23</v>
      </c>
      <c r="Z1" s="122">
        <f t="shared" ref="Z1" si="15">Y1+1</f>
        <v>24</v>
      </c>
      <c r="AA1" s="122">
        <f t="shared" ref="AA1" si="16">Z1+1</f>
        <v>25</v>
      </c>
      <c r="AB1" s="122">
        <f t="shared" ref="AB1" si="17">AA1+1</f>
        <v>26</v>
      </c>
      <c r="AC1" s="122">
        <f t="shared" ref="AC1" si="18">AB1+1</f>
        <v>27</v>
      </c>
      <c r="AD1" s="122">
        <f t="shared" ref="AD1" si="19">AC1+1</f>
        <v>28</v>
      </c>
    </row>
    <row r="2" spans="1:30" x14ac:dyDescent="0.25">
      <c r="A2" s="128" t="s">
        <v>562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30" x14ac:dyDescent="0.25">
      <c r="A3" s="128" t="s">
        <v>563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30" x14ac:dyDescent="0.25">
      <c r="A4" s="129" t="s">
        <v>568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30" hidden="1" x14ac:dyDescent="0.25"/>
    <row r="6" spans="1:30" hidden="1" x14ac:dyDescent="0.25"/>
    <row r="7" spans="1:30" s="36" customFormat="1" ht="78.75" x14ac:dyDescent="0.25">
      <c r="A7" s="31"/>
      <c r="B7" s="28" t="s">
        <v>0</v>
      </c>
      <c r="C7" s="28" t="s">
        <v>432</v>
      </c>
      <c r="D7" s="32" t="s">
        <v>561</v>
      </c>
      <c r="E7" s="33"/>
      <c r="F7" s="117" t="s">
        <v>1</v>
      </c>
      <c r="G7" s="116" t="s">
        <v>293</v>
      </c>
      <c r="H7" s="116" t="s">
        <v>294</v>
      </c>
      <c r="I7" s="116" t="s">
        <v>295</v>
      </c>
      <c r="J7" s="116" t="s">
        <v>296</v>
      </c>
      <c r="K7" s="116" t="s">
        <v>553</v>
      </c>
      <c r="L7" s="116">
        <v>35</v>
      </c>
      <c r="M7" s="116">
        <v>43</v>
      </c>
      <c r="N7" s="116" t="s">
        <v>297</v>
      </c>
      <c r="O7" s="116" t="s">
        <v>298</v>
      </c>
      <c r="P7" s="116" t="s">
        <v>301</v>
      </c>
      <c r="Q7" s="116" t="s">
        <v>299</v>
      </c>
      <c r="R7" s="116" t="s">
        <v>300</v>
      </c>
      <c r="U7" s="116" t="s">
        <v>483</v>
      </c>
    </row>
    <row r="8" spans="1:30" x14ac:dyDescent="0.25">
      <c r="B8" s="30"/>
      <c r="C8" s="30"/>
      <c r="D8" s="30"/>
      <c r="E8" s="30"/>
      <c r="F8" s="38"/>
    </row>
    <row r="9" spans="1:30" x14ac:dyDescent="0.25">
      <c r="A9" s="30" t="s">
        <v>486</v>
      </c>
    </row>
    <row r="10" spans="1:30" x14ac:dyDescent="0.25">
      <c r="A10" s="8">
        <v>447</v>
      </c>
      <c r="B10" s="8" t="s">
        <v>252</v>
      </c>
      <c r="F10" s="43">
        <v>1955673806.0898824</v>
      </c>
      <c r="G10" s="22">
        <v>1066627454</v>
      </c>
      <c r="H10" s="22">
        <v>266944271</v>
      </c>
      <c r="I10" s="22">
        <v>252922820</v>
      </c>
      <c r="J10" s="22">
        <v>151834735</v>
      </c>
      <c r="K10" s="22">
        <v>101394675</v>
      </c>
      <c r="L10" s="22">
        <v>248214</v>
      </c>
      <c r="M10" s="22">
        <v>10337826</v>
      </c>
      <c r="N10" s="22">
        <v>47836622</v>
      </c>
      <c r="O10" s="22">
        <v>40360092</v>
      </c>
      <c r="P10" s="9">
        <v>0</v>
      </c>
      <c r="Q10" s="22">
        <v>17167097</v>
      </c>
      <c r="R10" s="22">
        <v>0</v>
      </c>
      <c r="T10" s="122">
        <f>SUM(G10:R10)-F10</f>
        <v>-8.9882373809814453E-2</v>
      </c>
    </row>
    <row r="11" spans="1:30" x14ac:dyDescent="0.25">
      <c r="A11" s="8">
        <v>447.01</v>
      </c>
      <c r="B11" s="8" t="s">
        <v>253</v>
      </c>
      <c r="F11" s="43">
        <v>7513279.0699999984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7513279</v>
      </c>
      <c r="Q11" s="9">
        <v>0</v>
      </c>
      <c r="R11" s="9">
        <v>0</v>
      </c>
      <c r="T11" s="122">
        <f t="shared" ref="T11:T51" si="20">SUM(G11:R11)-F11</f>
        <v>-6.9999998435378075E-2</v>
      </c>
    </row>
    <row r="12" spans="1:30" x14ac:dyDescent="0.25">
      <c r="A12" s="8">
        <v>447.02</v>
      </c>
      <c r="B12" s="10" t="s">
        <v>254</v>
      </c>
      <c r="C12" s="10"/>
      <c r="D12" s="10"/>
      <c r="E12" s="10"/>
      <c r="F12" s="44">
        <v>316389.10000000003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316389</v>
      </c>
      <c r="T12" s="122">
        <f t="shared" si="20"/>
        <v>-0.1000000000349246</v>
      </c>
    </row>
    <row r="13" spans="1:30" x14ac:dyDescent="0.25">
      <c r="B13" s="30" t="s">
        <v>255</v>
      </c>
      <c r="F13" s="46">
        <f>SUM(F10:F12)</f>
        <v>1963503474.2598822</v>
      </c>
      <c r="G13" s="46">
        <f t="shared" ref="G13:R13" si="21">SUM(G10:G12)</f>
        <v>1066627454</v>
      </c>
      <c r="H13" s="46">
        <f t="shared" si="21"/>
        <v>266944271</v>
      </c>
      <c r="I13" s="46">
        <f t="shared" si="21"/>
        <v>252922820</v>
      </c>
      <c r="J13" s="46">
        <f t="shared" si="21"/>
        <v>151834735</v>
      </c>
      <c r="K13" s="46">
        <f t="shared" si="21"/>
        <v>101394675</v>
      </c>
      <c r="L13" s="46">
        <f t="shared" si="21"/>
        <v>248214</v>
      </c>
      <c r="M13" s="46">
        <f t="shared" si="21"/>
        <v>10337826</v>
      </c>
      <c r="N13" s="46">
        <f t="shared" si="21"/>
        <v>47836622</v>
      </c>
      <c r="O13" s="46">
        <f t="shared" si="21"/>
        <v>40360092</v>
      </c>
      <c r="P13" s="46">
        <f t="shared" si="21"/>
        <v>7513279</v>
      </c>
      <c r="Q13" s="46">
        <f t="shared" si="21"/>
        <v>17167097</v>
      </c>
      <c r="R13" s="46">
        <f t="shared" si="21"/>
        <v>316389</v>
      </c>
      <c r="T13" s="122">
        <f t="shared" si="20"/>
        <v>-0.25988221168518066</v>
      </c>
    </row>
    <row r="14" spans="1:30" x14ac:dyDescent="0.25">
      <c r="F14" s="4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T14" s="122">
        <f t="shared" si="20"/>
        <v>0</v>
      </c>
    </row>
    <row r="15" spans="1:30" x14ac:dyDescent="0.25">
      <c r="A15" s="30" t="s">
        <v>256</v>
      </c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T15" s="122">
        <f t="shared" si="20"/>
        <v>0</v>
      </c>
    </row>
    <row r="16" spans="1:30" x14ac:dyDescent="0.25">
      <c r="A16" s="8">
        <v>447.07</v>
      </c>
      <c r="B16" s="10" t="s">
        <v>257</v>
      </c>
      <c r="C16" s="10"/>
      <c r="D16" s="10">
        <v>73</v>
      </c>
      <c r="E16" s="10"/>
      <c r="F16" s="44">
        <v>30144357.521026254</v>
      </c>
      <c r="G16" s="119">
        <f t="shared" ref="G16:R16" si="22">INDEX(Alloc,($D16),(G$1))*$F16</f>
        <v>15155015.454980906</v>
      </c>
      <c r="H16" s="119">
        <f t="shared" si="22"/>
        <v>4072201.257515436</v>
      </c>
      <c r="I16" s="119">
        <f t="shared" si="22"/>
        <v>4162423.3195758695</v>
      </c>
      <c r="J16" s="119">
        <f t="shared" si="22"/>
        <v>2789468.4119232064</v>
      </c>
      <c r="K16" s="119">
        <f t="shared" si="22"/>
        <v>1815172.6324861173</v>
      </c>
      <c r="L16" s="119">
        <f t="shared" si="22"/>
        <v>6993.4909448780918</v>
      </c>
      <c r="M16" s="119">
        <f t="shared" si="22"/>
        <v>158288.02134290888</v>
      </c>
      <c r="N16" s="119">
        <f t="shared" si="22"/>
        <v>965644.3488285552</v>
      </c>
      <c r="O16" s="119">
        <f t="shared" si="22"/>
        <v>888987.24765258539</v>
      </c>
      <c r="P16" s="119">
        <f t="shared" si="22"/>
        <v>0</v>
      </c>
      <c r="Q16" s="119">
        <f t="shared" si="22"/>
        <v>120577.43008410504</v>
      </c>
      <c r="R16" s="119">
        <f t="shared" si="22"/>
        <v>9585.9056916863501</v>
      </c>
      <c r="T16" s="122">
        <f t="shared" si="20"/>
        <v>0</v>
      </c>
    </row>
    <row r="17" spans="1:20" x14ac:dyDescent="0.25">
      <c r="B17" s="30" t="s">
        <v>258</v>
      </c>
      <c r="F17" s="46">
        <f>SUM(F16)</f>
        <v>30144357.521026254</v>
      </c>
      <c r="G17" s="46">
        <f t="shared" ref="G17:R17" si="23">SUM(G16)</f>
        <v>15155015.454980906</v>
      </c>
      <c r="H17" s="46">
        <f t="shared" si="23"/>
        <v>4072201.257515436</v>
      </c>
      <c r="I17" s="46">
        <f t="shared" si="23"/>
        <v>4162423.3195758695</v>
      </c>
      <c r="J17" s="46">
        <f t="shared" si="23"/>
        <v>2789468.4119232064</v>
      </c>
      <c r="K17" s="46">
        <f t="shared" si="23"/>
        <v>1815172.6324861173</v>
      </c>
      <c r="L17" s="46">
        <f t="shared" ref="L17:M17" si="24">SUM(L16)</f>
        <v>6993.4909448780918</v>
      </c>
      <c r="M17" s="46">
        <f t="shared" si="24"/>
        <v>158288.02134290888</v>
      </c>
      <c r="N17" s="46">
        <f t="shared" si="23"/>
        <v>965644.3488285552</v>
      </c>
      <c r="O17" s="46">
        <f t="shared" si="23"/>
        <v>888987.24765258539</v>
      </c>
      <c r="P17" s="46">
        <f t="shared" si="23"/>
        <v>0</v>
      </c>
      <c r="Q17" s="46">
        <f t="shared" si="23"/>
        <v>120577.43008410504</v>
      </c>
      <c r="R17" s="46">
        <f t="shared" si="23"/>
        <v>9585.9056916863501</v>
      </c>
      <c r="T17" s="122">
        <f t="shared" si="20"/>
        <v>0</v>
      </c>
    </row>
    <row r="18" spans="1:20" x14ac:dyDescent="0.25">
      <c r="F18" s="4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T18" s="122">
        <f t="shared" si="20"/>
        <v>0</v>
      </c>
    </row>
    <row r="19" spans="1:20" x14ac:dyDescent="0.25">
      <c r="A19" s="30" t="s">
        <v>259</v>
      </c>
      <c r="F19" s="4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T19" s="122">
        <f t="shared" si="20"/>
        <v>0</v>
      </c>
    </row>
    <row r="20" spans="1:20" x14ac:dyDescent="0.25">
      <c r="A20" s="8">
        <v>450.01</v>
      </c>
      <c r="B20" s="8" t="s">
        <v>260</v>
      </c>
      <c r="D20" s="8">
        <v>13</v>
      </c>
      <c r="F20" s="43">
        <v>2608874.52</v>
      </c>
      <c r="G20" s="22">
        <f t="shared" ref="G20:R29" si="25">INDEX(Alloc,($D20),(G$1))*$F20</f>
        <v>2047675.3068927049</v>
      </c>
      <c r="H20" s="22">
        <f t="shared" si="25"/>
        <v>335064.20003906731</v>
      </c>
      <c r="I20" s="22">
        <f t="shared" si="25"/>
        <v>79672.441327700697</v>
      </c>
      <c r="J20" s="22">
        <f t="shared" si="25"/>
        <v>26688.29107848071</v>
      </c>
      <c r="K20" s="22">
        <f t="shared" si="25"/>
        <v>36620.054726216411</v>
      </c>
      <c r="L20" s="22">
        <f t="shared" si="25"/>
        <v>0</v>
      </c>
      <c r="M20" s="22">
        <f t="shared" si="25"/>
        <v>6765.256116237515</v>
      </c>
      <c r="N20" s="22">
        <f t="shared" si="25"/>
        <v>-435.19903667714732</v>
      </c>
      <c r="O20" s="22">
        <f t="shared" si="25"/>
        <v>9077.3185376803431</v>
      </c>
      <c r="P20" s="22">
        <f t="shared" si="25"/>
        <v>-15.421808378526077</v>
      </c>
      <c r="Q20" s="22">
        <f t="shared" si="25"/>
        <v>67707.425802515136</v>
      </c>
      <c r="R20" s="22">
        <f t="shared" si="25"/>
        <v>54.84632445308354</v>
      </c>
      <c r="T20" s="122">
        <f t="shared" si="20"/>
        <v>0</v>
      </c>
    </row>
    <row r="21" spans="1:20" x14ac:dyDescent="0.25">
      <c r="A21" s="8">
        <v>450.02</v>
      </c>
      <c r="B21" s="8" t="s">
        <v>261</v>
      </c>
      <c r="D21" s="8">
        <v>14</v>
      </c>
      <c r="F21" s="43">
        <v>286000</v>
      </c>
      <c r="G21" s="22">
        <f t="shared" si="25"/>
        <v>276325.28294074303</v>
      </c>
      <c r="H21" s="22">
        <f t="shared" si="25"/>
        <v>9561.8159855902049</v>
      </c>
      <c r="I21" s="22">
        <f t="shared" si="25"/>
        <v>38.095337913470843</v>
      </c>
      <c r="J21" s="22">
        <f t="shared" si="25"/>
        <v>0</v>
      </c>
      <c r="K21" s="22">
        <f t="shared" si="25"/>
        <v>0</v>
      </c>
      <c r="L21" s="22">
        <f t="shared" si="25"/>
        <v>0</v>
      </c>
      <c r="M21" s="22">
        <f t="shared" si="25"/>
        <v>0</v>
      </c>
      <c r="N21" s="22">
        <f t="shared" si="25"/>
        <v>0</v>
      </c>
      <c r="O21" s="22">
        <f t="shared" si="25"/>
        <v>0</v>
      </c>
      <c r="P21" s="22">
        <f t="shared" si="25"/>
        <v>0</v>
      </c>
      <c r="Q21" s="22">
        <f t="shared" si="25"/>
        <v>74.805735753394188</v>
      </c>
      <c r="R21" s="22">
        <f t="shared" si="25"/>
        <v>0</v>
      </c>
      <c r="T21" s="122">
        <f t="shared" si="20"/>
        <v>0</v>
      </c>
    </row>
    <row r="22" spans="1:20" x14ac:dyDescent="0.25">
      <c r="A22" s="8">
        <v>451.01</v>
      </c>
      <c r="B22" s="8" t="s">
        <v>262</v>
      </c>
      <c r="D22" s="8">
        <v>2</v>
      </c>
      <c r="F22" s="43">
        <v>1090430.1599999999</v>
      </c>
      <c r="G22" s="22">
        <f t="shared" si="25"/>
        <v>966005.68099789321</v>
      </c>
      <c r="H22" s="22">
        <f t="shared" si="25"/>
        <v>116155.9132542467</v>
      </c>
      <c r="I22" s="22">
        <f t="shared" si="25"/>
        <v>7502.1916530499411</v>
      </c>
      <c r="J22" s="22">
        <f t="shared" si="25"/>
        <v>766.3740948099861</v>
      </c>
      <c r="K22" s="22">
        <f t="shared" si="25"/>
        <v>0</v>
      </c>
      <c r="L22" s="22">
        <f t="shared" si="25"/>
        <v>0</v>
      </c>
      <c r="M22" s="22">
        <f t="shared" si="25"/>
        <v>0</v>
      </c>
      <c r="N22" s="22">
        <f t="shared" si="25"/>
        <v>0</v>
      </c>
      <c r="O22" s="22">
        <f t="shared" si="25"/>
        <v>0</v>
      </c>
      <c r="P22" s="22">
        <f t="shared" si="25"/>
        <v>0</v>
      </c>
      <c r="Q22" s="22">
        <f t="shared" si="25"/>
        <v>0</v>
      </c>
      <c r="R22" s="22">
        <f t="shared" si="25"/>
        <v>0</v>
      </c>
      <c r="T22" s="122">
        <f t="shared" si="20"/>
        <v>0</v>
      </c>
    </row>
    <row r="23" spans="1:20" x14ac:dyDescent="0.25">
      <c r="A23" s="8">
        <v>451.02</v>
      </c>
      <c r="B23" s="8" t="s">
        <v>263</v>
      </c>
      <c r="D23" s="8">
        <v>15</v>
      </c>
      <c r="F23" s="43">
        <v>1292858</v>
      </c>
      <c r="G23" s="22">
        <f t="shared" si="25"/>
        <v>1261662.3279971117</v>
      </c>
      <c r="H23" s="22">
        <f t="shared" si="25"/>
        <v>30652.30090488357</v>
      </c>
      <c r="I23" s="22">
        <f t="shared" si="25"/>
        <v>543.37109800466135</v>
      </c>
      <c r="J23" s="22">
        <f t="shared" si="25"/>
        <v>0</v>
      </c>
      <c r="K23" s="22">
        <f t="shared" si="25"/>
        <v>0</v>
      </c>
      <c r="L23" s="22">
        <f t="shared" si="25"/>
        <v>0</v>
      </c>
      <c r="M23" s="22">
        <f t="shared" si="25"/>
        <v>0</v>
      </c>
      <c r="N23" s="22">
        <f t="shared" si="25"/>
        <v>0</v>
      </c>
      <c r="O23" s="22">
        <f t="shared" si="25"/>
        <v>0</v>
      </c>
      <c r="P23" s="22">
        <f t="shared" si="25"/>
        <v>0</v>
      </c>
      <c r="Q23" s="22">
        <f t="shared" si="25"/>
        <v>0</v>
      </c>
      <c r="R23" s="22">
        <f t="shared" si="25"/>
        <v>0</v>
      </c>
      <c r="T23" s="122">
        <f t="shared" si="20"/>
        <v>0</v>
      </c>
    </row>
    <row r="24" spans="1:20" x14ac:dyDescent="0.25">
      <c r="A24" s="8">
        <v>451.03</v>
      </c>
      <c r="B24" s="8" t="s">
        <v>264</v>
      </c>
      <c r="D24" s="8">
        <v>2</v>
      </c>
      <c r="F24" s="43">
        <v>436938.03</v>
      </c>
      <c r="G24" s="22">
        <f t="shared" si="25"/>
        <v>387080.83718449972</v>
      </c>
      <c r="H24" s="22">
        <f t="shared" si="25"/>
        <v>46543.958312893192</v>
      </c>
      <c r="I24" s="22">
        <f t="shared" si="25"/>
        <v>3006.1465298851281</v>
      </c>
      <c r="J24" s="22">
        <f t="shared" si="25"/>
        <v>307.08797272198393</v>
      </c>
      <c r="K24" s="22">
        <f t="shared" si="25"/>
        <v>0</v>
      </c>
      <c r="L24" s="22">
        <f t="shared" si="25"/>
        <v>0</v>
      </c>
      <c r="M24" s="22">
        <f t="shared" si="25"/>
        <v>0</v>
      </c>
      <c r="N24" s="22">
        <f t="shared" si="25"/>
        <v>0</v>
      </c>
      <c r="O24" s="22">
        <f t="shared" si="25"/>
        <v>0</v>
      </c>
      <c r="P24" s="22">
        <f t="shared" si="25"/>
        <v>0</v>
      </c>
      <c r="Q24" s="22">
        <f t="shared" si="25"/>
        <v>0</v>
      </c>
      <c r="R24" s="22">
        <f t="shared" si="25"/>
        <v>0</v>
      </c>
      <c r="T24" s="122">
        <f t="shared" si="20"/>
        <v>0</v>
      </c>
    </row>
    <row r="25" spans="1:20" x14ac:dyDescent="0.25">
      <c r="A25" s="8">
        <v>451.04</v>
      </c>
      <c r="B25" s="8" t="s">
        <v>265</v>
      </c>
      <c r="D25" s="8">
        <v>2</v>
      </c>
      <c r="F25" s="43">
        <v>1565700.7100000004</v>
      </c>
      <c r="G25" s="22">
        <f t="shared" si="25"/>
        <v>1387045.0727467365</v>
      </c>
      <c r="H25" s="22">
        <f t="shared" si="25"/>
        <v>166783.16734459411</v>
      </c>
      <c r="I25" s="22">
        <f t="shared" si="25"/>
        <v>10772.067050801648</v>
      </c>
      <c r="J25" s="22">
        <f t="shared" si="25"/>
        <v>1100.4028578681307</v>
      </c>
      <c r="K25" s="22">
        <f t="shared" si="25"/>
        <v>0</v>
      </c>
      <c r="L25" s="22">
        <f t="shared" si="25"/>
        <v>0</v>
      </c>
      <c r="M25" s="22">
        <f t="shared" si="25"/>
        <v>0</v>
      </c>
      <c r="N25" s="22">
        <f t="shared" si="25"/>
        <v>0</v>
      </c>
      <c r="O25" s="22">
        <f t="shared" si="25"/>
        <v>0</v>
      </c>
      <c r="P25" s="22">
        <f t="shared" si="25"/>
        <v>0</v>
      </c>
      <c r="Q25" s="22">
        <f t="shared" si="25"/>
        <v>0</v>
      </c>
      <c r="R25" s="22">
        <f t="shared" si="25"/>
        <v>0</v>
      </c>
      <c r="T25" s="122">
        <f t="shared" si="20"/>
        <v>0</v>
      </c>
    </row>
    <row r="26" spans="1:20" x14ac:dyDescent="0.25">
      <c r="A26" s="8">
        <v>451.05</v>
      </c>
      <c r="B26" s="8" t="s">
        <v>266</v>
      </c>
      <c r="D26" s="8">
        <v>16</v>
      </c>
      <c r="F26" s="43">
        <v>1417204.84</v>
      </c>
      <c r="G26" s="22">
        <f t="shared" si="25"/>
        <v>1298002.4416559539</v>
      </c>
      <c r="H26" s="22">
        <f t="shared" si="25"/>
        <v>115777.96951064367</v>
      </c>
      <c r="I26" s="22">
        <f t="shared" si="25"/>
        <v>2826.3926059514879</v>
      </c>
      <c r="J26" s="22">
        <f t="shared" si="25"/>
        <v>368.17738177065144</v>
      </c>
      <c r="K26" s="22">
        <f t="shared" si="25"/>
        <v>80.645736474254718</v>
      </c>
      <c r="L26" s="22">
        <f t="shared" si="25"/>
        <v>0</v>
      </c>
      <c r="M26" s="22">
        <f t="shared" si="25"/>
        <v>6.0206851427453927</v>
      </c>
      <c r="N26" s="22">
        <f t="shared" si="25"/>
        <v>137.55092185568697</v>
      </c>
      <c r="O26" s="22">
        <f t="shared" si="25"/>
        <v>5.6415022074880019</v>
      </c>
      <c r="P26" s="22">
        <f t="shared" si="25"/>
        <v>0</v>
      </c>
      <c r="Q26" s="22">
        <f t="shared" si="25"/>
        <v>0</v>
      </c>
      <c r="R26" s="22">
        <f t="shared" si="25"/>
        <v>0</v>
      </c>
      <c r="T26" s="122">
        <f t="shared" si="20"/>
        <v>0</v>
      </c>
    </row>
    <row r="27" spans="1:20" x14ac:dyDescent="0.25">
      <c r="A27" s="8">
        <v>451.06</v>
      </c>
      <c r="B27" s="8" t="s">
        <v>267</v>
      </c>
      <c r="D27" s="8">
        <v>17</v>
      </c>
      <c r="F27" s="43">
        <v>136832</v>
      </c>
      <c r="G27" s="22">
        <f t="shared" si="25"/>
        <v>-121626.58411338845</v>
      </c>
      <c r="H27" s="22">
        <f t="shared" si="25"/>
        <v>268219.74116447446</v>
      </c>
      <c r="I27" s="22">
        <f t="shared" si="25"/>
        <v>-7389.2349546242485</v>
      </c>
      <c r="J27" s="22">
        <f t="shared" si="25"/>
        <v>-2371.9220964617116</v>
      </c>
      <c r="K27" s="22">
        <f t="shared" si="25"/>
        <v>0</v>
      </c>
      <c r="L27" s="22">
        <f t="shared" si="25"/>
        <v>0</v>
      </c>
      <c r="M27" s="22">
        <f t="shared" si="25"/>
        <v>0</v>
      </c>
      <c r="N27" s="22">
        <f t="shared" si="25"/>
        <v>0</v>
      </c>
      <c r="O27" s="22">
        <f t="shared" si="25"/>
        <v>0</v>
      </c>
      <c r="P27" s="22">
        <f t="shared" si="25"/>
        <v>0</v>
      </c>
      <c r="Q27" s="22">
        <f t="shared" si="25"/>
        <v>0</v>
      </c>
      <c r="R27" s="22">
        <f t="shared" si="25"/>
        <v>0</v>
      </c>
      <c r="T27" s="122">
        <f t="shared" si="20"/>
        <v>0</v>
      </c>
    </row>
    <row r="28" spans="1:20" x14ac:dyDescent="0.25">
      <c r="A28" s="8">
        <v>451.07</v>
      </c>
      <c r="B28" s="8" t="s">
        <v>268</v>
      </c>
      <c r="D28" s="8">
        <v>10</v>
      </c>
      <c r="F28" s="43">
        <v>6931078.9399999995</v>
      </c>
      <c r="G28" s="22">
        <f t="shared" si="25"/>
        <v>2681846.3059743936</v>
      </c>
      <c r="H28" s="22">
        <f t="shared" si="25"/>
        <v>3966304.7349182637</v>
      </c>
      <c r="I28" s="22">
        <f t="shared" si="25"/>
        <v>256525.3312519851</v>
      </c>
      <c r="J28" s="22">
        <f t="shared" si="25"/>
        <v>26402.567855357061</v>
      </c>
      <c r="K28" s="22">
        <f t="shared" si="25"/>
        <v>0</v>
      </c>
      <c r="L28" s="22">
        <f t="shared" si="25"/>
        <v>0</v>
      </c>
      <c r="M28" s="22">
        <f t="shared" si="25"/>
        <v>0</v>
      </c>
      <c r="N28" s="22">
        <f t="shared" si="25"/>
        <v>0</v>
      </c>
      <c r="O28" s="22">
        <f t="shared" si="25"/>
        <v>0</v>
      </c>
      <c r="P28" s="22">
        <f t="shared" si="25"/>
        <v>0</v>
      </c>
      <c r="Q28" s="22">
        <f t="shared" si="25"/>
        <v>0</v>
      </c>
      <c r="R28" s="22">
        <f t="shared" si="25"/>
        <v>0</v>
      </c>
      <c r="T28" s="122">
        <f t="shared" si="20"/>
        <v>0</v>
      </c>
    </row>
    <row r="29" spans="1:20" x14ac:dyDescent="0.25">
      <c r="A29" s="8">
        <v>451.08</v>
      </c>
      <c r="B29" s="8" t="s">
        <v>269</v>
      </c>
      <c r="D29" s="8">
        <v>2</v>
      </c>
      <c r="F29" s="43">
        <v>105921.51999999999</v>
      </c>
      <c r="G29" s="22">
        <f t="shared" si="25"/>
        <v>93835.253107757002</v>
      </c>
      <c r="H29" s="22">
        <f t="shared" si="25"/>
        <v>11283.080145983817</v>
      </c>
      <c r="I29" s="22">
        <f t="shared" si="25"/>
        <v>728.74318078506042</v>
      </c>
      <c r="J29" s="22">
        <f t="shared" si="25"/>
        <v>74.443565474104119</v>
      </c>
      <c r="K29" s="22">
        <f t="shared" si="25"/>
        <v>0</v>
      </c>
      <c r="L29" s="22">
        <f t="shared" si="25"/>
        <v>0</v>
      </c>
      <c r="M29" s="22">
        <f t="shared" si="25"/>
        <v>0</v>
      </c>
      <c r="N29" s="22">
        <f t="shared" si="25"/>
        <v>0</v>
      </c>
      <c r="O29" s="22">
        <f t="shared" si="25"/>
        <v>0</v>
      </c>
      <c r="P29" s="22">
        <f t="shared" si="25"/>
        <v>0</v>
      </c>
      <c r="Q29" s="22">
        <f t="shared" si="25"/>
        <v>0</v>
      </c>
      <c r="R29" s="22">
        <f t="shared" si="25"/>
        <v>0</v>
      </c>
      <c r="T29" s="122">
        <f t="shared" si="20"/>
        <v>0</v>
      </c>
    </row>
    <row r="30" spans="1:20" x14ac:dyDescent="0.25">
      <c r="A30" s="8">
        <v>454.01</v>
      </c>
      <c r="B30" s="8" t="s">
        <v>270</v>
      </c>
      <c r="D30" s="8">
        <v>73</v>
      </c>
      <c r="F30" s="43">
        <v>59939.319999999992</v>
      </c>
      <c r="G30" s="22">
        <f t="shared" ref="G30:R41" si="26">INDEX(Alloc,($D30),(G$1))*$F30</f>
        <v>30134.373251359993</v>
      </c>
      <c r="H30" s="22">
        <f t="shared" si="26"/>
        <v>8097.2027387999979</v>
      </c>
      <c r="I30" s="22">
        <f t="shared" si="26"/>
        <v>8276.6011235600017</v>
      </c>
      <c r="J30" s="22">
        <f t="shared" si="26"/>
        <v>5546.6048548399986</v>
      </c>
      <c r="K30" s="22">
        <f t="shared" si="26"/>
        <v>3609.3060931200002</v>
      </c>
      <c r="L30" s="22">
        <f t="shared" si="26"/>
        <v>13.905922240000001</v>
      </c>
      <c r="M30" s="22">
        <f t="shared" si="26"/>
        <v>314.74136931999999</v>
      </c>
      <c r="N30" s="22">
        <f t="shared" si="26"/>
        <v>1920.0961768800003</v>
      </c>
      <c r="O30" s="22">
        <f t="shared" si="26"/>
        <v>1767.6704861200001</v>
      </c>
      <c r="P30" s="22">
        <f t="shared" si="26"/>
        <v>0</v>
      </c>
      <c r="Q30" s="22">
        <f t="shared" si="26"/>
        <v>239.75728000000004</v>
      </c>
      <c r="R30" s="22">
        <f t="shared" si="26"/>
        <v>19.060703759999999</v>
      </c>
      <c r="T30" s="122">
        <f t="shared" si="20"/>
        <v>0</v>
      </c>
    </row>
    <row r="31" spans="1:20" x14ac:dyDescent="0.25">
      <c r="A31" s="8">
        <v>454.02</v>
      </c>
      <c r="B31" s="8" t="s">
        <v>271</v>
      </c>
      <c r="D31" s="8">
        <v>57</v>
      </c>
      <c r="F31" s="43">
        <v>7437200.2199999997</v>
      </c>
      <c r="G31" s="22">
        <f t="shared" si="26"/>
        <v>5040801.433724816</v>
      </c>
      <c r="H31" s="22">
        <f t="shared" si="26"/>
        <v>966561.36754418886</v>
      </c>
      <c r="I31" s="22">
        <f t="shared" si="26"/>
        <v>746677.10376085958</v>
      </c>
      <c r="J31" s="22">
        <f t="shared" si="26"/>
        <v>311130.37792768492</v>
      </c>
      <c r="K31" s="22">
        <f t="shared" si="26"/>
        <v>265033.67348788126</v>
      </c>
      <c r="L31" s="22">
        <f t="shared" si="26"/>
        <v>5937.3748760653343</v>
      </c>
      <c r="M31" s="22">
        <f t="shared" si="26"/>
        <v>74127.677786855886</v>
      </c>
      <c r="N31" s="22">
        <f t="shared" si="26"/>
        <v>16809.329350417</v>
      </c>
      <c r="O31" s="22">
        <f t="shared" si="26"/>
        <v>0</v>
      </c>
      <c r="P31" s="22">
        <f t="shared" si="26"/>
        <v>0</v>
      </c>
      <c r="Q31" s="22">
        <f t="shared" si="26"/>
        <v>4855.8178948725281</v>
      </c>
      <c r="R31" s="22">
        <f t="shared" si="26"/>
        <v>5266.0636463594547</v>
      </c>
      <c r="T31" s="122">
        <f t="shared" si="20"/>
        <v>0</v>
      </c>
    </row>
    <row r="32" spans="1:20" x14ac:dyDescent="0.25">
      <c r="A32" s="8">
        <v>454.03</v>
      </c>
      <c r="B32" s="8" t="s">
        <v>272</v>
      </c>
      <c r="D32" s="8">
        <v>57</v>
      </c>
      <c r="F32" s="43">
        <v>4753198.22</v>
      </c>
      <c r="G32" s="22">
        <f t="shared" si="26"/>
        <v>3221632.8313605953</v>
      </c>
      <c r="H32" s="22">
        <f t="shared" si="26"/>
        <v>617740.2296333235</v>
      </c>
      <c r="I32" s="22">
        <f t="shared" si="26"/>
        <v>477209.72617715446</v>
      </c>
      <c r="J32" s="22">
        <f t="shared" si="26"/>
        <v>198846.92018602119</v>
      </c>
      <c r="K32" s="22">
        <f t="shared" si="26"/>
        <v>169385.998466861</v>
      </c>
      <c r="L32" s="22">
        <f t="shared" si="26"/>
        <v>3794.6429916588245</v>
      </c>
      <c r="M32" s="22">
        <f t="shared" si="26"/>
        <v>47375.831722494215</v>
      </c>
      <c r="N32" s="22">
        <f t="shared" si="26"/>
        <v>10743.031246212144</v>
      </c>
      <c r="O32" s="22">
        <f t="shared" si="26"/>
        <v>0</v>
      </c>
      <c r="P32" s="22">
        <f t="shared" si="26"/>
        <v>0</v>
      </c>
      <c r="Q32" s="22">
        <f t="shared" si="26"/>
        <v>3103.4077733290133</v>
      </c>
      <c r="R32" s="22">
        <f t="shared" si="26"/>
        <v>3365.6004423506661</v>
      </c>
      <c r="T32" s="122">
        <f t="shared" si="20"/>
        <v>0</v>
      </c>
    </row>
    <row r="33" spans="1:20" x14ac:dyDescent="0.25">
      <c r="A33" s="8">
        <v>454.04</v>
      </c>
      <c r="B33" s="8" t="s">
        <v>273</v>
      </c>
      <c r="D33" s="8">
        <v>75</v>
      </c>
      <c r="F33" s="43">
        <v>1379005.1</v>
      </c>
      <c r="G33" s="22">
        <f t="shared" si="26"/>
        <v>767945.5173319194</v>
      </c>
      <c r="H33" s="22">
        <f t="shared" si="26"/>
        <v>176741.2139507586</v>
      </c>
      <c r="I33" s="22">
        <f t="shared" si="26"/>
        <v>165822.75414829829</v>
      </c>
      <c r="J33" s="22">
        <f t="shared" si="26"/>
        <v>98633.036698569573</v>
      </c>
      <c r="K33" s="22">
        <f t="shared" si="26"/>
        <v>67107.560601010671</v>
      </c>
      <c r="L33" s="22">
        <f t="shared" si="26"/>
        <v>382.5775946708298</v>
      </c>
      <c r="M33" s="22">
        <f t="shared" si="26"/>
        <v>9105.2598463095874</v>
      </c>
      <c r="N33" s="22">
        <f t="shared" si="26"/>
        <v>34142.360710024863</v>
      </c>
      <c r="O33" s="22">
        <f t="shared" si="26"/>
        <v>27414.477116516209</v>
      </c>
      <c r="P33" s="22">
        <f t="shared" si="26"/>
        <v>15990.097543284861</v>
      </c>
      <c r="Q33" s="22">
        <f t="shared" si="26"/>
        <v>15266.316938996761</v>
      </c>
      <c r="R33" s="22">
        <f t="shared" si="26"/>
        <v>453.9275196402628</v>
      </c>
      <c r="T33" s="122">
        <f t="shared" si="20"/>
        <v>0</v>
      </c>
    </row>
    <row r="34" spans="1:20" x14ac:dyDescent="0.25">
      <c r="A34" s="8">
        <v>454.05</v>
      </c>
      <c r="B34" s="8" t="s">
        <v>274</v>
      </c>
      <c r="D34" s="8">
        <v>49</v>
      </c>
      <c r="F34" s="43">
        <v>4489158.0199999996</v>
      </c>
      <c r="G34" s="22">
        <f t="shared" si="26"/>
        <v>0</v>
      </c>
      <c r="H34" s="22">
        <f t="shared" si="26"/>
        <v>0</v>
      </c>
      <c r="I34" s="22">
        <f t="shared" si="26"/>
        <v>0</v>
      </c>
      <c r="J34" s="22">
        <f t="shared" si="26"/>
        <v>0</v>
      </c>
      <c r="K34" s="22">
        <f t="shared" si="26"/>
        <v>684688.49628504307</v>
      </c>
      <c r="L34" s="22">
        <f t="shared" si="26"/>
        <v>0</v>
      </c>
      <c r="M34" s="22">
        <f t="shared" si="26"/>
        <v>12880.541507813206</v>
      </c>
      <c r="N34" s="22">
        <f t="shared" si="26"/>
        <v>81344.443567511815</v>
      </c>
      <c r="O34" s="22">
        <f t="shared" si="26"/>
        <v>2858130.8650355893</v>
      </c>
      <c r="P34" s="22">
        <f t="shared" si="26"/>
        <v>848630.17637421389</v>
      </c>
      <c r="Q34" s="22">
        <f t="shared" si="26"/>
        <v>0</v>
      </c>
      <c r="R34" s="22">
        <f t="shared" si="26"/>
        <v>3483.4972298288499</v>
      </c>
      <c r="T34" s="122">
        <f t="shared" si="20"/>
        <v>0</v>
      </c>
    </row>
    <row r="35" spans="1:20" x14ac:dyDescent="0.25">
      <c r="A35" s="8">
        <v>456.01</v>
      </c>
      <c r="B35" s="8" t="s">
        <v>275</v>
      </c>
      <c r="D35" s="8">
        <v>73</v>
      </c>
      <c r="F35" s="43">
        <v>20455657.079682089</v>
      </c>
      <c r="G35" s="22">
        <f t="shared" si="26"/>
        <v>10284040.68549601</v>
      </c>
      <c r="H35" s="22">
        <f t="shared" si="26"/>
        <v>2763354.7148942533</v>
      </c>
      <c r="I35" s="22">
        <f t="shared" si="26"/>
        <v>2824578.4965337426</v>
      </c>
      <c r="J35" s="22">
        <f t="shared" si="26"/>
        <v>1892905.1391825413</v>
      </c>
      <c r="K35" s="22">
        <f t="shared" si="26"/>
        <v>1231757.8467101369</v>
      </c>
      <c r="L35" s="22">
        <f t="shared" si="26"/>
        <v>4745.712442486245</v>
      </c>
      <c r="M35" s="22">
        <f t="shared" si="26"/>
        <v>107412.65532541065</v>
      </c>
      <c r="N35" s="22">
        <f t="shared" si="26"/>
        <v>655276.51889053616</v>
      </c>
      <c r="O35" s="22">
        <f t="shared" si="26"/>
        <v>603257.78293690458</v>
      </c>
      <c r="P35" s="22">
        <f t="shared" si="26"/>
        <v>0</v>
      </c>
      <c r="Q35" s="22">
        <f t="shared" si="26"/>
        <v>81822.62831872837</v>
      </c>
      <c r="R35" s="22">
        <f t="shared" si="26"/>
        <v>6504.8989513389051</v>
      </c>
      <c r="T35" s="122">
        <f t="shared" si="20"/>
        <v>0</v>
      </c>
    </row>
    <row r="36" spans="1:20" x14ac:dyDescent="0.25">
      <c r="A36" s="8">
        <v>456.02</v>
      </c>
      <c r="B36" s="8" t="s">
        <v>276</v>
      </c>
      <c r="D36" s="8">
        <v>71</v>
      </c>
      <c r="F36" s="43">
        <v>329248.65000000002</v>
      </c>
      <c r="G36" s="22">
        <f t="shared" si="26"/>
        <v>217511.92661122183</v>
      </c>
      <c r="H36" s="22">
        <f t="shared" si="26"/>
        <v>40737.791703686511</v>
      </c>
      <c r="I36" s="22">
        <f t="shared" si="26"/>
        <v>35498.15661058377</v>
      </c>
      <c r="J36" s="22">
        <f t="shared" si="26"/>
        <v>15105.924325856973</v>
      </c>
      <c r="K36" s="22">
        <f t="shared" si="26"/>
        <v>11051.316136066098</v>
      </c>
      <c r="L36" s="22">
        <f t="shared" si="26"/>
        <v>166.14008165933012</v>
      </c>
      <c r="M36" s="22">
        <f t="shared" si="26"/>
        <v>3539.2583677105708</v>
      </c>
      <c r="N36" s="22">
        <f t="shared" si="26"/>
        <v>4342.9644543350496</v>
      </c>
      <c r="O36" s="22">
        <f t="shared" si="26"/>
        <v>985.76213998042397</v>
      </c>
      <c r="P36" s="22">
        <f t="shared" si="26"/>
        <v>0</v>
      </c>
      <c r="Q36" s="22">
        <f t="shared" si="26"/>
        <v>176.16273390365455</v>
      </c>
      <c r="R36" s="22">
        <f t="shared" si="26"/>
        <v>133.24683499567294</v>
      </c>
      <c r="T36" s="122">
        <f t="shared" si="20"/>
        <v>0</v>
      </c>
    </row>
    <row r="37" spans="1:20" x14ac:dyDescent="0.25">
      <c r="A37" s="8">
        <v>456.03</v>
      </c>
      <c r="B37" s="8" t="s">
        <v>277</v>
      </c>
      <c r="D37" s="8">
        <v>70</v>
      </c>
      <c r="F37" s="43">
        <v>1199230.6200000001</v>
      </c>
      <c r="G37" s="22">
        <f t="shared" si="26"/>
        <v>712590.34556022706</v>
      </c>
      <c r="H37" s="22">
        <f t="shared" si="26"/>
        <v>150545.41668563499</v>
      </c>
      <c r="I37" s="22">
        <f t="shared" si="26"/>
        <v>127642.93736296476</v>
      </c>
      <c r="J37" s="22">
        <f t="shared" si="26"/>
        <v>75307.538037114937</v>
      </c>
      <c r="K37" s="22">
        <f t="shared" si="26"/>
        <v>51233.389093003709</v>
      </c>
      <c r="L37" s="22">
        <f t="shared" si="26"/>
        <v>294.42359974196108</v>
      </c>
      <c r="M37" s="22">
        <f t="shared" si="26"/>
        <v>7035.0916151866559</v>
      </c>
      <c r="N37" s="22">
        <f t="shared" si="26"/>
        <v>26123.390656288906</v>
      </c>
      <c r="O37" s="22">
        <f t="shared" si="26"/>
        <v>20841.743705152057</v>
      </c>
      <c r="P37" s="22">
        <f t="shared" si="26"/>
        <v>12709.161054175234</v>
      </c>
      <c r="Q37" s="22">
        <f t="shared" si="26"/>
        <v>14558.300046955013</v>
      </c>
      <c r="R37" s="22">
        <f t="shared" si="26"/>
        <v>348.88258355502199</v>
      </c>
      <c r="T37" s="122">
        <f t="shared" si="20"/>
        <v>0</v>
      </c>
    </row>
    <row r="38" spans="1:20" x14ac:dyDescent="0.25">
      <c r="A38" s="8">
        <v>456.04</v>
      </c>
      <c r="B38" s="8" t="s">
        <v>278</v>
      </c>
      <c r="D38" s="8">
        <v>57</v>
      </c>
      <c r="F38" s="43">
        <v>138393.73000000001</v>
      </c>
      <c r="G38" s="22">
        <f t="shared" si="26"/>
        <v>93800.797607479923</v>
      </c>
      <c r="H38" s="22">
        <f t="shared" si="26"/>
        <v>17986.07392182609</v>
      </c>
      <c r="I38" s="22">
        <f t="shared" si="26"/>
        <v>13894.399295204452</v>
      </c>
      <c r="J38" s="22">
        <f t="shared" si="26"/>
        <v>5789.6106389511715</v>
      </c>
      <c r="K38" s="22">
        <f t="shared" si="26"/>
        <v>4931.8288555622612</v>
      </c>
      <c r="L38" s="22">
        <f t="shared" si="26"/>
        <v>110.4845144947529</v>
      </c>
      <c r="M38" s="22">
        <f t="shared" si="26"/>
        <v>1379.3908354885102</v>
      </c>
      <c r="N38" s="22">
        <f t="shared" si="26"/>
        <v>312.79321771475526</v>
      </c>
      <c r="O38" s="22">
        <f t="shared" si="26"/>
        <v>0</v>
      </c>
      <c r="P38" s="22">
        <f t="shared" si="26"/>
        <v>0</v>
      </c>
      <c r="Q38" s="22">
        <f t="shared" si="26"/>
        <v>90.35856650261826</v>
      </c>
      <c r="R38" s="22">
        <f t="shared" si="26"/>
        <v>97.992546775496919</v>
      </c>
      <c r="T38" s="122">
        <f t="shared" si="20"/>
        <v>0</v>
      </c>
    </row>
    <row r="39" spans="1:20" x14ac:dyDescent="0.25">
      <c r="A39" s="8">
        <v>456.05</v>
      </c>
      <c r="B39" s="8" t="s">
        <v>279</v>
      </c>
      <c r="D39" s="8">
        <v>73</v>
      </c>
      <c r="F39" s="43">
        <v>16861340.101014063</v>
      </c>
      <c r="G39" s="22">
        <f t="shared" si="26"/>
        <v>8477005.0131046176</v>
      </c>
      <c r="H39" s="22">
        <f t="shared" si="26"/>
        <v>2277798.4342459897</v>
      </c>
      <c r="I39" s="22">
        <f t="shared" si="26"/>
        <v>2328264.4251683257</v>
      </c>
      <c r="J39" s="22">
        <f t="shared" si="26"/>
        <v>1560297.8289275381</v>
      </c>
      <c r="K39" s="22">
        <f t="shared" si="26"/>
        <v>1015322.455522663</v>
      </c>
      <c r="L39" s="22">
        <f t="shared" si="26"/>
        <v>3911.8309034352628</v>
      </c>
      <c r="M39" s="22">
        <f t="shared" si="26"/>
        <v>88538.896870424855</v>
      </c>
      <c r="N39" s="22">
        <f t="shared" si="26"/>
        <v>540136.16879588459</v>
      </c>
      <c r="O39" s="22">
        <f t="shared" si="26"/>
        <v>497257.7809190058</v>
      </c>
      <c r="P39" s="22">
        <f t="shared" si="26"/>
        <v>0</v>
      </c>
      <c r="Q39" s="22">
        <f t="shared" si="26"/>
        <v>67445.360404056264</v>
      </c>
      <c r="R39" s="22">
        <f t="shared" si="26"/>
        <v>5361.9061521224721</v>
      </c>
      <c r="T39" s="122">
        <f t="shared" si="20"/>
        <v>0</v>
      </c>
    </row>
    <row r="40" spans="1:20" x14ac:dyDescent="0.25">
      <c r="A40" s="8">
        <v>456.06</v>
      </c>
      <c r="B40" s="8" t="s">
        <v>280</v>
      </c>
      <c r="F40" s="43">
        <v>0</v>
      </c>
      <c r="G40" s="22">
        <f t="shared" si="26"/>
        <v>0</v>
      </c>
      <c r="H40" s="22">
        <f t="shared" si="26"/>
        <v>0</v>
      </c>
      <c r="I40" s="22">
        <f t="shared" si="26"/>
        <v>0</v>
      </c>
      <c r="J40" s="22">
        <f t="shared" si="26"/>
        <v>0</v>
      </c>
      <c r="K40" s="22">
        <f t="shared" si="26"/>
        <v>0</v>
      </c>
      <c r="L40" s="22">
        <f t="shared" si="26"/>
        <v>0</v>
      </c>
      <c r="M40" s="22">
        <f t="shared" si="26"/>
        <v>0</v>
      </c>
      <c r="N40" s="22">
        <f t="shared" si="26"/>
        <v>0</v>
      </c>
      <c r="O40" s="22">
        <f t="shared" si="26"/>
        <v>0</v>
      </c>
      <c r="P40" s="22">
        <f t="shared" si="26"/>
        <v>0</v>
      </c>
      <c r="Q40" s="22">
        <f t="shared" si="26"/>
        <v>0</v>
      </c>
      <c r="R40" s="22">
        <f t="shared" si="26"/>
        <v>0</v>
      </c>
      <c r="T40" s="122">
        <f t="shared" si="20"/>
        <v>0</v>
      </c>
    </row>
    <row r="41" spans="1:20" x14ac:dyDescent="0.25">
      <c r="A41" s="8">
        <v>456.07</v>
      </c>
      <c r="B41" s="8" t="s">
        <v>281</v>
      </c>
      <c r="D41" s="8">
        <v>73</v>
      </c>
      <c r="F41" s="43">
        <v>25700</v>
      </c>
      <c r="G41" s="22">
        <f t="shared" si="26"/>
        <v>12920.623599999999</v>
      </c>
      <c r="H41" s="22">
        <f t="shared" si="26"/>
        <v>3471.8129999999996</v>
      </c>
      <c r="I41" s="22">
        <f t="shared" si="26"/>
        <v>3548.7331000000008</v>
      </c>
      <c r="J41" s="22">
        <f t="shared" si="26"/>
        <v>2378.2008999999998</v>
      </c>
      <c r="K41" s="22">
        <f t="shared" si="26"/>
        <v>1547.5512000000003</v>
      </c>
      <c r="L41" s="22">
        <f t="shared" si="26"/>
        <v>5.9624000000000006</v>
      </c>
      <c r="M41" s="22">
        <f t="shared" si="26"/>
        <v>134.95070000000001</v>
      </c>
      <c r="N41" s="22">
        <f t="shared" si="26"/>
        <v>823.27380000000016</v>
      </c>
      <c r="O41" s="22">
        <f t="shared" si="26"/>
        <v>757.91870000000006</v>
      </c>
      <c r="P41" s="22">
        <f t="shared" si="26"/>
        <v>0</v>
      </c>
      <c r="Q41" s="22">
        <f t="shared" si="26"/>
        <v>102.80000000000003</v>
      </c>
      <c r="R41" s="22">
        <f t="shared" si="26"/>
        <v>8.172600000000001</v>
      </c>
      <c r="T41" s="122">
        <f t="shared" si="20"/>
        <v>0</v>
      </c>
    </row>
    <row r="42" spans="1:20" x14ac:dyDescent="0.25">
      <c r="A42" s="8">
        <v>456.08</v>
      </c>
      <c r="B42" s="8" t="s">
        <v>282</v>
      </c>
      <c r="F42" s="43">
        <v>42630.26</v>
      </c>
      <c r="G42" s="22">
        <f t="shared" ref="G42:M49" si="27">INDEX(Alloc,($D42),(G$1))*$F42</f>
        <v>0</v>
      </c>
      <c r="H42" s="22">
        <f t="shared" si="27"/>
        <v>0</v>
      </c>
      <c r="I42" s="22">
        <f t="shared" si="27"/>
        <v>0</v>
      </c>
      <c r="J42" s="22">
        <f t="shared" si="27"/>
        <v>0</v>
      </c>
      <c r="K42" s="22">
        <f t="shared" si="27"/>
        <v>0</v>
      </c>
      <c r="L42" s="22">
        <f t="shared" si="27"/>
        <v>0</v>
      </c>
      <c r="M42" s="22">
        <f t="shared" si="27"/>
        <v>0</v>
      </c>
      <c r="N42" s="22">
        <v>0</v>
      </c>
      <c r="O42" s="22">
        <v>0</v>
      </c>
      <c r="P42" s="22">
        <f t="shared" ref="P42:P49" si="28">INDEX(Alloc,($D42),(P$1))*$F42</f>
        <v>0</v>
      </c>
      <c r="Q42" s="22">
        <v>42630</v>
      </c>
      <c r="R42" s="22">
        <f t="shared" ref="R42:R49" si="29">INDEX(Alloc,($D42),(R$1))*$F42</f>
        <v>0</v>
      </c>
      <c r="T42" s="122">
        <f t="shared" si="20"/>
        <v>-0.26000000000203727</v>
      </c>
    </row>
    <row r="43" spans="1:20" x14ac:dyDescent="0.25">
      <c r="A43" s="8">
        <v>456.09</v>
      </c>
      <c r="B43" s="8" t="s">
        <v>283</v>
      </c>
      <c r="F43" s="43">
        <v>-5.0000000046566129E-2</v>
      </c>
      <c r="G43" s="22">
        <f t="shared" si="27"/>
        <v>0</v>
      </c>
      <c r="H43" s="22">
        <f t="shared" si="27"/>
        <v>0</v>
      </c>
      <c r="I43" s="22">
        <f t="shared" si="27"/>
        <v>0</v>
      </c>
      <c r="J43" s="22">
        <f t="shared" si="27"/>
        <v>0</v>
      </c>
      <c r="K43" s="22">
        <f t="shared" si="27"/>
        <v>0</v>
      </c>
      <c r="L43" s="22">
        <f t="shared" si="27"/>
        <v>0</v>
      </c>
      <c r="M43" s="22">
        <f t="shared" si="27"/>
        <v>0</v>
      </c>
      <c r="N43" s="22">
        <f t="shared" ref="N43:O49" si="30">INDEX(Alloc,($D43),(N$1))*$F43</f>
        <v>-4.3054505426942488E-2</v>
      </c>
      <c r="O43" s="22">
        <f t="shared" si="30"/>
        <v>-6.9454946196236388E-3</v>
      </c>
      <c r="P43" s="22">
        <f t="shared" si="28"/>
        <v>0</v>
      </c>
      <c r="Q43" s="22">
        <f t="shared" ref="Q43:Q49" si="31">INDEX(Alloc,($D43),(Q$1))*$F43</f>
        <v>0</v>
      </c>
      <c r="R43" s="22">
        <f t="shared" si="29"/>
        <v>0</v>
      </c>
      <c r="T43" s="122">
        <f t="shared" si="20"/>
        <v>0</v>
      </c>
    </row>
    <row r="44" spans="1:20" x14ac:dyDescent="0.25">
      <c r="A44" s="8">
        <v>456.1</v>
      </c>
      <c r="B44" s="8" t="s">
        <v>284</v>
      </c>
      <c r="D44" s="8">
        <v>73</v>
      </c>
      <c r="F44" s="43">
        <v>84644.75</v>
      </c>
      <c r="G44" s="22">
        <f t="shared" si="27"/>
        <v>42554.978772999995</v>
      </c>
      <c r="H44" s="22">
        <f t="shared" si="27"/>
        <v>11434.659277499999</v>
      </c>
      <c r="I44" s="22">
        <f t="shared" si="27"/>
        <v>11688.001014250003</v>
      </c>
      <c r="J44" s="22">
        <f t="shared" si="27"/>
        <v>7832.7712307499996</v>
      </c>
      <c r="K44" s="22">
        <f t="shared" si="27"/>
        <v>5096.9682660000008</v>
      </c>
      <c r="L44" s="22">
        <f t="shared" si="27"/>
        <v>19.637582000000002</v>
      </c>
      <c r="M44" s="22">
        <f t="shared" si="27"/>
        <v>444.46958225000003</v>
      </c>
      <c r="N44" s="22">
        <f t="shared" si="30"/>
        <v>2711.5099215000005</v>
      </c>
      <c r="O44" s="22">
        <f t="shared" si="30"/>
        <v>2496.2583222500002</v>
      </c>
      <c r="P44" s="22">
        <f t="shared" si="28"/>
        <v>0</v>
      </c>
      <c r="Q44" s="22">
        <f t="shared" si="31"/>
        <v>338.57900000000006</v>
      </c>
      <c r="R44" s="22">
        <f t="shared" si="29"/>
        <v>26.917030500000003</v>
      </c>
      <c r="T44" s="122">
        <f t="shared" si="20"/>
        <v>0</v>
      </c>
    </row>
    <row r="45" spans="1:20" x14ac:dyDescent="0.25">
      <c r="A45" s="8">
        <v>456.11</v>
      </c>
      <c r="B45" s="8" t="s">
        <v>285</v>
      </c>
      <c r="F45" s="43">
        <v>5.0000000046566129E-2</v>
      </c>
      <c r="G45" s="22">
        <f t="shared" si="27"/>
        <v>0</v>
      </c>
      <c r="H45" s="22">
        <f t="shared" si="27"/>
        <v>0</v>
      </c>
      <c r="I45" s="22">
        <f t="shared" si="27"/>
        <v>0</v>
      </c>
      <c r="J45" s="22">
        <f t="shared" si="27"/>
        <v>0</v>
      </c>
      <c r="K45" s="22">
        <f t="shared" si="27"/>
        <v>1.0570452510547845E-3</v>
      </c>
      <c r="L45" s="22">
        <f t="shared" si="27"/>
        <v>0</v>
      </c>
      <c r="M45" s="22">
        <f t="shared" si="27"/>
        <v>0</v>
      </c>
      <c r="N45" s="22">
        <f t="shared" si="30"/>
        <v>2.0105462155454806E-2</v>
      </c>
      <c r="O45" s="22">
        <f t="shared" si="30"/>
        <v>1.9712537532018119E-2</v>
      </c>
      <c r="P45" s="22">
        <f t="shared" si="28"/>
        <v>9.1249551080384104E-3</v>
      </c>
      <c r="Q45" s="22">
        <f t="shared" si="31"/>
        <v>0</v>
      </c>
      <c r="R45" s="22">
        <f t="shared" si="29"/>
        <v>0</v>
      </c>
      <c r="T45" s="122">
        <f t="shared" si="20"/>
        <v>0</v>
      </c>
    </row>
    <row r="46" spans="1:20" x14ac:dyDescent="0.25">
      <c r="A46" s="8">
        <v>456.12</v>
      </c>
      <c r="B46" s="8" t="s">
        <v>286</v>
      </c>
      <c r="D46" s="8">
        <v>73</v>
      </c>
      <c r="F46" s="43">
        <v>296729</v>
      </c>
      <c r="G46" s="22">
        <f t="shared" si="27"/>
        <v>149179.911292</v>
      </c>
      <c r="H46" s="22">
        <f t="shared" si="27"/>
        <v>40085.120609999998</v>
      </c>
      <c r="I46" s="22">
        <f t="shared" si="27"/>
        <v>40973.230507000015</v>
      </c>
      <c r="J46" s="22">
        <f t="shared" si="27"/>
        <v>27458.411473</v>
      </c>
      <c r="K46" s="22">
        <f t="shared" si="27"/>
        <v>17867.833464000003</v>
      </c>
      <c r="L46" s="22">
        <f t="shared" si="27"/>
        <v>68.841128000000012</v>
      </c>
      <c r="M46" s="22">
        <f t="shared" si="27"/>
        <v>1558.1239790000002</v>
      </c>
      <c r="N46" s="22">
        <f t="shared" si="30"/>
        <v>9505.4167860000016</v>
      </c>
      <c r="O46" s="22">
        <f t="shared" si="30"/>
        <v>8750.8349390000003</v>
      </c>
      <c r="P46" s="22">
        <f t="shared" si="28"/>
        <v>0</v>
      </c>
      <c r="Q46" s="22">
        <f t="shared" si="31"/>
        <v>1186.9160000000004</v>
      </c>
      <c r="R46" s="22">
        <f t="shared" si="29"/>
        <v>94.359822000000008</v>
      </c>
      <c r="T46" s="122">
        <f t="shared" si="20"/>
        <v>0</v>
      </c>
    </row>
    <row r="47" spans="1:20" x14ac:dyDescent="0.25">
      <c r="A47" s="8">
        <v>456.13</v>
      </c>
      <c r="B47" s="8" t="s">
        <v>287</v>
      </c>
      <c r="D47" s="8">
        <v>68</v>
      </c>
      <c r="F47" s="43">
        <v>262398.86</v>
      </c>
      <c r="G47" s="22">
        <f t="shared" si="27"/>
        <v>170920.61154794315</v>
      </c>
      <c r="H47" s="22">
        <f t="shared" si="27"/>
        <v>31864.308379235277</v>
      </c>
      <c r="I47" s="22">
        <f t="shared" si="27"/>
        <v>25524.651228190134</v>
      </c>
      <c r="J47" s="22">
        <f t="shared" si="27"/>
        <v>11171.414762133722</v>
      </c>
      <c r="K47" s="22">
        <f t="shared" si="27"/>
        <v>8658.6194781599406</v>
      </c>
      <c r="L47" s="22">
        <f t="shared" si="27"/>
        <v>92.266751541258813</v>
      </c>
      <c r="M47" s="22">
        <f t="shared" si="27"/>
        <v>2300.2294476183829</v>
      </c>
      <c r="N47" s="22">
        <f t="shared" si="30"/>
        <v>3866.3459224475905</v>
      </c>
      <c r="O47" s="22">
        <f t="shared" si="30"/>
        <v>1651.2750817758051</v>
      </c>
      <c r="P47" s="22">
        <f t="shared" si="28"/>
        <v>547.38749813027403</v>
      </c>
      <c r="Q47" s="22">
        <f t="shared" si="31"/>
        <v>5708.7498724986099</v>
      </c>
      <c r="R47" s="22">
        <f t="shared" si="29"/>
        <v>93.000030325873112</v>
      </c>
      <c r="T47" s="122">
        <f t="shared" si="20"/>
        <v>0</v>
      </c>
    </row>
    <row r="48" spans="1:20" x14ac:dyDescent="0.25">
      <c r="A48" s="8">
        <v>456.14</v>
      </c>
      <c r="B48" s="8" t="s">
        <v>288</v>
      </c>
      <c r="D48" s="8">
        <v>68</v>
      </c>
      <c r="F48" s="43">
        <v>305.69000000227243</v>
      </c>
      <c r="G48" s="22">
        <f t="shared" si="27"/>
        <v>199.1194692861057</v>
      </c>
      <c r="H48" s="22">
        <f t="shared" si="27"/>
        <v>37.121351931638884</v>
      </c>
      <c r="I48" s="22">
        <f t="shared" si="27"/>
        <v>29.735764225513194</v>
      </c>
      <c r="J48" s="22">
        <f t="shared" si="27"/>
        <v>13.014499295698327</v>
      </c>
      <c r="K48" s="22">
        <f t="shared" si="27"/>
        <v>10.087137529097452</v>
      </c>
      <c r="L48" s="22">
        <f t="shared" si="27"/>
        <v>0.10748912277613203</v>
      </c>
      <c r="M48" s="22">
        <f t="shared" si="27"/>
        <v>2.6797263518892218</v>
      </c>
      <c r="N48" s="22">
        <f t="shared" si="30"/>
        <v>4.5042241610416678</v>
      </c>
      <c r="O48" s="22">
        <f t="shared" si="30"/>
        <v>1.9237060700332245</v>
      </c>
      <c r="P48" s="22">
        <f t="shared" si="28"/>
        <v>0.63769668932512658</v>
      </c>
      <c r="Q48" s="22">
        <f t="shared" si="31"/>
        <v>6.6505919596490353</v>
      </c>
      <c r="R48" s="22">
        <f t="shared" si="29"/>
        <v>0.10834337950449743</v>
      </c>
      <c r="T48" s="122">
        <f t="shared" si="20"/>
        <v>0</v>
      </c>
    </row>
    <row r="49" spans="1:20" x14ac:dyDescent="0.25">
      <c r="A49" s="8">
        <v>456.15</v>
      </c>
      <c r="B49" s="10" t="s">
        <v>289</v>
      </c>
      <c r="C49" s="10"/>
      <c r="D49" s="10"/>
      <c r="E49" s="10"/>
      <c r="F49" s="44">
        <v>0</v>
      </c>
      <c r="G49" s="119">
        <f t="shared" si="27"/>
        <v>0</v>
      </c>
      <c r="H49" s="119">
        <f t="shared" si="27"/>
        <v>0</v>
      </c>
      <c r="I49" s="119">
        <f t="shared" si="27"/>
        <v>0</v>
      </c>
      <c r="J49" s="119">
        <f t="shared" si="27"/>
        <v>0</v>
      </c>
      <c r="K49" s="119">
        <f t="shared" si="27"/>
        <v>0</v>
      </c>
      <c r="L49" s="119">
        <f t="shared" si="27"/>
        <v>0</v>
      </c>
      <c r="M49" s="119">
        <f t="shared" si="27"/>
        <v>0</v>
      </c>
      <c r="N49" s="119">
        <f t="shared" si="30"/>
        <v>0</v>
      </c>
      <c r="O49" s="119">
        <f t="shared" si="30"/>
        <v>0</v>
      </c>
      <c r="P49" s="119">
        <f t="shared" si="28"/>
        <v>0</v>
      </c>
      <c r="Q49" s="119">
        <f t="shared" si="31"/>
        <v>0</v>
      </c>
      <c r="R49" s="119">
        <f t="shared" si="29"/>
        <v>0</v>
      </c>
      <c r="T49" s="122">
        <f t="shared" si="20"/>
        <v>0</v>
      </c>
    </row>
    <row r="50" spans="1:20" ht="16.5" thickBot="1" x14ac:dyDescent="0.3">
      <c r="B50" s="123" t="s">
        <v>290</v>
      </c>
      <c r="C50" s="18"/>
      <c r="D50" s="18"/>
      <c r="E50" s="18"/>
      <c r="F50" s="124">
        <f>SUM(F20:F49)</f>
        <v>73686618.340696141</v>
      </c>
      <c r="G50" s="124">
        <f t="shared" ref="G50:R50" si="32">SUM(G20:G49)</f>
        <v>39499090.09411487</v>
      </c>
      <c r="H50" s="124">
        <f t="shared" si="32"/>
        <v>12172802.34951777</v>
      </c>
      <c r="I50" s="124">
        <f t="shared" si="32"/>
        <v>7163854.4968758132</v>
      </c>
      <c r="J50" s="124">
        <f t="shared" si="32"/>
        <v>4265752.216354318</v>
      </c>
      <c r="K50" s="124">
        <f t="shared" si="32"/>
        <v>3574003.6323167733</v>
      </c>
      <c r="L50" s="124">
        <f t="shared" ref="L50:M50" si="33">SUM(L20:L49)</f>
        <v>19543.908277116574</v>
      </c>
      <c r="M50" s="124">
        <f t="shared" si="33"/>
        <v>362921.07548361464</v>
      </c>
      <c r="N50" s="124">
        <f t="shared" si="32"/>
        <v>1387764.476656049</v>
      </c>
      <c r="O50" s="124">
        <f t="shared" si="32"/>
        <v>4032397.2658952945</v>
      </c>
      <c r="P50" s="124">
        <f t="shared" si="32"/>
        <v>877862.04748307029</v>
      </c>
      <c r="Q50" s="124">
        <f t="shared" si="32"/>
        <v>305314.03696007107</v>
      </c>
      <c r="R50" s="124">
        <f t="shared" si="32"/>
        <v>25312.480761385268</v>
      </c>
      <c r="T50" s="122">
        <f t="shared" si="20"/>
        <v>-0.26000000536441803</v>
      </c>
    </row>
    <row r="51" spans="1:20" ht="16.5" thickTop="1" x14ac:dyDescent="0.25">
      <c r="B51" s="30" t="s">
        <v>291</v>
      </c>
      <c r="F51" s="46">
        <f>SUM(F13,F17,F50)</f>
        <v>2067334450.1216047</v>
      </c>
      <c r="G51" s="46">
        <f t="shared" ref="G51:R51" si="34">SUM(G13,G17,G50)</f>
        <v>1121281559.5490956</v>
      </c>
      <c r="H51" s="46">
        <f t="shared" si="34"/>
        <v>283189274.60703319</v>
      </c>
      <c r="I51" s="46">
        <f t="shared" si="34"/>
        <v>264249097.8164517</v>
      </c>
      <c r="J51" s="46">
        <f t="shared" si="34"/>
        <v>158889955.62827751</v>
      </c>
      <c r="K51" s="46">
        <f t="shared" si="34"/>
        <v>106783851.26480289</v>
      </c>
      <c r="L51" s="46">
        <f t="shared" ref="L51:M51" si="35">SUM(L13,L17,L50)</f>
        <v>274751.39922199468</v>
      </c>
      <c r="M51" s="46">
        <f t="shared" si="35"/>
        <v>10859035.096826524</v>
      </c>
      <c r="N51" s="46">
        <f t="shared" si="34"/>
        <v>50190030.825484604</v>
      </c>
      <c r="O51" s="46">
        <f t="shared" si="34"/>
        <v>45281476.513547875</v>
      </c>
      <c r="P51" s="46">
        <f t="shared" si="34"/>
        <v>8391141.0474830698</v>
      </c>
      <c r="Q51" s="46">
        <f t="shared" si="34"/>
        <v>17592988.467044178</v>
      </c>
      <c r="R51" s="46">
        <f t="shared" si="34"/>
        <v>351287.38645307167</v>
      </c>
      <c r="T51" s="122">
        <f t="shared" si="20"/>
        <v>-0.5198824405670166</v>
      </c>
    </row>
  </sheetData>
  <mergeCells count="3">
    <mergeCell ref="A2:R2"/>
    <mergeCell ref="A3:R3"/>
    <mergeCell ref="A4:R4"/>
  </mergeCells>
  <pageMargins left="0.7" right="0.7" top="0.75" bottom="0.75" header="0.3" footer="0.3"/>
  <pageSetup scale="45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3"/>
  <sheetViews>
    <sheetView topLeftCell="A107" workbookViewId="0">
      <selection activeCell="E109" sqref="E109"/>
    </sheetView>
  </sheetViews>
  <sheetFormatPr defaultRowHeight="15.75" x14ac:dyDescent="0.25"/>
  <cols>
    <col min="1" max="1" width="9.140625" style="67"/>
    <col min="2" max="2" width="62.7109375" style="67" customWidth="1"/>
    <col min="3" max="3" width="16.7109375" style="67" customWidth="1"/>
    <col min="4" max="4" width="11.85546875" style="67" bestFit="1" customWidth="1"/>
    <col min="5" max="5" width="18.85546875" style="67" bestFit="1" customWidth="1"/>
    <col min="6" max="6" width="18.7109375" style="67" bestFit="1" customWidth="1"/>
    <col min="7" max="10" width="17.28515625" style="67" bestFit="1" customWidth="1"/>
    <col min="11" max="11" width="12.7109375" style="67" bestFit="1" customWidth="1"/>
    <col min="12" max="14" width="15.42578125" style="67" bestFit="1" customWidth="1"/>
    <col min="15" max="15" width="17.28515625" style="67" bestFit="1" customWidth="1"/>
    <col min="16" max="16" width="14.140625" style="67" bestFit="1" customWidth="1"/>
    <col min="17" max="17" width="12.7109375" style="67" bestFit="1" customWidth="1"/>
    <col min="18" max="18" width="13.28515625" style="67" customWidth="1"/>
    <col min="19" max="19" width="17.5703125" style="67" bestFit="1" customWidth="1"/>
    <col min="20" max="21" width="16.7109375" style="67" bestFit="1" customWidth="1"/>
    <col min="22" max="22" width="6.7109375" style="67" customWidth="1"/>
    <col min="23" max="23" width="16.7109375" style="67" bestFit="1" customWidth="1"/>
    <col min="24" max="24" width="17.5703125" style="67" bestFit="1" customWidth="1"/>
    <col min="25" max="255" width="9.140625" style="67"/>
    <col min="256" max="256" width="72" style="67" customWidth="1"/>
    <col min="257" max="257" width="16.7109375" style="67" customWidth="1"/>
    <col min="258" max="258" width="16.140625" style="67" bestFit="1" customWidth="1"/>
    <col min="259" max="262" width="16.5703125" style="67" bestFit="1" customWidth="1"/>
    <col min="263" max="263" width="16.5703125" style="67" customWidth="1"/>
    <col min="264" max="265" width="16.5703125" style="67" bestFit="1" customWidth="1"/>
    <col min="266" max="266" width="16.5703125" style="67" customWidth="1"/>
    <col min="267" max="267" width="16.5703125" style="67" bestFit="1" customWidth="1"/>
    <col min="268" max="268" width="15.28515625" style="67" bestFit="1" customWidth="1"/>
    <col min="269" max="269" width="12.28515625" style="67" bestFit="1" customWidth="1"/>
    <col min="270" max="270" width="13.28515625" style="67" customWidth="1"/>
    <col min="271" max="271" width="6.7109375" style="67" customWidth="1"/>
    <col min="272" max="274" width="16.5703125" style="67" bestFit="1" customWidth="1"/>
    <col min="275" max="277" width="6.7109375" style="67" customWidth="1"/>
    <col min="278" max="279" width="16.5703125" style="67" bestFit="1" customWidth="1"/>
    <col min="280" max="280" width="6.7109375" style="67" customWidth="1"/>
    <col min="281" max="511" width="9.140625" style="67"/>
    <col min="512" max="512" width="72" style="67" customWidth="1"/>
    <col min="513" max="513" width="16.7109375" style="67" customWidth="1"/>
    <col min="514" max="514" width="16.140625" style="67" bestFit="1" customWidth="1"/>
    <col min="515" max="518" width="16.5703125" style="67" bestFit="1" customWidth="1"/>
    <col min="519" max="519" width="16.5703125" style="67" customWidth="1"/>
    <col min="520" max="521" width="16.5703125" style="67" bestFit="1" customWidth="1"/>
    <col min="522" max="522" width="16.5703125" style="67" customWidth="1"/>
    <col min="523" max="523" width="16.5703125" style="67" bestFit="1" customWidth="1"/>
    <col min="524" max="524" width="15.28515625" style="67" bestFit="1" customWidth="1"/>
    <col min="525" max="525" width="12.28515625" style="67" bestFit="1" customWidth="1"/>
    <col min="526" max="526" width="13.28515625" style="67" customWidth="1"/>
    <col min="527" max="527" width="6.7109375" style="67" customWidth="1"/>
    <col min="528" max="530" width="16.5703125" style="67" bestFit="1" customWidth="1"/>
    <col min="531" max="533" width="6.7109375" style="67" customWidth="1"/>
    <col min="534" max="535" width="16.5703125" style="67" bestFit="1" customWidth="1"/>
    <col min="536" max="536" width="6.7109375" style="67" customWidth="1"/>
    <col min="537" max="767" width="9.140625" style="67"/>
    <col min="768" max="768" width="72" style="67" customWidth="1"/>
    <col min="769" max="769" width="16.7109375" style="67" customWidth="1"/>
    <col min="770" max="770" width="16.140625" style="67" bestFit="1" customWidth="1"/>
    <col min="771" max="774" width="16.5703125" style="67" bestFit="1" customWidth="1"/>
    <col min="775" max="775" width="16.5703125" style="67" customWidth="1"/>
    <col min="776" max="777" width="16.5703125" style="67" bestFit="1" customWidth="1"/>
    <col min="778" max="778" width="16.5703125" style="67" customWidth="1"/>
    <col min="779" max="779" width="16.5703125" style="67" bestFit="1" customWidth="1"/>
    <col min="780" max="780" width="15.28515625" style="67" bestFit="1" customWidth="1"/>
    <col min="781" max="781" width="12.28515625" style="67" bestFit="1" customWidth="1"/>
    <col min="782" max="782" width="13.28515625" style="67" customWidth="1"/>
    <col min="783" max="783" width="6.7109375" style="67" customWidth="1"/>
    <col min="784" max="786" width="16.5703125" style="67" bestFit="1" customWidth="1"/>
    <col min="787" max="789" width="6.7109375" style="67" customWidth="1"/>
    <col min="790" max="791" width="16.5703125" style="67" bestFit="1" customWidth="1"/>
    <col min="792" max="792" width="6.7109375" style="67" customWidth="1"/>
    <col min="793" max="1023" width="9.140625" style="67"/>
    <col min="1024" max="1024" width="72" style="67" customWidth="1"/>
    <col min="1025" max="1025" width="16.7109375" style="67" customWidth="1"/>
    <col min="1026" max="1026" width="16.140625" style="67" bestFit="1" customWidth="1"/>
    <col min="1027" max="1030" width="16.5703125" style="67" bestFit="1" customWidth="1"/>
    <col min="1031" max="1031" width="16.5703125" style="67" customWidth="1"/>
    <col min="1032" max="1033" width="16.5703125" style="67" bestFit="1" customWidth="1"/>
    <col min="1034" max="1034" width="16.5703125" style="67" customWidth="1"/>
    <col min="1035" max="1035" width="16.5703125" style="67" bestFit="1" customWidth="1"/>
    <col min="1036" max="1036" width="15.28515625" style="67" bestFit="1" customWidth="1"/>
    <col min="1037" max="1037" width="12.28515625" style="67" bestFit="1" customWidth="1"/>
    <col min="1038" max="1038" width="13.28515625" style="67" customWidth="1"/>
    <col min="1039" max="1039" width="6.7109375" style="67" customWidth="1"/>
    <col min="1040" max="1042" width="16.5703125" style="67" bestFit="1" customWidth="1"/>
    <col min="1043" max="1045" width="6.7109375" style="67" customWidth="1"/>
    <col min="1046" max="1047" width="16.5703125" style="67" bestFit="1" customWidth="1"/>
    <col min="1048" max="1048" width="6.7109375" style="67" customWidth="1"/>
    <col min="1049" max="1279" width="9.140625" style="67"/>
    <col min="1280" max="1280" width="72" style="67" customWidth="1"/>
    <col min="1281" max="1281" width="16.7109375" style="67" customWidth="1"/>
    <col min="1282" max="1282" width="16.140625" style="67" bestFit="1" customWidth="1"/>
    <col min="1283" max="1286" width="16.5703125" style="67" bestFit="1" customWidth="1"/>
    <col min="1287" max="1287" width="16.5703125" style="67" customWidth="1"/>
    <col min="1288" max="1289" width="16.5703125" style="67" bestFit="1" customWidth="1"/>
    <col min="1290" max="1290" width="16.5703125" style="67" customWidth="1"/>
    <col min="1291" max="1291" width="16.5703125" style="67" bestFit="1" customWidth="1"/>
    <col min="1292" max="1292" width="15.28515625" style="67" bestFit="1" customWidth="1"/>
    <col min="1293" max="1293" width="12.28515625" style="67" bestFit="1" customWidth="1"/>
    <col min="1294" max="1294" width="13.28515625" style="67" customWidth="1"/>
    <col min="1295" max="1295" width="6.7109375" style="67" customWidth="1"/>
    <col min="1296" max="1298" width="16.5703125" style="67" bestFit="1" customWidth="1"/>
    <col min="1299" max="1301" width="6.7109375" style="67" customWidth="1"/>
    <col min="1302" max="1303" width="16.5703125" style="67" bestFit="1" customWidth="1"/>
    <col min="1304" max="1304" width="6.7109375" style="67" customWidth="1"/>
    <col min="1305" max="1535" width="9.140625" style="67"/>
    <col min="1536" max="1536" width="72" style="67" customWidth="1"/>
    <col min="1537" max="1537" width="16.7109375" style="67" customWidth="1"/>
    <col min="1538" max="1538" width="16.140625" style="67" bestFit="1" customWidth="1"/>
    <col min="1539" max="1542" width="16.5703125" style="67" bestFit="1" customWidth="1"/>
    <col min="1543" max="1543" width="16.5703125" style="67" customWidth="1"/>
    <col min="1544" max="1545" width="16.5703125" style="67" bestFit="1" customWidth="1"/>
    <col min="1546" max="1546" width="16.5703125" style="67" customWidth="1"/>
    <col min="1547" max="1547" width="16.5703125" style="67" bestFit="1" customWidth="1"/>
    <col min="1548" max="1548" width="15.28515625" style="67" bestFit="1" customWidth="1"/>
    <col min="1549" max="1549" width="12.28515625" style="67" bestFit="1" customWidth="1"/>
    <col min="1550" max="1550" width="13.28515625" style="67" customWidth="1"/>
    <col min="1551" max="1551" width="6.7109375" style="67" customWidth="1"/>
    <col min="1552" max="1554" width="16.5703125" style="67" bestFit="1" customWidth="1"/>
    <col min="1555" max="1557" width="6.7109375" style="67" customWidth="1"/>
    <col min="1558" max="1559" width="16.5703125" style="67" bestFit="1" customWidth="1"/>
    <col min="1560" max="1560" width="6.7109375" style="67" customWidth="1"/>
    <col min="1561" max="1791" width="9.140625" style="67"/>
    <col min="1792" max="1792" width="72" style="67" customWidth="1"/>
    <col min="1793" max="1793" width="16.7109375" style="67" customWidth="1"/>
    <col min="1794" max="1794" width="16.140625" style="67" bestFit="1" customWidth="1"/>
    <col min="1795" max="1798" width="16.5703125" style="67" bestFit="1" customWidth="1"/>
    <col min="1799" max="1799" width="16.5703125" style="67" customWidth="1"/>
    <col min="1800" max="1801" width="16.5703125" style="67" bestFit="1" customWidth="1"/>
    <col min="1802" max="1802" width="16.5703125" style="67" customWidth="1"/>
    <col min="1803" max="1803" width="16.5703125" style="67" bestFit="1" customWidth="1"/>
    <col min="1804" max="1804" width="15.28515625" style="67" bestFit="1" customWidth="1"/>
    <col min="1805" max="1805" width="12.28515625" style="67" bestFit="1" customWidth="1"/>
    <col min="1806" max="1806" width="13.28515625" style="67" customWidth="1"/>
    <col min="1807" max="1807" width="6.7109375" style="67" customWidth="1"/>
    <col min="1808" max="1810" width="16.5703125" style="67" bestFit="1" customWidth="1"/>
    <col min="1811" max="1813" width="6.7109375" style="67" customWidth="1"/>
    <col min="1814" max="1815" width="16.5703125" style="67" bestFit="1" customWidth="1"/>
    <col min="1816" max="1816" width="6.7109375" style="67" customWidth="1"/>
    <col min="1817" max="2047" width="9.140625" style="67"/>
    <col min="2048" max="2048" width="72" style="67" customWidth="1"/>
    <col min="2049" max="2049" width="16.7109375" style="67" customWidth="1"/>
    <col min="2050" max="2050" width="16.140625" style="67" bestFit="1" customWidth="1"/>
    <col min="2051" max="2054" width="16.5703125" style="67" bestFit="1" customWidth="1"/>
    <col min="2055" max="2055" width="16.5703125" style="67" customWidth="1"/>
    <col min="2056" max="2057" width="16.5703125" style="67" bestFit="1" customWidth="1"/>
    <col min="2058" max="2058" width="16.5703125" style="67" customWidth="1"/>
    <col min="2059" max="2059" width="16.5703125" style="67" bestFit="1" customWidth="1"/>
    <col min="2060" max="2060" width="15.28515625" style="67" bestFit="1" customWidth="1"/>
    <col min="2061" max="2061" width="12.28515625" style="67" bestFit="1" customWidth="1"/>
    <col min="2062" max="2062" width="13.28515625" style="67" customWidth="1"/>
    <col min="2063" max="2063" width="6.7109375" style="67" customWidth="1"/>
    <col min="2064" max="2066" width="16.5703125" style="67" bestFit="1" customWidth="1"/>
    <col min="2067" max="2069" width="6.7109375" style="67" customWidth="1"/>
    <col min="2070" max="2071" width="16.5703125" style="67" bestFit="1" customWidth="1"/>
    <col min="2072" max="2072" width="6.7109375" style="67" customWidth="1"/>
    <col min="2073" max="2303" width="9.140625" style="67"/>
    <col min="2304" max="2304" width="72" style="67" customWidth="1"/>
    <col min="2305" max="2305" width="16.7109375" style="67" customWidth="1"/>
    <col min="2306" max="2306" width="16.140625" style="67" bestFit="1" customWidth="1"/>
    <col min="2307" max="2310" width="16.5703125" style="67" bestFit="1" customWidth="1"/>
    <col min="2311" max="2311" width="16.5703125" style="67" customWidth="1"/>
    <col min="2312" max="2313" width="16.5703125" style="67" bestFit="1" customWidth="1"/>
    <col min="2314" max="2314" width="16.5703125" style="67" customWidth="1"/>
    <col min="2315" max="2315" width="16.5703125" style="67" bestFit="1" customWidth="1"/>
    <col min="2316" max="2316" width="15.28515625" style="67" bestFit="1" customWidth="1"/>
    <col min="2317" max="2317" width="12.28515625" style="67" bestFit="1" customWidth="1"/>
    <col min="2318" max="2318" width="13.28515625" style="67" customWidth="1"/>
    <col min="2319" max="2319" width="6.7109375" style="67" customWidth="1"/>
    <col min="2320" max="2322" width="16.5703125" style="67" bestFit="1" customWidth="1"/>
    <col min="2323" max="2325" width="6.7109375" style="67" customWidth="1"/>
    <col min="2326" max="2327" width="16.5703125" style="67" bestFit="1" customWidth="1"/>
    <col min="2328" max="2328" width="6.7109375" style="67" customWidth="1"/>
    <col min="2329" max="2559" width="9.140625" style="67"/>
    <col min="2560" max="2560" width="72" style="67" customWidth="1"/>
    <col min="2561" max="2561" width="16.7109375" style="67" customWidth="1"/>
    <col min="2562" max="2562" width="16.140625" style="67" bestFit="1" customWidth="1"/>
    <col min="2563" max="2566" width="16.5703125" style="67" bestFit="1" customWidth="1"/>
    <col min="2567" max="2567" width="16.5703125" style="67" customWidth="1"/>
    <col min="2568" max="2569" width="16.5703125" style="67" bestFit="1" customWidth="1"/>
    <col min="2570" max="2570" width="16.5703125" style="67" customWidth="1"/>
    <col min="2571" max="2571" width="16.5703125" style="67" bestFit="1" customWidth="1"/>
    <col min="2572" max="2572" width="15.28515625" style="67" bestFit="1" customWidth="1"/>
    <col min="2573" max="2573" width="12.28515625" style="67" bestFit="1" customWidth="1"/>
    <col min="2574" max="2574" width="13.28515625" style="67" customWidth="1"/>
    <col min="2575" max="2575" width="6.7109375" style="67" customWidth="1"/>
    <col min="2576" max="2578" width="16.5703125" style="67" bestFit="1" customWidth="1"/>
    <col min="2579" max="2581" width="6.7109375" style="67" customWidth="1"/>
    <col min="2582" max="2583" width="16.5703125" style="67" bestFit="1" customWidth="1"/>
    <col min="2584" max="2584" width="6.7109375" style="67" customWidth="1"/>
    <col min="2585" max="2815" width="9.140625" style="67"/>
    <col min="2816" max="2816" width="72" style="67" customWidth="1"/>
    <col min="2817" max="2817" width="16.7109375" style="67" customWidth="1"/>
    <col min="2818" max="2818" width="16.140625" style="67" bestFit="1" customWidth="1"/>
    <col min="2819" max="2822" width="16.5703125" style="67" bestFit="1" customWidth="1"/>
    <col min="2823" max="2823" width="16.5703125" style="67" customWidth="1"/>
    <col min="2824" max="2825" width="16.5703125" style="67" bestFit="1" customWidth="1"/>
    <col min="2826" max="2826" width="16.5703125" style="67" customWidth="1"/>
    <col min="2827" max="2827" width="16.5703125" style="67" bestFit="1" customWidth="1"/>
    <col min="2828" max="2828" width="15.28515625" style="67" bestFit="1" customWidth="1"/>
    <col min="2829" max="2829" width="12.28515625" style="67" bestFit="1" customWidth="1"/>
    <col min="2830" max="2830" width="13.28515625" style="67" customWidth="1"/>
    <col min="2831" max="2831" width="6.7109375" style="67" customWidth="1"/>
    <col min="2832" max="2834" width="16.5703125" style="67" bestFit="1" customWidth="1"/>
    <col min="2835" max="2837" width="6.7109375" style="67" customWidth="1"/>
    <col min="2838" max="2839" width="16.5703125" style="67" bestFit="1" customWidth="1"/>
    <col min="2840" max="2840" width="6.7109375" style="67" customWidth="1"/>
    <col min="2841" max="3071" width="9.140625" style="67"/>
    <col min="3072" max="3072" width="72" style="67" customWidth="1"/>
    <col min="3073" max="3073" width="16.7109375" style="67" customWidth="1"/>
    <col min="3074" max="3074" width="16.140625" style="67" bestFit="1" customWidth="1"/>
    <col min="3075" max="3078" width="16.5703125" style="67" bestFit="1" customWidth="1"/>
    <col min="3079" max="3079" width="16.5703125" style="67" customWidth="1"/>
    <col min="3080" max="3081" width="16.5703125" style="67" bestFit="1" customWidth="1"/>
    <col min="3082" max="3082" width="16.5703125" style="67" customWidth="1"/>
    <col min="3083" max="3083" width="16.5703125" style="67" bestFit="1" customWidth="1"/>
    <col min="3084" max="3084" width="15.28515625" style="67" bestFit="1" customWidth="1"/>
    <col min="3085" max="3085" width="12.28515625" style="67" bestFit="1" customWidth="1"/>
    <col min="3086" max="3086" width="13.28515625" style="67" customWidth="1"/>
    <col min="3087" max="3087" width="6.7109375" style="67" customWidth="1"/>
    <col min="3088" max="3090" width="16.5703125" style="67" bestFit="1" customWidth="1"/>
    <col min="3091" max="3093" width="6.7109375" style="67" customWidth="1"/>
    <col min="3094" max="3095" width="16.5703125" style="67" bestFit="1" customWidth="1"/>
    <col min="3096" max="3096" width="6.7109375" style="67" customWidth="1"/>
    <col min="3097" max="3327" width="9.140625" style="67"/>
    <col min="3328" max="3328" width="72" style="67" customWidth="1"/>
    <col min="3329" max="3329" width="16.7109375" style="67" customWidth="1"/>
    <col min="3330" max="3330" width="16.140625" style="67" bestFit="1" customWidth="1"/>
    <col min="3331" max="3334" width="16.5703125" style="67" bestFit="1" customWidth="1"/>
    <col min="3335" max="3335" width="16.5703125" style="67" customWidth="1"/>
    <col min="3336" max="3337" width="16.5703125" style="67" bestFit="1" customWidth="1"/>
    <col min="3338" max="3338" width="16.5703125" style="67" customWidth="1"/>
    <col min="3339" max="3339" width="16.5703125" style="67" bestFit="1" customWidth="1"/>
    <col min="3340" max="3340" width="15.28515625" style="67" bestFit="1" customWidth="1"/>
    <col min="3341" max="3341" width="12.28515625" style="67" bestFit="1" customWidth="1"/>
    <col min="3342" max="3342" width="13.28515625" style="67" customWidth="1"/>
    <col min="3343" max="3343" width="6.7109375" style="67" customWidth="1"/>
    <col min="3344" max="3346" width="16.5703125" style="67" bestFit="1" customWidth="1"/>
    <col min="3347" max="3349" width="6.7109375" style="67" customWidth="1"/>
    <col min="3350" max="3351" width="16.5703125" style="67" bestFit="1" customWidth="1"/>
    <col min="3352" max="3352" width="6.7109375" style="67" customWidth="1"/>
    <col min="3353" max="3583" width="9.140625" style="67"/>
    <col min="3584" max="3584" width="72" style="67" customWidth="1"/>
    <col min="3585" max="3585" width="16.7109375" style="67" customWidth="1"/>
    <col min="3586" max="3586" width="16.140625" style="67" bestFit="1" customWidth="1"/>
    <col min="3587" max="3590" width="16.5703125" style="67" bestFit="1" customWidth="1"/>
    <col min="3591" max="3591" width="16.5703125" style="67" customWidth="1"/>
    <col min="3592" max="3593" width="16.5703125" style="67" bestFit="1" customWidth="1"/>
    <col min="3594" max="3594" width="16.5703125" style="67" customWidth="1"/>
    <col min="3595" max="3595" width="16.5703125" style="67" bestFit="1" customWidth="1"/>
    <col min="3596" max="3596" width="15.28515625" style="67" bestFit="1" customWidth="1"/>
    <col min="3597" max="3597" width="12.28515625" style="67" bestFit="1" customWidth="1"/>
    <col min="3598" max="3598" width="13.28515625" style="67" customWidth="1"/>
    <col min="3599" max="3599" width="6.7109375" style="67" customWidth="1"/>
    <col min="3600" max="3602" width="16.5703125" style="67" bestFit="1" customWidth="1"/>
    <col min="3603" max="3605" width="6.7109375" style="67" customWidth="1"/>
    <col min="3606" max="3607" width="16.5703125" style="67" bestFit="1" customWidth="1"/>
    <col min="3608" max="3608" width="6.7109375" style="67" customWidth="1"/>
    <col min="3609" max="3839" width="9.140625" style="67"/>
    <col min="3840" max="3840" width="72" style="67" customWidth="1"/>
    <col min="3841" max="3841" width="16.7109375" style="67" customWidth="1"/>
    <col min="3842" max="3842" width="16.140625" style="67" bestFit="1" customWidth="1"/>
    <col min="3843" max="3846" width="16.5703125" style="67" bestFit="1" customWidth="1"/>
    <col min="3847" max="3847" width="16.5703125" style="67" customWidth="1"/>
    <col min="3848" max="3849" width="16.5703125" style="67" bestFit="1" customWidth="1"/>
    <col min="3850" max="3850" width="16.5703125" style="67" customWidth="1"/>
    <col min="3851" max="3851" width="16.5703125" style="67" bestFit="1" customWidth="1"/>
    <col min="3852" max="3852" width="15.28515625" style="67" bestFit="1" customWidth="1"/>
    <col min="3853" max="3853" width="12.28515625" style="67" bestFit="1" customWidth="1"/>
    <col min="3854" max="3854" width="13.28515625" style="67" customWidth="1"/>
    <col min="3855" max="3855" width="6.7109375" style="67" customWidth="1"/>
    <col min="3856" max="3858" width="16.5703125" style="67" bestFit="1" customWidth="1"/>
    <col min="3859" max="3861" width="6.7109375" style="67" customWidth="1"/>
    <col min="3862" max="3863" width="16.5703125" style="67" bestFit="1" customWidth="1"/>
    <col min="3864" max="3864" width="6.7109375" style="67" customWidth="1"/>
    <col min="3865" max="4095" width="9.140625" style="67"/>
    <col min="4096" max="4096" width="72" style="67" customWidth="1"/>
    <col min="4097" max="4097" width="16.7109375" style="67" customWidth="1"/>
    <col min="4098" max="4098" width="16.140625" style="67" bestFit="1" customWidth="1"/>
    <col min="4099" max="4102" width="16.5703125" style="67" bestFit="1" customWidth="1"/>
    <col min="4103" max="4103" width="16.5703125" style="67" customWidth="1"/>
    <col min="4104" max="4105" width="16.5703125" style="67" bestFit="1" customWidth="1"/>
    <col min="4106" max="4106" width="16.5703125" style="67" customWidth="1"/>
    <col min="4107" max="4107" width="16.5703125" style="67" bestFit="1" customWidth="1"/>
    <col min="4108" max="4108" width="15.28515625" style="67" bestFit="1" customWidth="1"/>
    <col min="4109" max="4109" width="12.28515625" style="67" bestFit="1" customWidth="1"/>
    <col min="4110" max="4110" width="13.28515625" style="67" customWidth="1"/>
    <col min="4111" max="4111" width="6.7109375" style="67" customWidth="1"/>
    <col min="4112" max="4114" width="16.5703125" style="67" bestFit="1" customWidth="1"/>
    <col min="4115" max="4117" width="6.7109375" style="67" customWidth="1"/>
    <col min="4118" max="4119" width="16.5703125" style="67" bestFit="1" customWidth="1"/>
    <col min="4120" max="4120" width="6.7109375" style="67" customWidth="1"/>
    <col min="4121" max="4351" width="9.140625" style="67"/>
    <col min="4352" max="4352" width="72" style="67" customWidth="1"/>
    <col min="4353" max="4353" width="16.7109375" style="67" customWidth="1"/>
    <col min="4354" max="4354" width="16.140625" style="67" bestFit="1" customWidth="1"/>
    <col min="4355" max="4358" width="16.5703125" style="67" bestFit="1" customWidth="1"/>
    <col min="4359" max="4359" width="16.5703125" style="67" customWidth="1"/>
    <col min="4360" max="4361" width="16.5703125" style="67" bestFit="1" customWidth="1"/>
    <col min="4362" max="4362" width="16.5703125" style="67" customWidth="1"/>
    <col min="4363" max="4363" width="16.5703125" style="67" bestFit="1" customWidth="1"/>
    <col min="4364" max="4364" width="15.28515625" style="67" bestFit="1" customWidth="1"/>
    <col min="4365" max="4365" width="12.28515625" style="67" bestFit="1" customWidth="1"/>
    <col min="4366" max="4366" width="13.28515625" style="67" customWidth="1"/>
    <col min="4367" max="4367" width="6.7109375" style="67" customWidth="1"/>
    <col min="4368" max="4370" width="16.5703125" style="67" bestFit="1" customWidth="1"/>
    <col min="4371" max="4373" width="6.7109375" style="67" customWidth="1"/>
    <col min="4374" max="4375" width="16.5703125" style="67" bestFit="1" customWidth="1"/>
    <col min="4376" max="4376" width="6.7109375" style="67" customWidth="1"/>
    <col min="4377" max="4607" width="9.140625" style="67"/>
    <col min="4608" max="4608" width="72" style="67" customWidth="1"/>
    <col min="4609" max="4609" width="16.7109375" style="67" customWidth="1"/>
    <col min="4610" max="4610" width="16.140625" style="67" bestFit="1" customWidth="1"/>
    <col min="4611" max="4614" width="16.5703125" style="67" bestFit="1" customWidth="1"/>
    <col min="4615" max="4615" width="16.5703125" style="67" customWidth="1"/>
    <col min="4616" max="4617" width="16.5703125" style="67" bestFit="1" customWidth="1"/>
    <col min="4618" max="4618" width="16.5703125" style="67" customWidth="1"/>
    <col min="4619" max="4619" width="16.5703125" style="67" bestFit="1" customWidth="1"/>
    <col min="4620" max="4620" width="15.28515625" style="67" bestFit="1" customWidth="1"/>
    <col min="4621" max="4621" width="12.28515625" style="67" bestFit="1" customWidth="1"/>
    <col min="4622" max="4622" width="13.28515625" style="67" customWidth="1"/>
    <col min="4623" max="4623" width="6.7109375" style="67" customWidth="1"/>
    <col min="4624" max="4626" width="16.5703125" style="67" bestFit="1" customWidth="1"/>
    <col min="4627" max="4629" width="6.7109375" style="67" customWidth="1"/>
    <col min="4630" max="4631" width="16.5703125" style="67" bestFit="1" customWidth="1"/>
    <col min="4632" max="4632" width="6.7109375" style="67" customWidth="1"/>
    <col min="4633" max="4863" width="9.140625" style="67"/>
    <col min="4864" max="4864" width="72" style="67" customWidth="1"/>
    <col min="4865" max="4865" width="16.7109375" style="67" customWidth="1"/>
    <col min="4866" max="4866" width="16.140625" style="67" bestFit="1" customWidth="1"/>
    <col min="4867" max="4870" width="16.5703125" style="67" bestFit="1" customWidth="1"/>
    <col min="4871" max="4871" width="16.5703125" style="67" customWidth="1"/>
    <col min="4872" max="4873" width="16.5703125" style="67" bestFit="1" customWidth="1"/>
    <col min="4874" max="4874" width="16.5703125" style="67" customWidth="1"/>
    <col min="4875" max="4875" width="16.5703125" style="67" bestFit="1" customWidth="1"/>
    <col min="4876" max="4876" width="15.28515625" style="67" bestFit="1" customWidth="1"/>
    <col min="4877" max="4877" width="12.28515625" style="67" bestFit="1" customWidth="1"/>
    <col min="4878" max="4878" width="13.28515625" style="67" customWidth="1"/>
    <col min="4879" max="4879" width="6.7109375" style="67" customWidth="1"/>
    <col min="4880" max="4882" width="16.5703125" style="67" bestFit="1" customWidth="1"/>
    <col min="4883" max="4885" width="6.7109375" style="67" customWidth="1"/>
    <col min="4886" max="4887" width="16.5703125" style="67" bestFit="1" customWidth="1"/>
    <col min="4888" max="4888" width="6.7109375" style="67" customWidth="1"/>
    <col min="4889" max="5119" width="9.140625" style="67"/>
    <col min="5120" max="5120" width="72" style="67" customWidth="1"/>
    <col min="5121" max="5121" width="16.7109375" style="67" customWidth="1"/>
    <col min="5122" max="5122" width="16.140625" style="67" bestFit="1" customWidth="1"/>
    <col min="5123" max="5126" width="16.5703125" style="67" bestFit="1" customWidth="1"/>
    <col min="5127" max="5127" width="16.5703125" style="67" customWidth="1"/>
    <col min="5128" max="5129" width="16.5703125" style="67" bestFit="1" customWidth="1"/>
    <col min="5130" max="5130" width="16.5703125" style="67" customWidth="1"/>
    <col min="5131" max="5131" width="16.5703125" style="67" bestFit="1" customWidth="1"/>
    <col min="5132" max="5132" width="15.28515625" style="67" bestFit="1" customWidth="1"/>
    <col min="5133" max="5133" width="12.28515625" style="67" bestFit="1" customWidth="1"/>
    <col min="5134" max="5134" width="13.28515625" style="67" customWidth="1"/>
    <col min="5135" max="5135" width="6.7109375" style="67" customWidth="1"/>
    <col min="5136" max="5138" width="16.5703125" style="67" bestFit="1" customWidth="1"/>
    <col min="5139" max="5141" width="6.7109375" style="67" customWidth="1"/>
    <col min="5142" max="5143" width="16.5703125" style="67" bestFit="1" customWidth="1"/>
    <col min="5144" max="5144" width="6.7109375" style="67" customWidth="1"/>
    <col min="5145" max="5375" width="9.140625" style="67"/>
    <col min="5376" max="5376" width="72" style="67" customWidth="1"/>
    <col min="5377" max="5377" width="16.7109375" style="67" customWidth="1"/>
    <col min="5378" max="5378" width="16.140625" style="67" bestFit="1" customWidth="1"/>
    <col min="5379" max="5382" width="16.5703125" style="67" bestFit="1" customWidth="1"/>
    <col min="5383" max="5383" width="16.5703125" style="67" customWidth="1"/>
    <col min="5384" max="5385" width="16.5703125" style="67" bestFit="1" customWidth="1"/>
    <col min="5386" max="5386" width="16.5703125" style="67" customWidth="1"/>
    <col min="5387" max="5387" width="16.5703125" style="67" bestFit="1" customWidth="1"/>
    <col min="5388" max="5388" width="15.28515625" style="67" bestFit="1" customWidth="1"/>
    <col min="5389" max="5389" width="12.28515625" style="67" bestFit="1" customWidth="1"/>
    <col min="5390" max="5390" width="13.28515625" style="67" customWidth="1"/>
    <col min="5391" max="5391" width="6.7109375" style="67" customWidth="1"/>
    <col min="5392" max="5394" width="16.5703125" style="67" bestFit="1" customWidth="1"/>
    <col min="5395" max="5397" width="6.7109375" style="67" customWidth="1"/>
    <col min="5398" max="5399" width="16.5703125" style="67" bestFit="1" customWidth="1"/>
    <col min="5400" max="5400" width="6.7109375" style="67" customWidth="1"/>
    <col min="5401" max="5631" width="9.140625" style="67"/>
    <col min="5632" max="5632" width="72" style="67" customWidth="1"/>
    <col min="5633" max="5633" width="16.7109375" style="67" customWidth="1"/>
    <col min="5634" max="5634" width="16.140625" style="67" bestFit="1" customWidth="1"/>
    <col min="5635" max="5638" width="16.5703125" style="67" bestFit="1" customWidth="1"/>
    <col min="5639" max="5639" width="16.5703125" style="67" customWidth="1"/>
    <col min="5640" max="5641" width="16.5703125" style="67" bestFit="1" customWidth="1"/>
    <col min="5642" max="5642" width="16.5703125" style="67" customWidth="1"/>
    <col min="5643" max="5643" width="16.5703125" style="67" bestFit="1" customWidth="1"/>
    <col min="5644" max="5644" width="15.28515625" style="67" bestFit="1" customWidth="1"/>
    <col min="5645" max="5645" width="12.28515625" style="67" bestFit="1" customWidth="1"/>
    <col min="5646" max="5646" width="13.28515625" style="67" customWidth="1"/>
    <col min="5647" max="5647" width="6.7109375" style="67" customWidth="1"/>
    <col min="5648" max="5650" width="16.5703125" style="67" bestFit="1" customWidth="1"/>
    <col min="5651" max="5653" width="6.7109375" style="67" customWidth="1"/>
    <col min="5654" max="5655" width="16.5703125" style="67" bestFit="1" customWidth="1"/>
    <col min="5656" max="5656" width="6.7109375" style="67" customWidth="1"/>
    <col min="5657" max="5887" width="9.140625" style="67"/>
    <col min="5888" max="5888" width="72" style="67" customWidth="1"/>
    <col min="5889" max="5889" width="16.7109375" style="67" customWidth="1"/>
    <col min="5890" max="5890" width="16.140625" style="67" bestFit="1" customWidth="1"/>
    <col min="5891" max="5894" width="16.5703125" style="67" bestFit="1" customWidth="1"/>
    <col min="5895" max="5895" width="16.5703125" style="67" customWidth="1"/>
    <col min="5896" max="5897" width="16.5703125" style="67" bestFit="1" customWidth="1"/>
    <col min="5898" max="5898" width="16.5703125" style="67" customWidth="1"/>
    <col min="5899" max="5899" width="16.5703125" style="67" bestFit="1" customWidth="1"/>
    <col min="5900" max="5900" width="15.28515625" style="67" bestFit="1" customWidth="1"/>
    <col min="5901" max="5901" width="12.28515625" style="67" bestFit="1" customWidth="1"/>
    <col min="5902" max="5902" width="13.28515625" style="67" customWidth="1"/>
    <col min="5903" max="5903" width="6.7109375" style="67" customWidth="1"/>
    <col min="5904" max="5906" width="16.5703125" style="67" bestFit="1" customWidth="1"/>
    <col min="5907" max="5909" width="6.7109375" style="67" customWidth="1"/>
    <col min="5910" max="5911" width="16.5703125" style="67" bestFit="1" customWidth="1"/>
    <col min="5912" max="5912" width="6.7109375" style="67" customWidth="1"/>
    <col min="5913" max="6143" width="9.140625" style="67"/>
    <col min="6144" max="6144" width="72" style="67" customWidth="1"/>
    <col min="6145" max="6145" width="16.7109375" style="67" customWidth="1"/>
    <col min="6146" max="6146" width="16.140625" style="67" bestFit="1" customWidth="1"/>
    <col min="6147" max="6150" width="16.5703125" style="67" bestFit="1" customWidth="1"/>
    <col min="6151" max="6151" width="16.5703125" style="67" customWidth="1"/>
    <col min="6152" max="6153" width="16.5703125" style="67" bestFit="1" customWidth="1"/>
    <col min="6154" max="6154" width="16.5703125" style="67" customWidth="1"/>
    <col min="6155" max="6155" width="16.5703125" style="67" bestFit="1" customWidth="1"/>
    <col min="6156" max="6156" width="15.28515625" style="67" bestFit="1" customWidth="1"/>
    <col min="6157" max="6157" width="12.28515625" style="67" bestFit="1" customWidth="1"/>
    <col min="6158" max="6158" width="13.28515625" style="67" customWidth="1"/>
    <col min="6159" max="6159" width="6.7109375" style="67" customWidth="1"/>
    <col min="6160" max="6162" width="16.5703125" style="67" bestFit="1" customWidth="1"/>
    <col min="6163" max="6165" width="6.7109375" style="67" customWidth="1"/>
    <col min="6166" max="6167" width="16.5703125" style="67" bestFit="1" customWidth="1"/>
    <col min="6168" max="6168" width="6.7109375" style="67" customWidth="1"/>
    <col min="6169" max="6399" width="9.140625" style="67"/>
    <col min="6400" max="6400" width="72" style="67" customWidth="1"/>
    <col min="6401" max="6401" width="16.7109375" style="67" customWidth="1"/>
    <col min="6402" max="6402" width="16.140625" style="67" bestFit="1" customWidth="1"/>
    <col min="6403" max="6406" width="16.5703125" style="67" bestFit="1" customWidth="1"/>
    <col min="6407" max="6407" width="16.5703125" style="67" customWidth="1"/>
    <col min="6408" max="6409" width="16.5703125" style="67" bestFit="1" customWidth="1"/>
    <col min="6410" max="6410" width="16.5703125" style="67" customWidth="1"/>
    <col min="6411" max="6411" width="16.5703125" style="67" bestFit="1" customWidth="1"/>
    <col min="6412" max="6412" width="15.28515625" style="67" bestFit="1" customWidth="1"/>
    <col min="6413" max="6413" width="12.28515625" style="67" bestFit="1" customWidth="1"/>
    <col min="6414" max="6414" width="13.28515625" style="67" customWidth="1"/>
    <col min="6415" max="6415" width="6.7109375" style="67" customWidth="1"/>
    <col min="6416" max="6418" width="16.5703125" style="67" bestFit="1" customWidth="1"/>
    <col min="6419" max="6421" width="6.7109375" style="67" customWidth="1"/>
    <col min="6422" max="6423" width="16.5703125" style="67" bestFit="1" customWidth="1"/>
    <col min="6424" max="6424" width="6.7109375" style="67" customWidth="1"/>
    <col min="6425" max="6655" width="9.140625" style="67"/>
    <col min="6656" max="6656" width="72" style="67" customWidth="1"/>
    <col min="6657" max="6657" width="16.7109375" style="67" customWidth="1"/>
    <col min="6658" max="6658" width="16.140625" style="67" bestFit="1" customWidth="1"/>
    <col min="6659" max="6662" width="16.5703125" style="67" bestFit="1" customWidth="1"/>
    <col min="6663" max="6663" width="16.5703125" style="67" customWidth="1"/>
    <col min="6664" max="6665" width="16.5703125" style="67" bestFit="1" customWidth="1"/>
    <col min="6666" max="6666" width="16.5703125" style="67" customWidth="1"/>
    <col min="6667" max="6667" width="16.5703125" style="67" bestFit="1" customWidth="1"/>
    <col min="6668" max="6668" width="15.28515625" style="67" bestFit="1" customWidth="1"/>
    <col min="6669" max="6669" width="12.28515625" style="67" bestFit="1" customWidth="1"/>
    <col min="6670" max="6670" width="13.28515625" style="67" customWidth="1"/>
    <col min="6671" max="6671" width="6.7109375" style="67" customWidth="1"/>
    <col min="6672" max="6674" width="16.5703125" style="67" bestFit="1" customWidth="1"/>
    <col min="6675" max="6677" width="6.7109375" style="67" customWidth="1"/>
    <col min="6678" max="6679" width="16.5703125" style="67" bestFit="1" customWidth="1"/>
    <col min="6680" max="6680" width="6.7109375" style="67" customWidth="1"/>
    <col min="6681" max="6911" width="9.140625" style="67"/>
    <col min="6912" max="6912" width="72" style="67" customWidth="1"/>
    <col min="6913" max="6913" width="16.7109375" style="67" customWidth="1"/>
    <col min="6914" max="6914" width="16.140625" style="67" bestFit="1" customWidth="1"/>
    <col min="6915" max="6918" width="16.5703125" style="67" bestFit="1" customWidth="1"/>
    <col min="6919" max="6919" width="16.5703125" style="67" customWidth="1"/>
    <col min="6920" max="6921" width="16.5703125" style="67" bestFit="1" customWidth="1"/>
    <col min="6922" max="6922" width="16.5703125" style="67" customWidth="1"/>
    <col min="6923" max="6923" width="16.5703125" style="67" bestFit="1" customWidth="1"/>
    <col min="6924" max="6924" width="15.28515625" style="67" bestFit="1" customWidth="1"/>
    <col min="6925" max="6925" width="12.28515625" style="67" bestFit="1" customWidth="1"/>
    <col min="6926" max="6926" width="13.28515625" style="67" customWidth="1"/>
    <col min="6927" max="6927" width="6.7109375" style="67" customWidth="1"/>
    <col min="6928" max="6930" width="16.5703125" style="67" bestFit="1" customWidth="1"/>
    <col min="6931" max="6933" width="6.7109375" style="67" customWidth="1"/>
    <col min="6934" max="6935" width="16.5703125" style="67" bestFit="1" customWidth="1"/>
    <col min="6936" max="6936" width="6.7109375" style="67" customWidth="1"/>
    <col min="6937" max="7167" width="9.140625" style="67"/>
    <col min="7168" max="7168" width="72" style="67" customWidth="1"/>
    <col min="7169" max="7169" width="16.7109375" style="67" customWidth="1"/>
    <col min="7170" max="7170" width="16.140625" style="67" bestFit="1" customWidth="1"/>
    <col min="7171" max="7174" width="16.5703125" style="67" bestFit="1" customWidth="1"/>
    <col min="7175" max="7175" width="16.5703125" style="67" customWidth="1"/>
    <col min="7176" max="7177" width="16.5703125" style="67" bestFit="1" customWidth="1"/>
    <col min="7178" max="7178" width="16.5703125" style="67" customWidth="1"/>
    <col min="7179" max="7179" width="16.5703125" style="67" bestFit="1" customWidth="1"/>
    <col min="7180" max="7180" width="15.28515625" style="67" bestFit="1" customWidth="1"/>
    <col min="7181" max="7181" width="12.28515625" style="67" bestFit="1" customWidth="1"/>
    <col min="7182" max="7182" width="13.28515625" style="67" customWidth="1"/>
    <col min="7183" max="7183" width="6.7109375" style="67" customWidth="1"/>
    <col min="7184" max="7186" width="16.5703125" style="67" bestFit="1" customWidth="1"/>
    <col min="7187" max="7189" width="6.7109375" style="67" customWidth="1"/>
    <col min="7190" max="7191" width="16.5703125" style="67" bestFit="1" customWidth="1"/>
    <col min="7192" max="7192" width="6.7109375" style="67" customWidth="1"/>
    <col min="7193" max="7423" width="9.140625" style="67"/>
    <col min="7424" max="7424" width="72" style="67" customWidth="1"/>
    <col min="7425" max="7425" width="16.7109375" style="67" customWidth="1"/>
    <col min="7426" max="7426" width="16.140625" style="67" bestFit="1" customWidth="1"/>
    <col min="7427" max="7430" width="16.5703125" style="67" bestFit="1" customWidth="1"/>
    <col min="7431" max="7431" width="16.5703125" style="67" customWidth="1"/>
    <col min="7432" max="7433" width="16.5703125" style="67" bestFit="1" customWidth="1"/>
    <col min="7434" max="7434" width="16.5703125" style="67" customWidth="1"/>
    <col min="7435" max="7435" width="16.5703125" style="67" bestFit="1" customWidth="1"/>
    <col min="7436" max="7436" width="15.28515625" style="67" bestFit="1" customWidth="1"/>
    <col min="7437" max="7437" width="12.28515625" style="67" bestFit="1" customWidth="1"/>
    <col min="7438" max="7438" width="13.28515625" style="67" customWidth="1"/>
    <col min="7439" max="7439" width="6.7109375" style="67" customWidth="1"/>
    <col min="7440" max="7442" width="16.5703125" style="67" bestFit="1" customWidth="1"/>
    <col min="7443" max="7445" width="6.7109375" style="67" customWidth="1"/>
    <col min="7446" max="7447" width="16.5703125" style="67" bestFit="1" customWidth="1"/>
    <col min="7448" max="7448" width="6.7109375" style="67" customWidth="1"/>
    <col min="7449" max="7679" width="9.140625" style="67"/>
    <col min="7680" max="7680" width="72" style="67" customWidth="1"/>
    <col min="7681" max="7681" width="16.7109375" style="67" customWidth="1"/>
    <col min="7682" max="7682" width="16.140625" style="67" bestFit="1" customWidth="1"/>
    <col min="7683" max="7686" width="16.5703125" style="67" bestFit="1" customWidth="1"/>
    <col min="7687" max="7687" width="16.5703125" style="67" customWidth="1"/>
    <col min="7688" max="7689" width="16.5703125" style="67" bestFit="1" customWidth="1"/>
    <col min="7690" max="7690" width="16.5703125" style="67" customWidth="1"/>
    <col min="7691" max="7691" width="16.5703125" style="67" bestFit="1" customWidth="1"/>
    <col min="7692" max="7692" width="15.28515625" style="67" bestFit="1" customWidth="1"/>
    <col min="7693" max="7693" width="12.28515625" style="67" bestFit="1" customWidth="1"/>
    <col min="7694" max="7694" width="13.28515625" style="67" customWidth="1"/>
    <col min="7695" max="7695" width="6.7109375" style="67" customWidth="1"/>
    <col min="7696" max="7698" width="16.5703125" style="67" bestFit="1" customWidth="1"/>
    <col min="7699" max="7701" width="6.7109375" style="67" customWidth="1"/>
    <col min="7702" max="7703" width="16.5703125" style="67" bestFit="1" customWidth="1"/>
    <col min="7704" max="7704" width="6.7109375" style="67" customWidth="1"/>
    <col min="7705" max="7935" width="9.140625" style="67"/>
    <col min="7936" max="7936" width="72" style="67" customWidth="1"/>
    <col min="7937" max="7937" width="16.7109375" style="67" customWidth="1"/>
    <col min="7938" max="7938" width="16.140625" style="67" bestFit="1" customWidth="1"/>
    <col min="7939" max="7942" width="16.5703125" style="67" bestFit="1" customWidth="1"/>
    <col min="7943" max="7943" width="16.5703125" style="67" customWidth="1"/>
    <col min="7944" max="7945" width="16.5703125" style="67" bestFit="1" customWidth="1"/>
    <col min="7946" max="7946" width="16.5703125" style="67" customWidth="1"/>
    <col min="7947" max="7947" width="16.5703125" style="67" bestFit="1" customWidth="1"/>
    <col min="7948" max="7948" width="15.28515625" style="67" bestFit="1" customWidth="1"/>
    <col min="7949" max="7949" width="12.28515625" style="67" bestFit="1" customWidth="1"/>
    <col min="7950" max="7950" width="13.28515625" style="67" customWidth="1"/>
    <col min="7951" max="7951" width="6.7109375" style="67" customWidth="1"/>
    <col min="7952" max="7954" width="16.5703125" style="67" bestFit="1" customWidth="1"/>
    <col min="7955" max="7957" width="6.7109375" style="67" customWidth="1"/>
    <col min="7958" max="7959" width="16.5703125" style="67" bestFit="1" customWidth="1"/>
    <col min="7960" max="7960" width="6.7109375" style="67" customWidth="1"/>
    <col min="7961" max="8191" width="9.140625" style="67"/>
    <col min="8192" max="8192" width="72" style="67" customWidth="1"/>
    <col min="8193" max="8193" width="16.7109375" style="67" customWidth="1"/>
    <col min="8194" max="8194" width="16.140625" style="67" bestFit="1" customWidth="1"/>
    <col min="8195" max="8198" width="16.5703125" style="67" bestFit="1" customWidth="1"/>
    <col min="8199" max="8199" width="16.5703125" style="67" customWidth="1"/>
    <col min="8200" max="8201" width="16.5703125" style="67" bestFit="1" customWidth="1"/>
    <col min="8202" max="8202" width="16.5703125" style="67" customWidth="1"/>
    <col min="8203" max="8203" width="16.5703125" style="67" bestFit="1" customWidth="1"/>
    <col min="8204" max="8204" width="15.28515625" style="67" bestFit="1" customWidth="1"/>
    <col min="8205" max="8205" width="12.28515625" style="67" bestFit="1" customWidth="1"/>
    <col min="8206" max="8206" width="13.28515625" style="67" customWidth="1"/>
    <col min="8207" max="8207" width="6.7109375" style="67" customWidth="1"/>
    <col min="8208" max="8210" width="16.5703125" style="67" bestFit="1" customWidth="1"/>
    <col min="8211" max="8213" width="6.7109375" style="67" customWidth="1"/>
    <col min="8214" max="8215" width="16.5703125" style="67" bestFit="1" customWidth="1"/>
    <col min="8216" max="8216" width="6.7109375" style="67" customWidth="1"/>
    <col min="8217" max="8447" width="9.140625" style="67"/>
    <col min="8448" max="8448" width="72" style="67" customWidth="1"/>
    <col min="8449" max="8449" width="16.7109375" style="67" customWidth="1"/>
    <col min="8450" max="8450" width="16.140625" style="67" bestFit="1" customWidth="1"/>
    <col min="8451" max="8454" width="16.5703125" style="67" bestFit="1" customWidth="1"/>
    <col min="8455" max="8455" width="16.5703125" style="67" customWidth="1"/>
    <col min="8456" max="8457" width="16.5703125" style="67" bestFit="1" customWidth="1"/>
    <col min="8458" max="8458" width="16.5703125" style="67" customWidth="1"/>
    <col min="8459" max="8459" width="16.5703125" style="67" bestFit="1" customWidth="1"/>
    <col min="8460" max="8460" width="15.28515625" style="67" bestFit="1" customWidth="1"/>
    <col min="8461" max="8461" width="12.28515625" style="67" bestFit="1" customWidth="1"/>
    <col min="8462" max="8462" width="13.28515625" style="67" customWidth="1"/>
    <col min="8463" max="8463" width="6.7109375" style="67" customWidth="1"/>
    <col min="8464" max="8466" width="16.5703125" style="67" bestFit="1" customWidth="1"/>
    <col min="8467" max="8469" width="6.7109375" style="67" customWidth="1"/>
    <col min="8470" max="8471" width="16.5703125" style="67" bestFit="1" customWidth="1"/>
    <col min="8472" max="8472" width="6.7109375" style="67" customWidth="1"/>
    <col min="8473" max="8703" width="9.140625" style="67"/>
    <col min="8704" max="8704" width="72" style="67" customWidth="1"/>
    <col min="8705" max="8705" width="16.7109375" style="67" customWidth="1"/>
    <col min="8706" max="8706" width="16.140625" style="67" bestFit="1" customWidth="1"/>
    <col min="8707" max="8710" width="16.5703125" style="67" bestFit="1" customWidth="1"/>
    <col min="8711" max="8711" width="16.5703125" style="67" customWidth="1"/>
    <col min="8712" max="8713" width="16.5703125" style="67" bestFit="1" customWidth="1"/>
    <col min="8714" max="8714" width="16.5703125" style="67" customWidth="1"/>
    <col min="8715" max="8715" width="16.5703125" style="67" bestFit="1" customWidth="1"/>
    <col min="8716" max="8716" width="15.28515625" style="67" bestFit="1" customWidth="1"/>
    <col min="8717" max="8717" width="12.28515625" style="67" bestFit="1" customWidth="1"/>
    <col min="8718" max="8718" width="13.28515625" style="67" customWidth="1"/>
    <col min="8719" max="8719" width="6.7109375" style="67" customWidth="1"/>
    <col min="8720" max="8722" width="16.5703125" style="67" bestFit="1" customWidth="1"/>
    <col min="8723" max="8725" width="6.7109375" style="67" customWidth="1"/>
    <col min="8726" max="8727" width="16.5703125" style="67" bestFit="1" customWidth="1"/>
    <col min="8728" max="8728" width="6.7109375" style="67" customWidth="1"/>
    <col min="8729" max="8959" width="9.140625" style="67"/>
    <col min="8960" max="8960" width="72" style="67" customWidth="1"/>
    <col min="8961" max="8961" width="16.7109375" style="67" customWidth="1"/>
    <col min="8962" max="8962" width="16.140625" style="67" bestFit="1" customWidth="1"/>
    <col min="8963" max="8966" width="16.5703125" style="67" bestFit="1" customWidth="1"/>
    <col min="8967" max="8967" width="16.5703125" style="67" customWidth="1"/>
    <col min="8968" max="8969" width="16.5703125" style="67" bestFit="1" customWidth="1"/>
    <col min="8970" max="8970" width="16.5703125" style="67" customWidth="1"/>
    <col min="8971" max="8971" width="16.5703125" style="67" bestFit="1" customWidth="1"/>
    <col min="8972" max="8972" width="15.28515625" style="67" bestFit="1" customWidth="1"/>
    <col min="8973" max="8973" width="12.28515625" style="67" bestFit="1" customWidth="1"/>
    <col min="8974" max="8974" width="13.28515625" style="67" customWidth="1"/>
    <col min="8975" max="8975" width="6.7109375" style="67" customWidth="1"/>
    <col min="8976" max="8978" width="16.5703125" style="67" bestFit="1" customWidth="1"/>
    <col min="8979" max="8981" width="6.7109375" style="67" customWidth="1"/>
    <col min="8982" max="8983" width="16.5703125" style="67" bestFit="1" customWidth="1"/>
    <col min="8984" max="8984" width="6.7109375" style="67" customWidth="1"/>
    <col min="8985" max="9215" width="9.140625" style="67"/>
    <col min="9216" max="9216" width="72" style="67" customWidth="1"/>
    <col min="9217" max="9217" width="16.7109375" style="67" customWidth="1"/>
    <col min="9218" max="9218" width="16.140625" style="67" bestFit="1" customWidth="1"/>
    <col min="9219" max="9222" width="16.5703125" style="67" bestFit="1" customWidth="1"/>
    <col min="9223" max="9223" width="16.5703125" style="67" customWidth="1"/>
    <col min="9224" max="9225" width="16.5703125" style="67" bestFit="1" customWidth="1"/>
    <col min="9226" max="9226" width="16.5703125" style="67" customWidth="1"/>
    <col min="9227" max="9227" width="16.5703125" style="67" bestFit="1" customWidth="1"/>
    <col min="9228" max="9228" width="15.28515625" style="67" bestFit="1" customWidth="1"/>
    <col min="9229" max="9229" width="12.28515625" style="67" bestFit="1" customWidth="1"/>
    <col min="9230" max="9230" width="13.28515625" style="67" customWidth="1"/>
    <col min="9231" max="9231" width="6.7109375" style="67" customWidth="1"/>
    <col min="9232" max="9234" width="16.5703125" style="67" bestFit="1" customWidth="1"/>
    <col min="9235" max="9237" width="6.7109375" style="67" customWidth="1"/>
    <col min="9238" max="9239" width="16.5703125" style="67" bestFit="1" customWidth="1"/>
    <col min="9240" max="9240" width="6.7109375" style="67" customWidth="1"/>
    <col min="9241" max="9471" width="9.140625" style="67"/>
    <col min="9472" max="9472" width="72" style="67" customWidth="1"/>
    <col min="9473" max="9473" width="16.7109375" style="67" customWidth="1"/>
    <col min="9474" max="9474" width="16.140625" style="67" bestFit="1" customWidth="1"/>
    <col min="9475" max="9478" width="16.5703125" style="67" bestFit="1" customWidth="1"/>
    <col min="9479" max="9479" width="16.5703125" style="67" customWidth="1"/>
    <col min="9480" max="9481" width="16.5703125" style="67" bestFit="1" customWidth="1"/>
    <col min="9482" max="9482" width="16.5703125" style="67" customWidth="1"/>
    <col min="9483" max="9483" width="16.5703125" style="67" bestFit="1" customWidth="1"/>
    <col min="9484" max="9484" width="15.28515625" style="67" bestFit="1" customWidth="1"/>
    <col min="9485" max="9485" width="12.28515625" style="67" bestFit="1" customWidth="1"/>
    <col min="9486" max="9486" width="13.28515625" style="67" customWidth="1"/>
    <col min="9487" max="9487" width="6.7109375" style="67" customWidth="1"/>
    <col min="9488" max="9490" width="16.5703125" style="67" bestFit="1" customWidth="1"/>
    <col min="9491" max="9493" width="6.7109375" style="67" customWidth="1"/>
    <col min="9494" max="9495" width="16.5703125" style="67" bestFit="1" customWidth="1"/>
    <col min="9496" max="9496" width="6.7109375" style="67" customWidth="1"/>
    <col min="9497" max="9727" width="9.140625" style="67"/>
    <col min="9728" max="9728" width="72" style="67" customWidth="1"/>
    <col min="9729" max="9729" width="16.7109375" style="67" customWidth="1"/>
    <col min="9730" max="9730" width="16.140625" style="67" bestFit="1" customWidth="1"/>
    <col min="9731" max="9734" width="16.5703125" style="67" bestFit="1" customWidth="1"/>
    <col min="9735" max="9735" width="16.5703125" style="67" customWidth="1"/>
    <col min="9736" max="9737" width="16.5703125" style="67" bestFit="1" customWidth="1"/>
    <col min="9738" max="9738" width="16.5703125" style="67" customWidth="1"/>
    <col min="9739" max="9739" width="16.5703125" style="67" bestFit="1" customWidth="1"/>
    <col min="9740" max="9740" width="15.28515625" style="67" bestFit="1" customWidth="1"/>
    <col min="9741" max="9741" width="12.28515625" style="67" bestFit="1" customWidth="1"/>
    <col min="9742" max="9742" width="13.28515625" style="67" customWidth="1"/>
    <col min="9743" max="9743" width="6.7109375" style="67" customWidth="1"/>
    <col min="9744" max="9746" width="16.5703125" style="67" bestFit="1" customWidth="1"/>
    <col min="9747" max="9749" width="6.7109375" style="67" customWidth="1"/>
    <col min="9750" max="9751" width="16.5703125" style="67" bestFit="1" customWidth="1"/>
    <col min="9752" max="9752" width="6.7109375" style="67" customWidth="1"/>
    <col min="9753" max="9983" width="9.140625" style="67"/>
    <col min="9984" max="9984" width="72" style="67" customWidth="1"/>
    <col min="9985" max="9985" width="16.7109375" style="67" customWidth="1"/>
    <col min="9986" max="9986" width="16.140625" style="67" bestFit="1" customWidth="1"/>
    <col min="9987" max="9990" width="16.5703125" style="67" bestFit="1" customWidth="1"/>
    <col min="9991" max="9991" width="16.5703125" style="67" customWidth="1"/>
    <col min="9992" max="9993" width="16.5703125" style="67" bestFit="1" customWidth="1"/>
    <col min="9994" max="9994" width="16.5703125" style="67" customWidth="1"/>
    <col min="9995" max="9995" width="16.5703125" style="67" bestFit="1" customWidth="1"/>
    <col min="9996" max="9996" width="15.28515625" style="67" bestFit="1" customWidth="1"/>
    <col min="9997" max="9997" width="12.28515625" style="67" bestFit="1" customWidth="1"/>
    <col min="9998" max="9998" width="13.28515625" style="67" customWidth="1"/>
    <col min="9999" max="9999" width="6.7109375" style="67" customWidth="1"/>
    <col min="10000" max="10002" width="16.5703125" style="67" bestFit="1" customWidth="1"/>
    <col min="10003" max="10005" width="6.7109375" style="67" customWidth="1"/>
    <col min="10006" max="10007" width="16.5703125" style="67" bestFit="1" customWidth="1"/>
    <col min="10008" max="10008" width="6.7109375" style="67" customWidth="1"/>
    <col min="10009" max="10239" width="9.140625" style="67"/>
    <col min="10240" max="10240" width="72" style="67" customWidth="1"/>
    <col min="10241" max="10241" width="16.7109375" style="67" customWidth="1"/>
    <col min="10242" max="10242" width="16.140625" style="67" bestFit="1" customWidth="1"/>
    <col min="10243" max="10246" width="16.5703125" style="67" bestFit="1" customWidth="1"/>
    <col min="10247" max="10247" width="16.5703125" style="67" customWidth="1"/>
    <col min="10248" max="10249" width="16.5703125" style="67" bestFit="1" customWidth="1"/>
    <col min="10250" max="10250" width="16.5703125" style="67" customWidth="1"/>
    <col min="10251" max="10251" width="16.5703125" style="67" bestFit="1" customWidth="1"/>
    <col min="10252" max="10252" width="15.28515625" style="67" bestFit="1" customWidth="1"/>
    <col min="10253" max="10253" width="12.28515625" style="67" bestFit="1" customWidth="1"/>
    <col min="10254" max="10254" width="13.28515625" style="67" customWidth="1"/>
    <col min="10255" max="10255" width="6.7109375" style="67" customWidth="1"/>
    <col min="10256" max="10258" width="16.5703125" style="67" bestFit="1" customWidth="1"/>
    <col min="10259" max="10261" width="6.7109375" style="67" customWidth="1"/>
    <col min="10262" max="10263" width="16.5703125" style="67" bestFit="1" customWidth="1"/>
    <col min="10264" max="10264" width="6.7109375" style="67" customWidth="1"/>
    <col min="10265" max="10495" width="9.140625" style="67"/>
    <col min="10496" max="10496" width="72" style="67" customWidth="1"/>
    <col min="10497" max="10497" width="16.7109375" style="67" customWidth="1"/>
    <col min="10498" max="10498" width="16.140625" style="67" bestFit="1" customWidth="1"/>
    <col min="10499" max="10502" width="16.5703125" style="67" bestFit="1" customWidth="1"/>
    <col min="10503" max="10503" width="16.5703125" style="67" customWidth="1"/>
    <col min="10504" max="10505" width="16.5703125" style="67" bestFit="1" customWidth="1"/>
    <col min="10506" max="10506" width="16.5703125" style="67" customWidth="1"/>
    <col min="10507" max="10507" width="16.5703125" style="67" bestFit="1" customWidth="1"/>
    <col min="10508" max="10508" width="15.28515625" style="67" bestFit="1" customWidth="1"/>
    <col min="10509" max="10509" width="12.28515625" style="67" bestFit="1" customWidth="1"/>
    <col min="10510" max="10510" width="13.28515625" style="67" customWidth="1"/>
    <col min="10511" max="10511" width="6.7109375" style="67" customWidth="1"/>
    <col min="10512" max="10514" width="16.5703125" style="67" bestFit="1" customWidth="1"/>
    <col min="10515" max="10517" width="6.7109375" style="67" customWidth="1"/>
    <col min="10518" max="10519" width="16.5703125" style="67" bestFit="1" customWidth="1"/>
    <col min="10520" max="10520" width="6.7109375" style="67" customWidth="1"/>
    <col min="10521" max="10751" width="9.140625" style="67"/>
    <col min="10752" max="10752" width="72" style="67" customWidth="1"/>
    <col min="10753" max="10753" width="16.7109375" style="67" customWidth="1"/>
    <col min="10754" max="10754" width="16.140625" style="67" bestFit="1" customWidth="1"/>
    <col min="10755" max="10758" width="16.5703125" style="67" bestFit="1" customWidth="1"/>
    <col min="10759" max="10759" width="16.5703125" style="67" customWidth="1"/>
    <col min="10760" max="10761" width="16.5703125" style="67" bestFit="1" customWidth="1"/>
    <col min="10762" max="10762" width="16.5703125" style="67" customWidth="1"/>
    <col min="10763" max="10763" width="16.5703125" style="67" bestFit="1" customWidth="1"/>
    <col min="10764" max="10764" width="15.28515625" style="67" bestFit="1" customWidth="1"/>
    <col min="10765" max="10765" width="12.28515625" style="67" bestFit="1" customWidth="1"/>
    <col min="10766" max="10766" width="13.28515625" style="67" customWidth="1"/>
    <col min="10767" max="10767" width="6.7109375" style="67" customWidth="1"/>
    <col min="10768" max="10770" width="16.5703125" style="67" bestFit="1" customWidth="1"/>
    <col min="10771" max="10773" width="6.7109375" style="67" customWidth="1"/>
    <col min="10774" max="10775" width="16.5703125" style="67" bestFit="1" customWidth="1"/>
    <col min="10776" max="10776" width="6.7109375" style="67" customWidth="1"/>
    <col min="10777" max="11007" width="9.140625" style="67"/>
    <col min="11008" max="11008" width="72" style="67" customWidth="1"/>
    <col min="11009" max="11009" width="16.7109375" style="67" customWidth="1"/>
    <col min="11010" max="11010" width="16.140625" style="67" bestFit="1" customWidth="1"/>
    <col min="11011" max="11014" width="16.5703125" style="67" bestFit="1" customWidth="1"/>
    <col min="11015" max="11015" width="16.5703125" style="67" customWidth="1"/>
    <col min="11016" max="11017" width="16.5703125" style="67" bestFit="1" customWidth="1"/>
    <col min="11018" max="11018" width="16.5703125" style="67" customWidth="1"/>
    <col min="11019" max="11019" width="16.5703125" style="67" bestFit="1" customWidth="1"/>
    <col min="11020" max="11020" width="15.28515625" style="67" bestFit="1" customWidth="1"/>
    <col min="11021" max="11021" width="12.28515625" style="67" bestFit="1" customWidth="1"/>
    <col min="11022" max="11022" width="13.28515625" style="67" customWidth="1"/>
    <col min="11023" max="11023" width="6.7109375" style="67" customWidth="1"/>
    <col min="11024" max="11026" width="16.5703125" style="67" bestFit="1" customWidth="1"/>
    <col min="11027" max="11029" width="6.7109375" style="67" customWidth="1"/>
    <col min="11030" max="11031" width="16.5703125" style="67" bestFit="1" customWidth="1"/>
    <col min="11032" max="11032" width="6.7109375" style="67" customWidth="1"/>
    <col min="11033" max="11263" width="9.140625" style="67"/>
    <col min="11264" max="11264" width="72" style="67" customWidth="1"/>
    <col min="11265" max="11265" width="16.7109375" style="67" customWidth="1"/>
    <col min="11266" max="11266" width="16.140625" style="67" bestFit="1" customWidth="1"/>
    <col min="11267" max="11270" width="16.5703125" style="67" bestFit="1" customWidth="1"/>
    <col min="11271" max="11271" width="16.5703125" style="67" customWidth="1"/>
    <col min="11272" max="11273" width="16.5703125" style="67" bestFit="1" customWidth="1"/>
    <col min="11274" max="11274" width="16.5703125" style="67" customWidth="1"/>
    <col min="11275" max="11275" width="16.5703125" style="67" bestFit="1" customWidth="1"/>
    <col min="11276" max="11276" width="15.28515625" style="67" bestFit="1" customWidth="1"/>
    <col min="11277" max="11277" width="12.28515625" style="67" bestFit="1" customWidth="1"/>
    <col min="11278" max="11278" width="13.28515625" style="67" customWidth="1"/>
    <col min="11279" max="11279" width="6.7109375" style="67" customWidth="1"/>
    <col min="11280" max="11282" width="16.5703125" style="67" bestFit="1" customWidth="1"/>
    <col min="11283" max="11285" width="6.7109375" style="67" customWidth="1"/>
    <col min="11286" max="11287" width="16.5703125" style="67" bestFit="1" customWidth="1"/>
    <col min="11288" max="11288" width="6.7109375" style="67" customWidth="1"/>
    <col min="11289" max="11519" width="9.140625" style="67"/>
    <col min="11520" max="11520" width="72" style="67" customWidth="1"/>
    <col min="11521" max="11521" width="16.7109375" style="67" customWidth="1"/>
    <col min="11522" max="11522" width="16.140625" style="67" bestFit="1" customWidth="1"/>
    <col min="11523" max="11526" width="16.5703125" style="67" bestFit="1" customWidth="1"/>
    <col min="11527" max="11527" width="16.5703125" style="67" customWidth="1"/>
    <col min="11528" max="11529" width="16.5703125" style="67" bestFit="1" customWidth="1"/>
    <col min="11530" max="11530" width="16.5703125" style="67" customWidth="1"/>
    <col min="11531" max="11531" width="16.5703125" style="67" bestFit="1" customWidth="1"/>
    <col min="11532" max="11532" width="15.28515625" style="67" bestFit="1" customWidth="1"/>
    <col min="11533" max="11533" width="12.28515625" style="67" bestFit="1" customWidth="1"/>
    <col min="11534" max="11534" width="13.28515625" style="67" customWidth="1"/>
    <col min="11535" max="11535" width="6.7109375" style="67" customWidth="1"/>
    <col min="11536" max="11538" width="16.5703125" style="67" bestFit="1" customWidth="1"/>
    <col min="11539" max="11541" width="6.7109375" style="67" customWidth="1"/>
    <col min="11542" max="11543" width="16.5703125" style="67" bestFit="1" customWidth="1"/>
    <col min="11544" max="11544" width="6.7109375" style="67" customWidth="1"/>
    <col min="11545" max="11775" width="9.140625" style="67"/>
    <col min="11776" max="11776" width="72" style="67" customWidth="1"/>
    <col min="11777" max="11777" width="16.7109375" style="67" customWidth="1"/>
    <col min="11778" max="11778" width="16.140625" style="67" bestFit="1" customWidth="1"/>
    <col min="11779" max="11782" width="16.5703125" style="67" bestFit="1" customWidth="1"/>
    <col min="11783" max="11783" width="16.5703125" style="67" customWidth="1"/>
    <col min="11784" max="11785" width="16.5703125" style="67" bestFit="1" customWidth="1"/>
    <col min="11786" max="11786" width="16.5703125" style="67" customWidth="1"/>
    <col min="11787" max="11787" width="16.5703125" style="67" bestFit="1" customWidth="1"/>
    <col min="11788" max="11788" width="15.28515625" style="67" bestFit="1" customWidth="1"/>
    <col min="11789" max="11789" width="12.28515625" style="67" bestFit="1" customWidth="1"/>
    <col min="11790" max="11790" width="13.28515625" style="67" customWidth="1"/>
    <col min="11791" max="11791" width="6.7109375" style="67" customWidth="1"/>
    <col min="11792" max="11794" width="16.5703125" style="67" bestFit="1" customWidth="1"/>
    <col min="11795" max="11797" width="6.7109375" style="67" customWidth="1"/>
    <col min="11798" max="11799" width="16.5703125" style="67" bestFit="1" customWidth="1"/>
    <col min="11800" max="11800" width="6.7109375" style="67" customWidth="1"/>
    <col min="11801" max="12031" width="9.140625" style="67"/>
    <col min="12032" max="12032" width="72" style="67" customWidth="1"/>
    <col min="12033" max="12033" width="16.7109375" style="67" customWidth="1"/>
    <col min="12034" max="12034" width="16.140625" style="67" bestFit="1" customWidth="1"/>
    <col min="12035" max="12038" width="16.5703125" style="67" bestFit="1" customWidth="1"/>
    <col min="12039" max="12039" width="16.5703125" style="67" customWidth="1"/>
    <col min="12040" max="12041" width="16.5703125" style="67" bestFit="1" customWidth="1"/>
    <col min="12042" max="12042" width="16.5703125" style="67" customWidth="1"/>
    <col min="12043" max="12043" width="16.5703125" style="67" bestFit="1" customWidth="1"/>
    <col min="12044" max="12044" width="15.28515625" style="67" bestFit="1" customWidth="1"/>
    <col min="12045" max="12045" width="12.28515625" style="67" bestFit="1" customWidth="1"/>
    <col min="12046" max="12046" width="13.28515625" style="67" customWidth="1"/>
    <col min="12047" max="12047" width="6.7109375" style="67" customWidth="1"/>
    <col min="12048" max="12050" width="16.5703125" style="67" bestFit="1" customWidth="1"/>
    <col min="12051" max="12053" width="6.7109375" style="67" customWidth="1"/>
    <col min="12054" max="12055" width="16.5703125" style="67" bestFit="1" customWidth="1"/>
    <col min="12056" max="12056" width="6.7109375" style="67" customWidth="1"/>
    <col min="12057" max="12287" width="9.140625" style="67"/>
    <col min="12288" max="12288" width="72" style="67" customWidth="1"/>
    <col min="12289" max="12289" width="16.7109375" style="67" customWidth="1"/>
    <col min="12290" max="12290" width="16.140625" style="67" bestFit="1" customWidth="1"/>
    <col min="12291" max="12294" width="16.5703125" style="67" bestFit="1" customWidth="1"/>
    <col min="12295" max="12295" width="16.5703125" style="67" customWidth="1"/>
    <col min="12296" max="12297" width="16.5703125" style="67" bestFit="1" customWidth="1"/>
    <col min="12298" max="12298" width="16.5703125" style="67" customWidth="1"/>
    <col min="12299" max="12299" width="16.5703125" style="67" bestFit="1" customWidth="1"/>
    <col min="12300" max="12300" width="15.28515625" style="67" bestFit="1" customWidth="1"/>
    <col min="12301" max="12301" width="12.28515625" style="67" bestFit="1" customWidth="1"/>
    <col min="12302" max="12302" width="13.28515625" style="67" customWidth="1"/>
    <col min="12303" max="12303" width="6.7109375" style="67" customWidth="1"/>
    <col min="12304" max="12306" width="16.5703125" style="67" bestFit="1" customWidth="1"/>
    <col min="12307" max="12309" width="6.7109375" style="67" customWidth="1"/>
    <col min="12310" max="12311" width="16.5703125" style="67" bestFit="1" customWidth="1"/>
    <col min="12312" max="12312" width="6.7109375" style="67" customWidth="1"/>
    <col min="12313" max="12543" width="9.140625" style="67"/>
    <col min="12544" max="12544" width="72" style="67" customWidth="1"/>
    <col min="12545" max="12545" width="16.7109375" style="67" customWidth="1"/>
    <col min="12546" max="12546" width="16.140625" style="67" bestFit="1" customWidth="1"/>
    <col min="12547" max="12550" width="16.5703125" style="67" bestFit="1" customWidth="1"/>
    <col min="12551" max="12551" width="16.5703125" style="67" customWidth="1"/>
    <col min="12552" max="12553" width="16.5703125" style="67" bestFit="1" customWidth="1"/>
    <col min="12554" max="12554" width="16.5703125" style="67" customWidth="1"/>
    <col min="12555" max="12555" width="16.5703125" style="67" bestFit="1" customWidth="1"/>
    <col min="12556" max="12556" width="15.28515625" style="67" bestFit="1" customWidth="1"/>
    <col min="12557" max="12557" width="12.28515625" style="67" bestFit="1" customWidth="1"/>
    <col min="12558" max="12558" width="13.28515625" style="67" customWidth="1"/>
    <col min="12559" max="12559" width="6.7109375" style="67" customWidth="1"/>
    <col min="12560" max="12562" width="16.5703125" style="67" bestFit="1" customWidth="1"/>
    <col min="12563" max="12565" width="6.7109375" style="67" customWidth="1"/>
    <col min="12566" max="12567" width="16.5703125" style="67" bestFit="1" customWidth="1"/>
    <col min="12568" max="12568" width="6.7109375" style="67" customWidth="1"/>
    <col min="12569" max="12799" width="9.140625" style="67"/>
    <col min="12800" max="12800" width="72" style="67" customWidth="1"/>
    <col min="12801" max="12801" width="16.7109375" style="67" customWidth="1"/>
    <col min="12802" max="12802" width="16.140625" style="67" bestFit="1" customWidth="1"/>
    <col min="12803" max="12806" width="16.5703125" style="67" bestFit="1" customWidth="1"/>
    <col min="12807" max="12807" width="16.5703125" style="67" customWidth="1"/>
    <col min="12808" max="12809" width="16.5703125" style="67" bestFit="1" customWidth="1"/>
    <col min="12810" max="12810" width="16.5703125" style="67" customWidth="1"/>
    <col min="12811" max="12811" width="16.5703125" style="67" bestFit="1" customWidth="1"/>
    <col min="12812" max="12812" width="15.28515625" style="67" bestFit="1" customWidth="1"/>
    <col min="12813" max="12813" width="12.28515625" style="67" bestFit="1" customWidth="1"/>
    <col min="12814" max="12814" width="13.28515625" style="67" customWidth="1"/>
    <col min="12815" max="12815" width="6.7109375" style="67" customWidth="1"/>
    <col min="12816" max="12818" width="16.5703125" style="67" bestFit="1" customWidth="1"/>
    <col min="12819" max="12821" width="6.7109375" style="67" customWidth="1"/>
    <col min="12822" max="12823" width="16.5703125" style="67" bestFit="1" customWidth="1"/>
    <col min="12824" max="12824" width="6.7109375" style="67" customWidth="1"/>
    <col min="12825" max="13055" width="9.140625" style="67"/>
    <col min="13056" max="13056" width="72" style="67" customWidth="1"/>
    <col min="13057" max="13057" width="16.7109375" style="67" customWidth="1"/>
    <col min="13058" max="13058" width="16.140625" style="67" bestFit="1" customWidth="1"/>
    <col min="13059" max="13062" width="16.5703125" style="67" bestFit="1" customWidth="1"/>
    <col min="13063" max="13063" width="16.5703125" style="67" customWidth="1"/>
    <col min="13064" max="13065" width="16.5703125" style="67" bestFit="1" customWidth="1"/>
    <col min="13066" max="13066" width="16.5703125" style="67" customWidth="1"/>
    <col min="13067" max="13067" width="16.5703125" style="67" bestFit="1" customWidth="1"/>
    <col min="13068" max="13068" width="15.28515625" style="67" bestFit="1" customWidth="1"/>
    <col min="13069" max="13069" width="12.28515625" style="67" bestFit="1" customWidth="1"/>
    <col min="13070" max="13070" width="13.28515625" style="67" customWidth="1"/>
    <col min="13071" max="13071" width="6.7109375" style="67" customWidth="1"/>
    <col min="13072" max="13074" width="16.5703125" style="67" bestFit="1" customWidth="1"/>
    <col min="13075" max="13077" width="6.7109375" style="67" customWidth="1"/>
    <col min="13078" max="13079" width="16.5703125" style="67" bestFit="1" customWidth="1"/>
    <col min="13080" max="13080" width="6.7109375" style="67" customWidth="1"/>
    <col min="13081" max="13311" width="9.140625" style="67"/>
    <col min="13312" max="13312" width="72" style="67" customWidth="1"/>
    <col min="13313" max="13313" width="16.7109375" style="67" customWidth="1"/>
    <col min="13314" max="13314" width="16.140625" style="67" bestFit="1" customWidth="1"/>
    <col min="13315" max="13318" width="16.5703125" style="67" bestFit="1" customWidth="1"/>
    <col min="13319" max="13319" width="16.5703125" style="67" customWidth="1"/>
    <col min="13320" max="13321" width="16.5703125" style="67" bestFit="1" customWidth="1"/>
    <col min="13322" max="13322" width="16.5703125" style="67" customWidth="1"/>
    <col min="13323" max="13323" width="16.5703125" style="67" bestFit="1" customWidth="1"/>
    <col min="13324" max="13324" width="15.28515625" style="67" bestFit="1" customWidth="1"/>
    <col min="13325" max="13325" width="12.28515625" style="67" bestFit="1" customWidth="1"/>
    <col min="13326" max="13326" width="13.28515625" style="67" customWidth="1"/>
    <col min="13327" max="13327" width="6.7109375" style="67" customWidth="1"/>
    <col min="13328" max="13330" width="16.5703125" style="67" bestFit="1" customWidth="1"/>
    <col min="13331" max="13333" width="6.7109375" style="67" customWidth="1"/>
    <col min="13334" max="13335" width="16.5703125" style="67" bestFit="1" customWidth="1"/>
    <col min="13336" max="13336" width="6.7109375" style="67" customWidth="1"/>
    <col min="13337" max="13567" width="9.140625" style="67"/>
    <col min="13568" max="13568" width="72" style="67" customWidth="1"/>
    <col min="13569" max="13569" width="16.7109375" style="67" customWidth="1"/>
    <col min="13570" max="13570" width="16.140625" style="67" bestFit="1" customWidth="1"/>
    <col min="13571" max="13574" width="16.5703125" style="67" bestFit="1" customWidth="1"/>
    <col min="13575" max="13575" width="16.5703125" style="67" customWidth="1"/>
    <col min="13576" max="13577" width="16.5703125" style="67" bestFit="1" customWidth="1"/>
    <col min="13578" max="13578" width="16.5703125" style="67" customWidth="1"/>
    <col min="13579" max="13579" width="16.5703125" style="67" bestFit="1" customWidth="1"/>
    <col min="13580" max="13580" width="15.28515625" style="67" bestFit="1" customWidth="1"/>
    <col min="13581" max="13581" width="12.28515625" style="67" bestFit="1" customWidth="1"/>
    <col min="13582" max="13582" width="13.28515625" style="67" customWidth="1"/>
    <col min="13583" max="13583" width="6.7109375" style="67" customWidth="1"/>
    <col min="13584" max="13586" width="16.5703125" style="67" bestFit="1" customWidth="1"/>
    <col min="13587" max="13589" width="6.7109375" style="67" customWidth="1"/>
    <col min="13590" max="13591" width="16.5703125" style="67" bestFit="1" customWidth="1"/>
    <col min="13592" max="13592" width="6.7109375" style="67" customWidth="1"/>
    <col min="13593" max="13823" width="9.140625" style="67"/>
    <col min="13824" max="13824" width="72" style="67" customWidth="1"/>
    <col min="13825" max="13825" width="16.7109375" style="67" customWidth="1"/>
    <col min="13826" max="13826" width="16.140625" style="67" bestFit="1" customWidth="1"/>
    <col min="13827" max="13830" width="16.5703125" style="67" bestFit="1" customWidth="1"/>
    <col min="13831" max="13831" width="16.5703125" style="67" customWidth="1"/>
    <col min="13832" max="13833" width="16.5703125" style="67" bestFit="1" customWidth="1"/>
    <col min="13834" max="13834" width="16.5703125" style="67" customWidth="1"/>
    <col min="13835" max="13835" width="16.5703125" style="67" bestFit="1" customWidth="1"/>
    <col min="13836" max="13836" width="15.28515625" style="67" bestFit="1" customWidth="1"/>
    <col min="13837" max="13837" width="12.28515625" style="67" bestFit="1" customWidth="1"/>
    <col min="13838" max="13838" width="13.28515625" style="67" customWidth="1"/>
    <col min="13839" max="13839" width="6.7109375" style="67" customWidth="1"/>
    <col min="13840" max="13842" width="16.5703125" style="67" bestFit="1" customWidth="1"/>
    <col min="13843" max="13845" width="6.7109375" style="67" customWidth="1"/>
    <col min="13846" max="13847" width="16.5703125" style="67" bestFit="1" customWidth="1"/>
    <col min="13848" max="13848" width="6.7109375" style="67" customWidth="1"/>
    <col min="13849" max="14079" width="9.140625" style="67"/>
    <col min="14080" max="14080" width="72" style="67" customWidth="1"/>
    <col min="14081" max="14081" width="16.7109375" style="67" customWidth="1"/>
    <col min="14082" max="14082" width="16.140625" style="67" bestFit="1" customWidth="1"/>
    <col min="14083" max="14086" width="16.5703125" style="67" bestFit="1" customWidth="1"/>
    <col min="14087" max="14087" width="16.5703125" style="67" customWidth="1"/>
    <col min="14088" max="14089" width="16.5703125" style="67" bestFit="1" customWidth="1"/>
    <col min="14090" max="14090" width="16.5703125" style="67" customWidth="1"/>
    <col min="14091" max="14091" width="16.5703125" style="67" bestFit="1" customWidth="1"/>
    <col min="14092" max="14092" width="15.28515625" style="67" bestFit="1" customWidth="1"/>
    <col min="14093" max="14093" width="12.28515625" style="67" bestFit="1" customWidth="1"/>
    <col min="14094" max="14094" width="13.28515625" style="67" customWidth="1"/>
    <col min="14095" max="14095" width="6.7109375" style="67" customWidth="1"/>
    <col min="14096" max="14098" width="16.5703125" style="67" bestFit="1" customWidth="1"/>
    <col min="14099" max="14101" width="6.7109375" style="67" customWidth="1"/>
    <col min="14102" max="14103" width="16.5703125" style="67" bestFit="1" customWidth="1"/>
    <col min="14104" max="14104" width="6.7109375" style="67" customWidth="1"/>
    <col min="14105" max="14335" width="9.140625" style="67"/>
    <col min="14336" max="14336" width="72" style="67" customWidth="1"/>
    <col min="14337" max="14337" width="16.7109375" style="67" customWidth="1"/>
    <col min="14338" max="14338" width="16.140625" style="67" bestFit="1" customWidth="1"/>
    <col min="14339" max="14342" width="16.5703125" style="67" bestFit="1" customWidth="1"/>
    <col min="14343" max="14343" width="16.5703125" style="67" customWidth="1"/>
    <col min="14344" max="14345" width="16.5703125" style="67" bestFit="1" customWidth="1"/>
    <col min="14346" max="14346" width="16.5703125" style="67" customWidth="1"/>
    <col min="14347" max="14347" width="16.5703125" style="67" bestFit="1" customWidth="1"/>
    <col min="14348" max="14348" width="15.28515625" style="67" bestFit="1" customWidth="1"/>
    <col min="14349" max="14349" width="12.28515625" style="67" bestFit="1" customWidth="1"/>
    <col min="14350" max="14350" width="13.28515625" style="67" customWidth="1"/>
    <col min="14351" max="14351" width="6.7109375" style="67" customWidth="1"/>
    <col min="14352" max="14354" width="16.5703125" style="67" bestFit="1" customWidth="1"/>
    <col min="14355" max="14357" width="6.7109375" style="67" customWidth="1"/>
    <col min="14358" max="14359" width="16.5703125" style="67" bestFit="1" customWidth="1"/>
    <col min="14360" max="14360" width="6.7109375" style="67" customWidth="1"/>
    <col min="14361" max="14591" width="9.140625" style="67"/>
    <col min="14592" max="14592" width="72" style="67" customWidth="1"/>
    <col min="14593" max="14593" width="16.7109375" style="67" customWidth="1"/>
    <col min="14594" max="14594" width="16.140625" style="67" bestFit="1" customWidth="1"/>
    <col min="14595" max="14598" width="16.5703125" style="67" bestFit="1" customWidth="1"/>
    <col min="14599" max="14599" width="16.5703125" style="67" customWidth="1"/>
    <col min="14600" max="14601" width="16.5703125" style="67" bestFit="1" customWidth="1"/>
    <col min="14602" max="14602" width="16.5703125" style="67" customWidth="1"/>
    <col min="14603" max="14603" width="16.5703125" style="67" bestFit="1" customWidth="1"/>
    <col min="14604" max="14604" width="15.28515625" style="67" bestFit="1" customWidth="1"/>
    <col min="14605" max="14605" width="12.28515625" style="67" bestFit="1" customWidth="1"/>
    <col min="14606" max="14606" width="13.28515625" style="67" customWidth="1"/>
    <col min="14607" max="14607" width="6.7109375" style="67" customWidth="1"/>
    <col min="14608" max="14610" width="16.5703125" style="67" bestFit="1" customWidth="1"/>
    <col min="14611" max="14613" width="6.7109375" style="67" customWidth="1"/>
    <col min="14614" max="14615" width="16.5703125" style="67" bestFit="1" customWidth="1"/>
    <col min="14616" max="14616" width="6.7109375" style="67" customWidth="1"/>
    <col min="14617" max="14847" width="9.140625" style="67"/>
    <col min="14848" max="14848" width="72" style="67" customWidth="1"/>
    <col min="14849" max="14849" width="16.7109375" style="67" customWidth="1"/>
    <col min="14850" max="14850" width="16.140625" style="67" bestFit="1" customWidth="1"/>
    <col min="14851" max="14854" width="16.5703125" style="67" bestFit="1" customWidth="1"/>
    <col min="14855" max="14855" width="16.5703125" style="67" customWidth="1"/>
    <col min="14856" max="14857" width="16.5703125" style="67" bestFit="1" customWidth="1"/>
    <col min="14858" max="14858" width="16.5703125" style="67" customWidth="1"/>
    <col min="14859" max="14859" width="16.5703125" style="67" bestFit="1" customWidth="1"/>
    <col min="14860" max="14860" width="15.28515625" style="67" bestFit="1" customWidth="1"/>
    <col min="14861" max="14861" width="12.28515625" style="67" bestFit="1" customWidth="1"/>
    <col min="14862" max="14862" width="13.28515625" style="67" customWidth="1"/>
    <col min="14863" max="14863" width="6.7109375" style="67" customWidth="1"/>
    <col min="14864" max="14866" width="16.5703125" style="67" bestFit="1" customWidth="1"/>
    <col min="14867" max="14869" width="6.7109375" style="67" customWidth="1"/>
    <col min="14870" max="14871" width="16.5703125" style="67" bestFit="1" customWidth="1"/>
    <col min="14872" max="14872" width="6.7109375" style="67" customWidth="1"/>
    <col min="14873" max="15103" width="9.140625" style="67"/>
    <col min="15104" max="15104" width="72" style="67" customWidth="1"/>
    <col min="15105" max="15105" width="16.7109375" style="67" customWidth="1"/>
    <col min="15106" max="15106" width="16.140625" style="67" bestFit="1" customWidth="1"/>
    <col min="15107" max="15110" width="16.5703125" style="67" bestFit="1" customWidth="1"/>
    <col min="15111" max="15111" width="16.5703125" style="67" customWidth="1"/>
    <col min="15112" max="15113" width="16.5703125" style="67" bestFit="1" customWidth="1"/>
    <col min="15114" max="15114" width="16.5703125" style="67" customWidth="1"/>
    <col min="15115" max="15115" width="16.5703125" style="67" bestFit="1" customWidth="1"/>
    <col min="15116" max="15116" width="15.28515625" style="67" bestFit="1" customWidth="1"/>
    <col min="15117" max="15117" width="12.28515625" style="67" bestFit="1" customWidth="1"/>
    <col min="15118" max="15118" width="13.28515625" style="67" customWidth="1"/>
    <col min="15119" max="15119" width="6.7109375" style="67" customWidth="1"/>
    <col min="15120" max="15122" width="16.5703125" style="67" bestFit="1" customWidth="1"/>
    <col min="15123" max="15125" width="6.7109375" style="67" customWidth="1"/>
    <col min="15126" max="15127" width="16.5703125" style="67" bestFit="1" customWidth="1"/>
    <col min="15128" max="15128" width="6.7109375" style="67" customWidth="1"/>
    <col min="15129" max="15359" width="9.140625" style="67"/>
    <col min="15360" max="15360" width="72" style="67" customWidth="1"/>
    <col min="15361" max="15361" width="16.7109375" style="67" customWidth="1"/>
    <col min="15362" max="15362" width="16.140625" style="67" bestFit="1" customWidth="1"/>
    <col min="15363" max="15366" width="16.5703125" style="67" bestFit="1" customWidth="1"/>
    <col min="15367" max="15367" width="16.5703125" style="67" customWidth="1"/>
    <col min="15368" max="15369" width="16.5703125" style="67" bestFit="1" customWidth="1"/>
    <col min="15370" max="15370" width="16.5703125" style="67" customWidth="1"/>
    <col min="15371" max="15371" width="16.5703125" style="67" bestFit="1" customWidth="1"/>
    <col min="15372" max="15372" width="15.28515625" style="67" bestFit="1" customWidth="1"/>
    <col min="15373" max="15373" width="12.28515625" style="67" bestFit="1" customWidth="1"/>
    <col min="15374" max="15374" width="13.28515625" style="67" customWidth="1"/>
    <col min="15375" max="15375" width="6.7109375" style="67" customWidth="1"/>
    <col min="15376" max="15378" width="16.5703125" style="67" bestFit="1" customWidth="1"/>
    <col min="15379" max="15381" width="6.7109375" style="67" customWidth="1"/>
    <col min="15382" max="15383" width="16.5703125" style="67" bestFit="1" customWidth="1"/>
    <col min="15384" max="15384" width="6.7109375" style="67" customWidth="1"/>
    <col min="15385" max="15615" width="9.140625" style="67"/>
    <col min="15616" max="15616" width="72" style="67" customWidth="1"/>
    <col min="15617" max="15617" width="16.7109375" style="67" customWidth="1"/>
    <col min="15618" max="15618" width="16.140625" style="67" bestFit="1" customWidth="1"/>
    <col min="15619" max="15622" width="16.5703125" style="67" bestFit="1" customWidth="1"/>
    <col min="15623" max="15623" width="16.5703125" style="67" customWidth="1"/>
    <col min="15624" max="15625" width="16.5703125" style="67" bestFit="1" customWidth="1"/>
    <col min="15626" max="15626" width="16.5703125" style="67" customWidth="1"/>
    <col min="15627" max="15627" width="16.5703125" style="67" bestFit="1" customWidth="1"/>
    <col min="15628" max="15628" width="15.28515625" style="67" bestFit="1" customWidth="1"/>
    <col min="15629" max="15629" width="12.28515625" style="67" bestFit="1" customWidth="1"/>
    <col min="15630" max="15630" width="13.28515625" style="67" customWidth="1"/>
    <col min="15631" max="15631" width="6.7109375" style="67" customWidth="1"/>
    <col min="15632" max="15634" width="16.5703125" style="67" bestFit="1" customWidth="1"/>
    <col min="15635" max="15637" width="6.7109375" style="67" customWidth="1"/>
    <col min="15638" max="15639" width="16.5703125" style="67" bestFit="1" customWidth="1"/>
    <col min="15640" max="15640" width="6.7109375" style="67" customWidth="1"/>
    <col min="15641" max="15871" width="9.140625" style="67"/>
    <col min="15872" max="15872" width="72" style="67" customWidth="1"/>
    <col min="15873" max="15873" width="16.7109375" style="67" customWidth="1"/>
    <col min="15874" max="15874" width="16.140625" style="67" bestFit="1" customWidth="1"/>
    <col min="15875" max="15878" width="16.5703125" style="67" bestFit="1" customWidth="1"/>
    <col min="15879" max="15879" width="16.5703125" style="67" customWidth="1"/>
    <col min="15880" max="15881" width="16.5703125" style="67" bestFit="1" customWidth="1"/>
    <col min="15882" max="15882" width="16.5703125" style="67" customWidth="1"/>
    <col min="15883" max="15883" width="16.5703125" style="67" bestFit="1" customWidth="1"/>
    <col min="15884" max="15884" width="15.28515625" style="67" bestFit="1" customWidth="1"/>
    <col min="15885" max="15885" width="12.28515625" style="67" bestFit="1" customWidth="1"/>
    <col min="15886" max="15886" width="13.28515625" style="67" customWidth="1"/>
    <col min="15887" max="15887" width="6.7109375" style="67" customWidth="1"/>
    <col min="15888" max="15890" width="16.5703125" style="67" bestFit="1" customWidth="1"/>
    <col min="15891" max="15893" width="6.7109375" style="67" customWidth="1"/>
    <col min="15894" max="15895" width="16.5703125" style="67" bestFit="1" customWidth="1"/>
    <col min="15896" max="15896" width="6.7109375" style="67" customWidth="1"/>
    <col min="15897" max="16127" width="9.140625" style="67"/>
    <col min="16128" max="16128" width="72" style="67" customWidth="1"/>
    <col min="16129" max="16129" width="16.7109375" style="67" customWidth="1"/>
    <col min="16130" max="16130" width="16.140625" style="67" bestFit="1" customWidth="1"/>
    <col min="16131" max="16134" width="16.5703125" style="67" bestFit="1" customWidth="1"/>
    <col min="16135" max="16135" width="16.5703125" style="67" customWidth="1"/>
    <col min="16136" max="16137" width="16.5703125" style="67" bestFit="1" customWidth="1"/>
    <col min="16138" max="16138" width="16.5703125" style="67" customWidth="1"/>
    <col min="16139" max="16139" width="16.5703125" style="67" bestFit="1" customWidth="1"/>
    <col min="16140" max="16140" width="15.28515625" style="67" bestFit="1" customWidth="1"/>
    <col min="16141" max="16141" width="12.28515625" style="67" bestFit="1" customWidth="1"/>
    <col min="16142" max="16142" width="13.28515625" style="67" customWidth="1"/>
    <col min="16143" max="16143" width="6.7109375" style="67" customWidth="1"/>
    <col min="16144" max="16146" width="16.5703125" style="67" bestFit="1" customWidth="1"/>
    <col min="16147" max="16149" width="6.7109375" style="67" customWidth="1"/>
    <col min="16150" max="16151" width="16.5703125" style="67" bestFit="1" customWidth="1"/>
    <col min="16152" max="16152" width="6.7109375" style="67" customWidth="1"/>
    <col min="16153" max="16384" width="9.140625" style="67"/>
  </cols>
  <sheetData>
    <row r="1" spans="2:24" x14ac:dyDescent="0.25">
      <c r="B1" s="131" t="s">
        <v>562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2:24" x14ac:dyDescent="0.25">
      <c r="B2" s="131" t="s">
        <v>563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24" s="133" customFormat="1" ht="15.75" customHeight="1" x14ac:dyDescent="0.25">
      <c r="B3" s="132" t="s">
        <v>569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S3" s="144" t="s">
        <v>302</v>
      </c>
      <c r="T3" s="144"/>
      <c r="U3" s="144"/>
      <c r="W3" s="144" t="s">
        <v>302</v>
      </c>
      <c r="X3" s="144"/>
    </row>
    <row r="4" spans="2:24" s="134" customFormat="1" ht="47.25" x14ac:dyDescent="0.25">
      <c r="B4" s="84" t="s">
        <v>303</v>
      </c>
      <c r="C4" s="84" t="s">
        <v>432</v>
      </c>
      <c r="D4" s="84" t="s">
        <v>431</v>
      </c>
      <c r="E4" s="84" t="s">
        <v>1</v>
      </c>
      <c r="F4" s="84" t="s">
        <v>304</v>
      </c>
      <c r="G4" s="84" t="s">
        <v>305</v>
      </c>
      <c r="H4" s="84" t="s">
        <v>306</v>
      </c>
      <c r="I4" s="84" t="s">
        <v>307</v>
      </c>
      <c r="J4" s="84" t="s">
        <v>554</v>
      </c>
      <c r="K4" s="84">
        <v>35</v>
      </c>
      <c r="L4" s="84">
        <v>43</v>
      </c>
      <c r="M4" s="84" t="s">
        <v>308</v>
      </c>
      <c r="N4" s="84" t="s">
        <v>309</v>
      </c>
      <c r="O4" s="84" t="s">
        <v>310</v>
      </c>
      <c r="P4" s="84" t="s">
        <v>311</v>
      </c>
      <c r="Q4" s="84" t="s">
        <v>312</v>
      </c>
      <c r="R4" s="145" t="s">
        <v>313</v>
      </c>
      <c r="S4" s="145" t="s">
        <v>314</v>
      </c>
      <c r="T4" s="145" t="s">
        <v>315</v>
      </c>
      <c r="U4" s="145" t="s">
        <v>316</v>
      </c>
      <c r="V4" s="145" t="s">
        <v>313</v>
      </c>
      <c r="W4" s="145" t="s">
        <v>317</v>
      </c>
      <c r="X4" s="145" t="s">
        <v>318</v>
      </c>
    </row>
    <row r="5" spans="2:24" s="133" customFormat="1" x14ac:dyDescent="0.25">
      <c r="B5" s="146"/>
      <c r="C5" s="146"/>
      <c r="D5" s="146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</row>
    <row r="6" spans="2:24" s="133" customFormat="1" x14ac:dyDescent="0.25">
      <c r="B6" s="146" t="s">
        <v>319</v>
      </c>
      <c r="C6" s="146"/>
      <c r="D6" s="146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6"/>
      <c r="S6" s="146"/>
      <c r="T6" s="146"/>
      <c r="U6" s="146"/>
      <c r="V6" s="146"/>
      <c r="W6" s="146"/>
      <c r="X6" s="146"/>
    </row>
    <row r="7" spans="2:24" s="133" customFormat="1" x14ac:dyDescent="0.25">
      <c r="B7" s="67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S7" s="136"/>
      <c r="T7" s="136"/>
      <c r="U7" s="136"/>
      <c r="V7" s="136"/>
      <c r="W7" s="136"/>
      <c r="X7" s="136"/>
    </row>
    <row r="8" spans="2:24" x14ac:dyDescent="0.25">
      <c r="B8" s="137" t="s">
        <v>435</v>
      </c>
      <c r="C8" s="149" t="s">
        <v>320</v>
      </c>
      <c r="D8" s="149">
        <v>1</v>
      </c>
      <c r="E8" s="150">
        <f>SUM(F8:Q8)</f>
        <v>1115040</v>
      </c>
      <c r="F8" s="150">
        <v>980660</v>
      </c>
      <c r="G8" s="150">
        <v>117918</v>
      </c>
      <c r="H8" s="150">
        <v>7616</v>
      </c>
      <c r="I8" s="150">
        <v>778</v>
      </c>
      <c r="J8" s="150">
        <v>475</v>
      </c>
      <c r="K8" s="150">
        <v>1</v>
      </c>
      <c r="L8" s="150">
        <v>158</v>
      </c>
      <c r="M8" s="150">
        <v>158</v>
      </c>
      <c r="N8" s="150">
        <v>25</v>
      </c>
      <c r="O8" s="150">
        <f>W8+X8</f>
        <v>16</v>
      </c>
      <c r="P8" s="150">
        <v>7227</v>
      </c>
      <c r="Q8" s="150">
        <v>8</v>
      </c>
      <c r="R8" s="149"/>
      <c r="S8" s="149">
        <v>475</v>
      </c>
      <c r="T8" s="149">
        <v>1</v>
      </c>
      <c r="U8" s="149">
        <v>158</v>
      </c>
      <c r="V8" s="149"/>
      <c r="W8" s="149">
        <v>2</v>
      </c>
      <c r="X8" s="149">
        <v>14</v>
      </c>
    </row>
    <row r="9" spans="2:24" x14ac:dyDescent="0.25">
      <c r="B9" s="137" t="s">
        <v>436</v>
      </c>
      <c r="C9" s="149" t="s">
        <v>321</v>
      </c>
      <c r="D9" s="149">
        <f>D8+1</f>
        <v>2</v>
      </c>
      <c r="E9" s="150">
        <f t="shared" ref="E9:E72" si="0">SUM(F9:Q9)</f>
        <v>1106972</v>
      </c>
      <c r="F9" s="150">
        <v>980660</v>
      </c>
      <c r="G9" s="150">
        <v>117918</v>
      </c>
      <c r="H9" s="150">
        <v>7616</v>
      </c>
      <c r="I9" s="150">
        <v>778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f t="shared" ref="O9:O59" si="1">W9+X9</f>
        <v>0</v>
      </c>
      <c r="P9" s="150">
        <v>0</v>
      </c>
      <c r="Q9" s="150">
        <v>0</v>
      </c>
      <c r="R9" s="149"/>
      <c r="S9" s="149">
        <v>0</v>
      </c>
      <c r="T9" s="149">
        <v>0</v>
      </c>
      <c r="U9" s="149">
        <v>0</v>
      </c>
      <c r="V9" s="149"/>
      <c r="W9" s="149">
        <v>0</v>
      </c>
      <c r="X9" s="149">
        <v>0</v>
      </c>
    </row>
    <row r="10" spans="2:24" x14ac:dyDescent="0.25">
      <c r="B10" s="137" t="s">
        <v>437</v>
      </c>
      <c r="C10" s="149" t="s">
        <v>322</v>
      </c>
      <c r="D10" s="149">
        <f t="shared" ref="D10:D73" si="2">D9+1</f>
        <v>3</v>
      </c>
      <c r="E10" s="150">
        <f t="shared" si="0"/>
        <v>25302937.027326714</v>
      </c>
      <c r="F10" s="150">
        <v>21775683.003815174</v>
      </c>
      <c r="G10" s="150">
        <v>2606606.821129892</v>
      </c>
      <c r="H10" s="150">
        <v>216906.71686354594</v>
      </c>
      <c r="I10" s="150">
        <v>121483.56323524928</v>
      </c>
      <c r="J10" s="150">
        <v>42408.004722189718</v>
      </c>
      <c r="K10" s="150">
        <v>16.75537372639668</v>
      </c>
      <c r="L10" s="150">
        <v>5567.961830232286</v>
      </c>
      <c r="M10" s="150">
        <v>78494.339012835961</v>
      </c>
      <c r="N10" s="150">
        <v>47853.400905634764</v>
      </c>
      <c r="O10" s="150">
        <f t="shared" si="1"/>
        <v>302986.52947190317</v>
      </c>
      <c r="P10" s="150">
        <v>104905.13428470223</v>
      </c>
      <c r="Q10" s="150">
        <v>24.796681627020366</v>
      </c>
      <c r="R10" s="149"/>
      <c r="S10" s="149">
        <v>42408.004722189718</v>
      </c>
      <c r="T10" s="149">
        <v>16.75537372639668</v>
      </c>
      <c r="U10" s="149">
        <v>5567.961830232286</v>
      </c>
      <c r="V10" s="149"/>
      <c r="W10" s="149">
        <v>15058.300807760153</v>
      </c>
      <c r="X10" s="149">
        <v>287928.22866414301</v>
      </c>
    </row>
    <row r="11" spans="2:24" x14ac:dyDescent="0.25">
      <c r="B11" s="137" t="s">
        <v>438</v>
      </c>
      <c r="C11" s="149" t="s">
        <v>323</v>
      </c>
      <c r="D11" s="149">
        <f t="shared" si="2"/>
        <v>4</v>
      </c>
      <c r="E11" s="150">
        <f t="shared" si="0"/>
        <v>1137948</v>
      </c>
      <c r="F11" s="150">
        <v>999962</v>
      </c>
      <c r="G11" s="150">
        <v>128234</v>
      </c>
      <c r="H11" s="150">
        <v>7993</v>
      </c>
      <c r="I11" s="150">
        <v>815</v>
      </c>
      <c r="J11" s="150">
        <v>494</v>
      </c>
      <c r="K11" s="150">
        <v>1</v>
      </c>
      <c r="L11" s="150">
        <v>164</v>
      </c>
      <c r="M11" s="150">
        <v>190</v>
      </c>
      <c r="N11" s="150">
        <v>37</v>
      </c>
      <c r="O11" s="150">
        <f t="shared" si="1"/>
        <v>49</v>
      </c>
      <c r="P11" s="150">
        <v>0</v>
      </c>
      <c r="Q11" s="150">
        <v>9</v>
      </c>
      <c r="R11" s="149"/>
      <c r="S11" s="149">
        <v>494</v>
      </c>
      <c r="T11" s="149">
        <v>1</v>
      </c>
      <c r="U11" s="149">
        <v>164</v>
      </c>
      <c r="V11" s="149"/>
      <c r="W11" s="149">
        <v>2</v>
      </c>
      <c r="X11" s="149">
        <v>47</v>
      </c>
    </row>
    <row r="12" spans="2:24" x14ac:dyDescent="0.25">
      <c r="B12" s="137" t="s">
        <v>439</v>
      </c>
      <c r="C12" s="149" t="s">
        <v>324</v>
      </c>
      <c r="D12" s="149">
        <f t="shared" si="2"/>
        <v>5</v>
      </c>
      <c r="E12" s="150">
        <f t="shared" si="0"/>
        <v>1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1</v>
      </c>
      <c r="N12" s="150">
        <v>0</v>
      </c>
      <c r="O12" s="150">
        <f t="shared" si="1"/>
        <v>0</v>
      </c>
      <c r="P12" s="150">
        <v>0</v>
      </c>
      <c r="Q12" s="150">
        <v>0</v>
      </c>
      <c r="R12" s="149"/>
      <c r="S12" s="149">
        <v>0</v>
      </c>
      <c r="T12" s="149">
        <v>0</v>
      </c>
      <c r="U12" s="149">
        <v>0</v>
      </c>
      <c r="V12" s="149"/>
      <c r="W12" s="149">
        <v>0</v>
      </c>
      <c r="X12" s="149">
        <v>0</v>
      </c>
    </row>
    <row r="13" spans="2:24" x14ac:dyDescent="0.25">
      <c r="B13" s="137" t="s">
        <v>440</v>
      </c>
      <c r="C13" s="149" t="s">
        <v>325</v>
      </c>
      <c r="D13" s="149">
        <f t="shared" si="2"/>
        <v>6</v>
      </c>
      <c r="E13" s="150">
        <f t="shared" si="0"/>
        <v>18752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f t="shared" si="1"/>
        <v>18752</v>
      </c>
      <c r="P13" s="150">
        <v>0</v>
      </c>
      <c r="Q13" s="150">
        <v>0</v>
      </c>
      <c r="R13" s="149"/>
      <c r="S13" s="149">
        <v>0</v>
      </c>
      <c r="T13" s="149">
        <v>0</v>
      </c>
      <c r="U13" s="149">
        <v>0</v>
      </c>
      <c r="V13" s="149"/>
      <c r="W13" s="149">
        <v>259792</v>
      </c>
      <c r="X13" s="149">
        <v>-241040</v>
      </c>
    </row>
    <row r="14" spans="2:24" x14ac:dyDescent="0.25">
      <c r="B14" s="137" t="s">
        <v>441</v>
      </c>
      <c r="C14" s="149" t="s">
        <v>326</v>
      </c>
      <c r="D14" s="149">
        <f t="shared" si="2"/>
        <v>7</v>
      </c>
      <c r="E14" s="150">
        <f t="shared" si="0"/>
        <v>7494527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f t="shared" si="1"/>
        <v>7494527</v>
      </c>
      <c r="P14" s="150">
        <v>0</v>
      </c>
      <c r="Q14" s="150">
        <v>0</v>
      </c>
      <c r="R14" s="149"/>
      <c r="S14" s="149">
        <v>0</v>
      </c>
      <c r="T14" s="149">
        <v>0</v>
      </c>
      <c r="U14" s="149">
        <v>0</v>
      </c>
      <c r="V14" s="149"/>
      <c r="W14" s="149">
        <v>339573</v>
      </c>
      <c r="X14" s="149">
        <v>7154954</v>
      </c>
    </row>
    <row r="15" spans="2:24" x14ac:dyDescent="0.25">
      <c r="B15" s="137" t="s">
        <v>442</v>
      </c>
      <c r="C15" s="149" t="s">
        <v>327</v>
      </c>
      <c r="D15" s="149">
        <f t="shared" si="2"/>
        <v>8</v>
      </c>
      <c r="E15" s="150">
        <f t="shared" si="0"/>
        <v>1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f t="shared" si="1"/>
        <v>0</v>
      </c>
      <c r="P15" s="150">
        <v>0</v>
      </c>
      <c r="Q15" s="150">
        <v>1</v>
      </c>
      <c r="R15" s="149"/>
      <c r="S15" s="149">
        <v>0</v>
      </c>
      <c r="T15" s="149">
        <v>0</v>
      </c>
      <c r="U15" s="149">
        <v>0</v>
      </c>
      <c r="V15" s="149"/>
      <c r="W15" s="149">
        <v>0</v>
      </c>
      <c r="X15" s="149">
        <v>0</v>
      </c>
    </row>
    <row r="16" spans="2:24" x14ac:dyDescent="0.25">
      <c r="B16" s="137" t="s">
        <v>110</v>
      </c>
      <c r="C16" s="149" t="s">
        <v>328</v>
      </c>
      <c r="D16" s="149">
        <f t="shared" si="2"/>
        <v>9</v>
      </c>
      <c r="E16" s="150">
        <f t="shared" si="0"/>
        <v>-30322648.739999998</v>
      </c>
      <c r="F16" s="150">
        <v>-26452302.719999999</v>
      </c>
      <c r="G16" s="150">
        <v>-2326458.21</v>
      </c>
      <c r="H16" s="150">
        <v>-1018782.5900000001</v>
      </c>
      <c r="I16" s="150">
        <v>-449649.14</v>
      </c>
      <c r="J16" s="150">
        <v>-37392.75</v>
      </c>
      <c r="K16" s="150">
        <v>0</v>
      </c>
      <c r="L16" s="150">
        <v>0</v>
      </c>
      <c r="M16" s="150">
        <v>-376</v>
      </c>
      <c r="N16" s="150">
        <v>0</v>
      </c>
      <c r="O16" s="150">
        <f t="shared" si="1"/>
        <v>0</v>
      </c>
      <c r="P16" s="150">
        <v>-37687.33</v>
      </c>
      <c r="Q16" s="150">
        <v>0</v>
      </c>
      <c r="R16" s="149"/>
      <c r="S16" s="149">
        <v>-37392.75</v>
      </c>
      <c r="T16" s="149">
        <v>0</v>
      </c>
      <c r="U16" s="149">
        <v>0</v>
      </c>
      <c r="V16" s="149"/>
      <c r="W16" s="149">
        <v>0</v>
      </c>
      <c r="X16" s="149">
        <v>0</v>
      </c>
    </row>
    <row r="17" spans="2:24" x14ac:dyDescent="0.25">
      <c r="B17" s="137" t="s">
        <v>112</v>
      </c>
      <c r="C17" s="151" t="s">
        <v>329</v>
      </c>
      <c r="D17" s="149">
        <f t="shared" si="2"/>
        <v>10</v>
      </c>
      <c r="E17" s="150">
        <f t="shared" si="0"/>
        <v>-54720677.887500003</v>
      </c>
      <c r="F17" s="150">
        <v>-21173102.935833331</v>
      </c>
      <c r="G17" s="150">
        <v>-31313866.958082631</v>
      </c>
      <c r="H17" s="150">
        <v>-2025260.4454428728</v>
      </c>
      <c r="I17" s="150">
        <v>-208447.54814116366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f t="shared" si="1"/>
        <v>0</v>
      </c>
      <c r="P17" s="150">
        <v>0</v>
      </c>
      <c r="Q17" s="150">
        <v>0</v>
      </c>
      <c r="R17" s="149"/>
      <c r="S17" s="149">
        <v>0</v>
      </c>
      <c r="T17" s="149">
        <v>0</v>
      </c>
      <c r="U17" s="149">
        <v>0</v>
      </c>
      <c r="V17" s="149"/>
      <c r="W17" s="149">
        <v>0</v>
      </c>
      <c r="X17" s="149">
        <v>0</v>
      </c>
    </row>
    <row r="18" spans="2:24" x14ac:dyDescent="0.25">
      <c r="B18" s="137" t="s">
        <v>443</v>
      </c>
      <c r="C18" s="149" t="s">
        <v>330</v>
      </c>
      <c r="D18" s="149">
        <f t="shared" si="2"/>
        <v>11</v>
      </c>
      <c r="E18" s="150">
        <f t="shared" si="0"/>
        <v>3221790.9</v>
      </c>
      <c r="F18" s="150">
        <v>0</v>
      </c>
      <c r="G18" s="150">
        <v>0</v>
      </c>
      <c r="H18" s="150">
        <v>0</v>
      </c>
      <c r="I18" s="150">
        <v>0</v>
      </c>
      <c r="J18" s="150">
        <v>813608.53999999992</v>
      </c>
      <c r="K18" s="150">
        <v>0</v>
      </c>
      <c r="L18" s="150">
        <v>47249.630000000005</v>
      </c>
      <c r="M18" s="150">
        <v>2341535.54</v>
      </c>
      <c r="N18" s="150">
        <v>0</v>
      </c>
      <c r="O18" s="150">
        <f t="shared" si="1"/>
        <v>0</v>
      </c>
      <c r="P18" s="150">
        <v>0</v>
      </c>
      <c r="Q18" s="150">
        <v>19397.189999999999</v>
      </c>
      <c r="R18" s="149"/>
      <c r="S18" s="149">
        <v>813608.53999999992</v>
      </c>
      <c r="T18" s="149">
        <v>0</v>
      </c>
      <c r="U18" s="149">
        <v>47249.630000000005</v>
      </c>
      <c r="V18" s="149"/>
      <c r="W18" s="149">
        <v>0</v>
      </c>
      <c r="X18" s="149">
        <v>0</v>
      </c>
    </row>
    <row r="19" spans="2:24" x14ac:dyDescent="0.25">
      <c r="B19" s="137" t="s">
        <v>444</v>
      </c>
      <c r="C19" s="149" t="s">
        <v>331</v>
      </c>
      <c r="D19" s="149">
        <f t="shared" si="2"/>
        <v>12</v>
      </c>
      <c r="E19" s="150">
        <f t="shared" si="0"/>
        <v>1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f t="shared" si="1"/>
        <v>0</v>
      </c>
      <c r="P19" s="150">
        <v>1</v>
      </c>
      <c r="Q19" s="150">
        <v>0</v>
      </c>
      <c r="R19" s="149"/>
      <c r="S19" s="149">
        <v>0</v>
      </c>
      <c r="T19" s="149">
        <v>0</v>
      </c>
      <c r="U19" s="149">
        <v>0</v>
      </c>
      <c r="V19" s="149"/>
      <c r="W19" s="149">
        <v>0</v>
      </c>
      <c r="X19" s="149">
        <v>0</v>
      </c>
    </row>
    <row r="20" spans="2:24" x14ac:dyDescent="0.25">
      <c r="B20" s="137" t="s">
        <v>445</v>
      </c>
      <c r="C20" s="149" t="s">
        <v>332</v>
      </c>
      <c r="D20" s="149">
        <f t="shared" si="2"/>
        <v>13</v>
      </c>
      <c r="E20" s="150">
        <f t="shared" si="0"/>
        <v>2848786.98</v>
      </c>
      <c r="F20" s="150">
        <v>2235979.81</v>
      </c>
      <c r="G20" s="150">
        <v>365876.75000000017</v>
      </c>
      <c r="H20" s="150">
        <v>86999.130000000019</v>
      </c>
      <c r="I20" s="150">
        <v>29142.55</v>
      </c>
      <c r="J20" s="150">
        <v>39987.639999999992</v>
      </c>
      <c r="K20" s="150">
        <v>0</v>
      </c>
      <c r="L20" s="150">
        <v>7387.39</v>
      </c>
      <c r="M20" s="150">
        <v>-475.21999999999991</v>
      </c>
      <c r="N20" s="150">
        <v>9912.07</v>
      </c>
      <c r="O20" s="150">
        <f t="shared" si="1"/>
        <v>-16.84</v>
      </c>
      <c r="P20" s="150">
        <v>73933.81</v>
      </c>
      <c r="Q20" s="150">
        <v>59.89</v>
      </c>
      <c r="R20" s="149"/>
      <c r="S20" s="149">
        <v>39987.639999999992</v>
      </c>
      <c r="T20" s="149">
        <v>0</v>
      </c>
      <c r="U20" s="149">
        <v>7387.39</v>
      </c>
      <c r="V20" s="149"/>
      <c r="W20" s="149">
        <v>0</v>
      </c>
      <c r="X20" s="149">
        <v>-16.84</v>
      </c>
    </row>
    <row r="21" spans="2:24" x14ac:dyDescent="0.25">
      <c r="B21" s="137" t="s">
        <v>446</v>
      </c>
      <c r="C21" s="149" t="s">
        <v>333</v>
      </c>
      <c r="D21" s="149">
        <f t="shared" si="2"/>
        <v>14</v>
      </c>
      <c r="E21" s="150">
        <f t="shared" si="0"/>
        <v>301500.40999999992</v>
      </c>
      <c r="F21" s="150">
        <v>291301.34999999998</v>
      </c>
      <c r="G21" s="150">
        <v>10080.040000000001</v>
      </c>
      <c r="H21" s="150">
        <v>40.159999999999997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f t="shared" si="1"/>
        <v>0</v>
      </c>
      <c r="P21" s="150">
        <v>78.86</v>
      </c>
      <c r="Q21" s="150">
        <v>0</v>
      </c>
      <c r="R21" s="149"/>
      <c r="S21" s="149">
        <v>0</v>
      </c>
      <c r="T21" s="149">
        <v>0</v>
      </c>
      <c r="U21" s="149">
        <v>0</v>
      </c>
      <c r="V21" s="149"/>
      <c r="W21" s="149">
        <v>0</v>
      </c>
      <c r="X21" s="149">
        <v>0</v>
      </c>
    </row>
    <row r="22" spans="2:24" x14ac:dyDescent="0.25">
      <c r="B22" s="137" t="s">
        <v>447</v>
      </c>
      <c r="C22" s="149" t="s">
        <v>334</v>
      </c>
      <c r="D22" s="149">
        <f t="shared" si="2"/>
        <v>15</v>
      </c>
      <c r="E22" s="150">
        <f t="shared" si="0"/>
        <v>1376036.6900000004</v>
      </c>
      <c r="F22" s="150">
        <v>1342833.9800000002</v>
      </c>
      <c r="G22" s="150">
        <v>32624.380000000005</v>
      </c>
      <c r="H22" s="150">
        <v>578.33000000000004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f t="shared" si="1"/>
        <v>0</v>
      </c>
      <c r="P22" s="150">
        <v>0</v>
      </c>
      <c r="Q22" s="150">
        <v>0</v>
      </c>
      <c r="R22" s="149"/>
      <c r="S22" s="149">
        <v>0</v>
      </c>
      <c r="T22" s="149">
        <v>0</v>
      </c>
      <c r="U22" s="149">
        <v>0</v>
      </c>
      <c r="V22" s="149"/>
      <c r="W22" s="149">
        <v>0</v>
      </c>
      <c r="X22" s="149">
        <v>0</v>
      </c>
    </row>
    <row r="23" spans="2:24" x14ac:dyDescent="0.25">
      <c r="B23" s="137" t="s">
        <v>448</v>
      </c>
      <c r="C23" s="149" t="s">
        <v>335</v>
      </c>
      <c r="D23" s="149">
        <f t="shared" si="2"/>
        <v>16</v>
      </c>
      <c r="E23" s="150">
        <f t="shared" si="0"/>
        <v>1532384.3199999998</v>
      </c>
      <c r="F23" s="150">
        <v>1403494.0699999996</v>
      </c>
      <c r="G23" s="150">
        <v>125187.51000000001</v>
      </c>
      <c r="H23" s="150">
        <v>3056.099999999999</v>
      </c>
      <c r="I23" s="150">
        <v>398.09999999999997</v>
      </c>
      <c r="J23" s="150">
        <v>87.2</v>
      </c>
      <c r="K23" s="150">
        <v>0</v>
      </c>
      <c r="L23" s="150">
        <v>6.51</v>
      </c>
      <c r="M23" s="150">
        <v>148.72999999999999</v>
      </c>
      <c r="N23" s="150">
        <v>6.1</v>
      </c>
      <c r="O23" s="150">
        <f t="shared" si="1"/>
        <v>0</v>
      </c>
      <c r="P23" s="150">
        <v>0</v>
      </c>
      <c r="Q23" s="150">
        <v>0</v>
      </c>
      <c r="R23" s="149"/>
      <c r="S23" s="149">
        <v>87.2</v>
      </c>
      <c r="T23" s="149">
        <v>0</v>
      </c>
      <c r="U23" s="149">
        <v>6.51</v>
      </c>
      <c r="V23" s="149"/>
      <c r="W23" s="149">
        <v>0</v>
      </c>
      <c r="X23" s="149">
        <v>0</v>
      </c>
    </row>
    <row r="24" spans="2:24" x14ac:dyDescent="0.25">
      <c r="B24" s="137" t="s">
        <v>449</v>
      </c>
      <c r="C24" s="149" t="s">
        <v>336</v>
      </c>
      <c r="D24" s="149">
        <f t="shared" si="2"/>
        <v>17</v>
      </c>
      <c r="E24" s="150">
        <f t="shared" si="0"/>
        <v>980.69999999999982</v>
      </c>
      <c r="F24" s="150">
        <v>-871.72000000000025</v>
      </c>
      <c r="G24" s="150">
        <v>1922.38</v>
      </c>
      <c r="H24" s="150">
        <v>-52.959999999999994</v>
      </c>
      <c r="I24" s="150">
        <v>-17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f t="shared" si="1"/>
        <v>0</v>
      </c>
      <c r="P24" s="150">
        <v>0</v>
      </c>
      <c r="Q24" s="150">
        <v>0</v>
      </c>
      <c r="R24" s="149"/>
      <c r="S24" s="149">
        <v>0</v>
      </c>
      <c r="T24" s="149">
        <v>0</v>
      </c>
      <c r="U24" s="149">
        <v>0</v>
      </c>
      <c r="V24" s="149"/>
      <c r="W24" s="149">
        <v>0</v>
      </c>
      <c r="X24" s="149">
        <v>0</v>
      </c>
    </row>
    <row r="25" spans="2:24" x14ac:dyDescent="0.25">
      <c r="B25" s="137" t="s">
        <v>450</v>
      </c>
      <c r="C25" s="149" t="s">
        <v>337</v>
      </c>
      <c r="D25" s="149">
        <f t="shared" si="2"/>
        <v>18</v>
      </c>
      <c r="E25" s="150">
        <f t="shared" si="0"/>
        <v>1247308.1208836439</v>
      </c>
      <c r="F25" s="150">
        <v>1109044.7117056099</v>
      </c>
      <c r="G25" s="150">
        <v>88251.373678375225</v>
      </c>
      <c r="H25" s="150">
        <v>27420.671695450379</v>
      </c>
      <c r="I25" s="150">
        <v>19431.316323957533</v>
      </c>
      <c r="J25" s="150">
        <v>128.35130925331777</v>
      </c>
      <c r="K25" s="150">
        <v>0</v>
      </c>
      <c r="L25" s="150">
        <v>0</v>
      </c>
      <c r="M25" s="150">
        <v>0</v>
      </c>
      <c r="N25" s="150">
        <v>0</v>
      </c>
      <c r="O25" s="150">
        <f t="shared" si="1"/>
        <v>0</v>
      </c>
      <c r="P25" s="150">
        <v>3031.6961709974385</v>
      </c>
      <c r="Q25" s="150">
        <v>0</v>
      </c>
      <c r="R25" s="149"/>
      <c r="S25" s="149">
        <v>128.35130925331777</v>
      </c>
      <c r="T25" s="149">
        <v>0</v>
      </c>
      <c r="U25" s="149">
        <v>0</v>
      </c>
      <c r="V25" s="149"/>
      <c r="W25" s="149">
        <v>0</v>
      </c>
      <c r="X25" s="149">
        <v>0</v>
      </c>
    </row>
    <row r="26" spans="2:24" x14ac:dyDescent="0.25">
      <c r="B26" s="137" t="s">
        <v>451</v>
      </c>
      <c r="C26" s="149" t="s">
        <v>338</v>
      </c>
      <c r="D26" s="149">
        <f t="shared" si="2"/>
        <v>19</v>
      </c>
      <c r="E26" s="150">
        <f t="shared" si="0"/>
        <v>173542936</v>
      </c>
      <c r="F26" s="150">
        <v>112832556</v>
      </c>
      <c r="G26" s="150">
        <v>31972604.787878789</v>
      </c>
      <c r="H26" s="150">
        <v>8684715.833333334</v>
      </c>
      <c r="I26" s="150">
        <v>983431</v>
      </c>
      <c r="J26" s="150">
        <v>12204754</v>
      </c>
      <c r="K26" s="150">
        <v>28682</v>
      </c>
      <c r="L26" s="150">
        <v>4265921</v>
      </c>
      <c r="M26" s="150">
        <v>1032350.3787878788</v>
      </c>
      <c r="N26" s="150">
        <v>534206</v>
      </c>
      <c r="O26" s="150">
        <f t="shared" si="1"/>
        <v>750194.00000000012</v>
      </c>
      <c r="P26" s="150">
        <v>0</v>
      </c>
      <c r="Q26" s="150">
        <v>253521</v>
      </c>
      <c r="R26" s="149"/>
      <c r="S26" s="149">
        <v>12204754</v>
      </c>
      <c r="T26" s="149">
        <v>28682</v>
      </c>
      <c r="U26" s="149">
        <v>4265921</v>
      </c>
      <c r="V26" s="149"/>
      <c r="W26" s="149">
        <v>30620.163265306124</v>
      </c>
      <c r="X26" s="149">
        <v>719573.83673469396</v>
      </c>
    </row>
    <row r="27" spans="2:24" x14ac:dyDescent="0.25">
      <c r="B27" s="137" t="s">
        <v>452</v>
      </c>
      <c r="C27" s="149" t="s">
        <v>339</v>
      </c>
      <c r="D27" s="149">
        <f t="shared" si="2"/>
        <v>20</v>
      </c>
      <c r="E27" s="150">
        <f t="shared" si="0"/>
        <v>403017</v>
      </c>
      <c r="F27" s="150">
        <v>349601</v>
      </c>
      <c r="G27" s="150">
        <v>51562</v>
      </c>
      <c r="H27" s="150">
        <v>1826</v>
      </c>
      <c r="I27" s="150">
        <v>28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f t="shared" si="1"/>
        <v>0</v>
      </c>
      <c r="P27" s="150">
        <v>0</v>
      </c>
      <c r="Q27" s="150">
        <v>0</v>
      </c>
      <c r="R27" s="149"/>
      <c r="S27" s="149">
        <v>0</v>
      </c>
      <c r="T27" s="149">
        <v>0</v>
      </c>
      <c r="U27" s="149">
        <v>0</v>
      </c>
      <c r="V27" s="149"/>
      <c r="W27" s="149">
        <v>0</v>
      </c>
      <c r="X27" s="149">
        <v>0</v>
      </c>
    </row>
    <row r="28" spans="2:24" x14ac:dyDescent="0.25">
      <c r="B28" s="137" t="s">
        <v>453</v>
      </c>
      <c r="C28" s="149" t="s">
        <v>340</v>
      </c>
      <c r="D28" s="149">
        <f t="shared" si="2"/>
        <v>21</v>
      </c>
      <c r="E28" s="150">
        <f t="shared" si="0"/>
        <v>404799745.95307964</v>
      </c>
      <c r="F28" s="150">
        <v>295642644.14069372</v>
      </c>
      <c r="G28" s="150">
        <v>46340552.898913719</v>
      </c>
      <c r="H28" s="150">
        <v>5943198.0976538872</v>
      </c>
      <c r="I28" s="150">
        <v>75445.980448461574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f t="shared" si="1"/>
        <v>0</v>
      </c>
      <c r="P28" s="150">
        <v>56797904.835369848</v>
      </c>
      <c r="Q28" s="150">
        <v>0</v>
      </c>
      <c r="R28" s="149"/>
      <c r="S28" s="149">
        <v>0</v>
      </c>
      <c r="T28" s="149">
        <v>0</v>
      </c>
      <c r="U28" s="149">
        <v>0</v>
      </c>
      <c r="V28" s="149"/>
      <c r="W28" s="149">
        <v>0</v>
      </c>
      <c r="X28" s="149">
        <v>0</v>
      </c>
    </row>
    <row r="29" spans="2:24" x14ac:dyDescent="0.25">
      <c r="B29" s="137" t="s">
        <v>454</v>
      </c>
      <c r="C29" s="149" t="s">
        <v>341</v>
      </c>
      <c r="D29" s="149">
        <f t="shared" si="2"/>
        <v>22</v>
      </c>
      <c r="E29" s="150">
        <f t="shared" si="0"/>
        <v>1963503474.129941</v>
      </c>
      <c r="F29" s="150">
        <v>1066627454</v>
      </c>
      <c r="G29" s="150">
        <v>266944271</v>
      </c>
      <c r="H29" s="150">
        <v>252922820</v>
      </c>
      <c r="I29" s="150">
        <v>151834735</v>
      </c>
      <c r="J29" s="150">
        <v>101394675</v>
      </c>
      <c r="K29" s="150">
        <v>248214</v>
      </c>
      <c r="L29" s="150">
        <v>10337826</v>
      </c>
      <c r="M29" s="150">
        <v>47836622.129941091</v>
      </c>
      <c r="N29" s="150">
        <v>40360092</v>
      </c>
      <c r="O29" s="150">
        <f t="shared" si="1"/>
        <v>7513279</v>
      </c>
      <c r="P29" s="150">
        <v>17167097</v>
      </c>
      <c r="Q29" s="150">
        <v>316389</v>
      </c>
      <c r="R29" s="149"/>
      <c r="S29" s="149">
        <v>101394675</v>
      </c>
      <c r="T29" s="149">
        <v>248214</v>
      </c>
      <c r="U29" s="149">
        <v>10337826</v>
      </c>
      <c r="V29" s="149"/>
      <c r="W29" s="149">
        <v>0</v>
      </c>
      <c r="X29" s="149">
        <v>7513279</v>
      </c>
    </row>
    <row r="30" spans="2:24" x14ac:dyDescent="0.25">
      <c r="B30" s="137" t="s">
        <v>455</v>
      </c>
      <c r="C30" s="149" t="s">
        <v>342</v>
      </c>
      <c r="D30" s="149">
        <f t="shared" si="2"/>
        <v>23</v>
      </c>
      <c r="E30" s="150">
        <f t="shared" si="0"/>
        <v>1955673806.129941</v>
      </c>
      <c r="F30" s="150">
        <v>1066627454</v>
      </c>
      <c r="G30" s="150">
        <v>266944271</v>
      </c>
      <c r="H30" s="150">
        <v>252922820</v>
      </c>
      <c r="I30" s="150">
        <v>151834735</v>
      </c>
      <c r="J30" s="150">
        <v>101394675</v>
      </c>
      <c r="K30" s="150">
        <v>248214</v>
      </c>
      <c r="L30" s="150">
        <v>10337826</v>
      </c>
      <c r="M30" s="150">
        <v>47836622.129941091</v>
      </c>
      <c r="N30" s="150">
        <v>40360092</v>
      </c>
      <c r="O30" s="150">
        <f t="shared" si="1"/>
        <v>0</v>
      </c>
      <c r="P30" s="150">
        <v>17167097</v>
      </c>
      <c r="Q30" s="150">
        <v>0</v>
      </c>
      <c r="R30" s="149"/>
      <c r="S30" s="149">
        <v>101394675</v>
      </c>
      <c r="T30" s="149">
        <v>248214</v>
      </c>
      <c r="U30" s="149">
        <v>10337826</v>
      </c>
      <c r="V30" s="149"/>
      <c r="W30" s="149">
        <v>0</v>
      </c>
      <c r="X30" s="149">
        <v>0</v>
      </c>
    </row>
    <row r="31" spans="2:24" x14ac:dyDescent="0.25">
      <c r="B31" s="137" t="s">
        <v>456</v>
      </c>
      <c r="C31" s="149" t="s">
        <v>343</v>
      </c>
      <c r="D31" s="149">
        <f t="shared" si="2"/>
        <v>24</v>
      </c>
      <c r="E31" s="152">
        <f t="shared" si="0"/>
        <v>1</v>
      </c>
      <c r="F31" s="152">
        <v>1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f t="shared" si="1"/>
        <v>0</v>
      </c>
      <c r="P31" s="152">
        <v>0</v>
      </c>
      <c r="Q31" s="152">
        <v>0</v>
      </c>
      <c r="R31" s="149"/>
      <c r="S31" s="149">
        <v>0</v>
      </c>
      <c r="T31" s="149">
        <v>0</v>
      </c>
      <c r="U31" s="149">
        <v>0</v>
      </c>
      <c r="V31" s="149"/>
      <c r="W31" s="149">
        <v>0</v>
      </c>
      <c r="X31" s="149">
        <v>0</v>
      </c>
    </row>
    <row r="32" spans="2:24" x14ac:dyDescent="0.25">
      <c r="B32" s="137" t="s">
        <v>457</v>
      </c>
      <c r="C32" s="149" t="s">
        <v>344</v>
      </c>
      <c r="D32" s="149">
        <f t="shared" si="2"/>
        <v>25</v>
      </c>
      <c r="E32" s="150">
        <f t="shared" si="0"/>
        <v>491404408.74264705</v>
      </c>
      <c r="F32" s="150">
        <v>361443716.53278774</v>
      </c>
      <c r="G32" s="150">
        <v>71223270.920080781</v>
      </c>
      <c r="H32" s="150">
        <v>43117510.157735966</v>
      </c>
      <c r="I32" s="150">
        <v>14458390.062042588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f t="shared" si="1"/>
        <v>0</v>
      </c>
      <c r="P32" s="150">
        <v>1132486.0600000008</v>
      </c>
      <c r="Q32" s="150">
        <v>29035.010000000002</v>
      </c>
      <c r="R32" s="149"/>
      <c r="S32" s="149">
        <v>0</v>
      </c>
      <c r="T32" s="149">
        <v>0</v>
      </c>
      <c r="U32" s="149">
        <v>0</v>
      </c>
      <c r="V32" s="149"/>
      <c r="W32" s="149">
        <v>0</v>
      </c>
      <c r="X32" s="149">
        <v>0</v>
      </c>
    </row>
    <row r="33" spans="2:24" x14ac:dyDescent="0.25">
      <c r="B33" s="137" t="s">
        <v>458</v>
      </c>
      <c r="C33" s="149" t="s">
        <v>345</v>
      </c>
      <c r="D33" s="149">
        <f t="shared" si="2"/>
        <v>26</v>
      </c>
      <c r="E33" s="150">
        <f t="shared" si="0"/>
        <v>4147590.7055583242</v>
      </c>
      <c r="F33" s="150">
        <v>2449337.0233694115</v>
      </c>
      <c r="G33" s="150">
        <v>452185.59957767127</v>
      </c>
      <c r="H33" s="150">
        <v>407742.38404954295</v>
      </c>
      <c r="I33" s="150">
        <v>238328.87931575972</v>
      </c>
      <c r="J33" s="150">
        <v>160009.09787502696</v>
      </c>
      <c r="K33" s="150">
        <v>4.2699602406555197</v>
      </c>
      <c r="L33" s="150">
        <v>26944.35931570884</v>
      </c>
      <c r="M33" s="150">
        <v>87032.883781565266</v>
      </c>
      <c r="N33" s="150">
        <v>71371.975379274751</v>
      </c>
      <c r="O33" s="150">
        <f t="shared" si="1"/>
        <v>239990.70555832356</v>
      </c>
      <c r="P33" s="150">
        <v>13181.805734309255</v>
      </c>
      <c r="Q33" s="150">
        <v>1461.7216414892087</v>
      </c>
      <c r="R33" s="149"/>
      <c r="S33" s="149">
        <v>160009.09787502696</v>
      </c>
      <c r="T33" s="149">
        <v>4.2699602406555197</v>
      </c>
      <c r="U33" s="149">
        <v>26944.35931570884</v>
      </c>
      <c r="V33" s="149"/>
      <c r="W33" s="149">
        <v>12060.963921797667</v>
      </c>
      <c r="X33" s="149">
        <v>227929.7416365259</v>
      </c>
    </row>
    <row r="34" spans="2:24" x14ac:dyDescent="0.25">
      <c r="B34" s="137" t="s">
        <v>459</v>
      </c>
      <c r="C34" s="149" t="s">
        <v>346</v>
      </c>
      <c r="D34" s="149">
        <f t="shared" si="2"/>
        <v>27</v>
      </c>
      <c r="E34" s="150">
        <f t="shared" si="0"/>
        <v>4115660.1608276716</v>
      </c>
      <c r="F34" s="150">
        <v>2449337.0233694115</v>
      </c>
      <c r="G34" s="150">
        <v>452185.59957767127</v>
      </c>
      <c r="H34" s="150">
        <v>407742.38404954295</v>
      </c>
      <c r="I34" s="150">
        <v>238328.87931575972</v>
      </c>
      <c r="J34" s="150">
        <v>160009.09787502696</v>
      </c>
      <c r="K34" s="150">
        <v>4.2699602406555197</v>
      </c>
      <c r="L34" s="150">
        <v>0</v>
      </c>
      <c r="M34" s="150">
        <v>87032.883781565266</v>
      </c>
      <c r="N34" s="150">
        <v>66385.789964330965</v>
      </c>
      <c r="O34" s="150">
        <f t="shared" si="1"/>
        <v>239990.70555832356</v>
      </c>
      <c r="P34" s="150">
        <v>13181.805734309255</v>
      </c>
      <c r="Q34" s="150">
        <v>1461.7216414892087</v>
      </c>
      <c r="R34" s="149"/>
      <c r="S34" s="149">
        <v>160009.09787502696</v>
      </c>
      <c r="T34" s="149">
        <v>4.2699602406555197</v>
      </c>
      <c r="U34" s="149">
        <v>0</v>
      </c>
      <c r="V34" s="149"/>
      <c r="W34" s="149">
        <v>12060.963921797667</v>
      </c>
      <c r="X34" s="149">
        <v>227929.7416365259</v>
      </c>
    </row>
    <row r="35" spans="2:24" x14ac:dyDescent="0.25">
      <c r="B35" s="137" t="s">
        <v>460</v>
      </c>
      <c r="C35" s="149" t="s">
        <v>347</v>
      </c>
      <c r="D35" s="149">
        <f t="shared" si="2"/>
        <v>28</v>
      </c>
      <c r="E35" s="150">
        <f t="shared" si="0"/>
        <v>3875669.4552693479</v>
      </c>
      <c r="F35" s="150">
        <v>2449337.0233694115</v>
      </c>
      <c r="G35" s="150">
        <v>452185.59957767127</v>
      </c>
      <c r="H35" s="150">
        <v>407742.38404954295</v>
      </c>
      <c r="I35" s="150">
        <v>238328.87931575972</v>
      </c>
      <c r="J35" s="150">
        <v>160009.09787502696</v>
      </c>
      <c r="K35" s="150">
        <v>4.2699602406555197</v>
      </c>
      <c r="L35" s="150">
        <v>0</v>
      </c>
      <c r="M35" s="150">
        <v>87032.883781565266</v>
      </c>
      <c r="N35" s="150">
        <v>66385.789964330965</v>
      </c>
      <c r="O35" s="150">
        <f t="shared" si="1"/>
        <v>0</v>
      </c>
      <c r="P35" s="150">
        <v>13181.805734309255</v>
      </c>
      <c r="Q35" s="150">
        <v>1461.7216414892087</v>
      </c>
      <c r="R35" s="149"/>
      <c r="S35" s="149">
        <v>160009.09787502696</v>
      </c>
      <c r="T35" s="149">
        <v>4.2699602406555197</v>
      </c>
      <c r="U35" s="149">
        <v>0</v>
      </c>
      <c r="V35" s="149"/>
      <c r="W35" s="149">
        <v>0</v>
      </c>
      <c r="X35" s="149">
        <v>0</v>
      </c>
    </row>
    <row r="36" spans="2:24" x14ac:dyDescent="0.25">
      <c r="B36" s="137" t="s">
        <v>461</v>
      </c>
      <c r="C36" s="149" t="s">
        <v>348</v>
      </c>
      <c r="D36" s="149">
        <f t="shared" si="2"/>
        <v>29</v>
      </c>
      <c r="E36" s="150">
        <f t="shared" si="0"/>
        <v>4184918.5092511764</v>
      </c>
      <c r="F36" s="150">
        <v>2401760.8159533199</v>
      </c>
      <c r="G36" s="150">
        <v>483797.35950569448</v>
      </c>
      <c r="H36" s="150">
        <v>451080.23982046382</v>
      </c>
      <c r="I36" s="150">
        <v>256180.171393383</v>
      </c>
      <c r="J36" s="150">
        <v>175561.10593684699</v>
      </c>
      <c r="K36" s="150">
        <v>4.0419526549894496</v>
      </c>
      <c r="L36" s="150">
        <v>0</v>
      </c>
      <c r="M36" s="150">
        <v>90791.570981487195</v>
      </c>
      <c r="N36" s="150">
        <v>67179.705291231017</v>
      </c>
      <c r="O36" s="150">
        <f t="shared" si="1"/>
        <v>243260.65072504251</v>
      </c>
      <c r="P36" s="150">
        <v>13772.381425311305</v>
      </c>
      <c r="Q36" s="150">
        <v>1530.4662657410647</v>
      </c>
      <c r="R36" s="149"/>
      <c r="S36" s="149">
        <v>175561.10593684699</v>
      </c>
      <c r="T36" s="149">
        <v>4.0419526549894496</v>
      </c>
      <c r="U36" s="149">
        <v>0</v>
      </c>
      <c r="V36" s="149"/>
      <c r="W36" s="149">
        <v>12414.482378834524</v>
      </c>
      <c r="X36" s="149">
        <v>230846.168346208</v>
      </c>
    </row>
    <row r="37" spans="2:24" x14ac:dyDescent="0.25">
      <c r="B37" s="137" t="s">
        <v>462</v>
      </c>
      <c r="C37" s="149" t="s">
        <v>349</v>
      </c>
      <c r="D37" s="149">
        <f t="shared" si="2"/>
        <v>30</v>
      </c>
      <c r="E37" s="150">
        <f t="shared" si="0"/>
        <v>3941657.8585261339</v>
      </c>
      <c r="F37" s="150">
        <v>2401760.8159533199</v>
      </c>
      <c r="G37" s="150">
        <v>483797.35950569448</v>
      </c>
      <c r="H37" s="150">
        <v>451080.23982046382</v>
      </c>
      <c r="I37" s="150">
        <v>256180.171393383</v>
      </c>
      <c r="J37" s="150">
        <v>175561.10593684699</v>
      </c>
      <c r="K37" s="150">
        <v>4.0419526549894496</v>
      </c>
      <c r="L37" s="150">
        <v>0</v>
      </c>
      <c r="M37" s="150">
        <v>90791.570981487195</v>
      </c>
      <c r="N37" s="150">
        <v>67179.705291231017</v>
      </c>
      <c r="O37" s="150">
        <f t="shared" si="1"/>
        <v>0</v>
      </c>
      <c r="P37" s="150">
        <v>13772.381425311305</v>
      </c>
      <c r="Q37" s="150">
        <v>1530.4662657410647</v>
      </c>
      <c r="R37" s="149"/>
      <c r="S37" s="149">
        <v>175561.10593684699</v>
      </c>
      <c r="T37" s="149">
        <v>4.0419526549894496</v>
      </c>
      <c r="U37" s="149">
        <v>0</v>
      </c>
      <c r="V37" s="149"/>
      <c r="W37" s="149">
        <v>0</v>
      </c>
      <c r="X37" s="149">
        <v>0</v>
      </c>
    </row>
    <row r="38" spans="2:24" x14ac:dyDescent="0.25">
      <c r="B38" s="137" t="s">
        <v>463</v>
      </c>
      <c r="C38" s="149" t="s">
        <v>350</v>
      </c>
      <c r="D38" s="149">
        <f t="shared" si="2"/>
        <v>31</v>
      </c>
      <c r="E38" s="150">
        <f t="shared" si="0"/>
        <v>-10782.6924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-10782.6924</v>
      </c>
      <c r="O38" s="150">
        <f t="shared" si="1"/>
        <v>0</v>
      </c>
      <c r="P38" s="150">
        <v>0</v>
      </c>
      <c r="Q38" s="150">
        <v>0</v>
      </c>
      <c r="R38" s="149"/>
      <c r="S38" s="149">
        <v>0</v>
      </c>
      <c r="T38" s="149">
        <v>0</v>
      </c>
      <c r="U38" s="149">
        <v>0</v>
      </c>
      <c r="V38" s="149"/>
      <c r="W38" s="149">
        <v>0</v>
      </c>
      <c r="X38" s="149">
        <v>0</v>
      </c>
    </row>
    <row r="39" spans="2:24" x14ac:dyDescent="0.25">
      <c r="B39" s="137" t="s">
        <v>464</v>
      </c>
      <c r="C39" s="149" t="s">
        <v>351</v>
      </c>
      <c r="D39" s="149">
        <f t="shared" si="2"/>
        <v>32</v>
      </c>
      <c r="E39" s="150">
        <f t="shared" si="0"/>
        <v>-220823.63379989978</v>
      </c>
      <c r="F39" s="150">
        <v>0</v>
      </c>
      <c r="G39" s="150">
        <v>0</v>
      </c>
      <c r="H39" s="150">
        <v>0</v>
      </c>
      <c r="I39" s="150">
        <v>0</v>
      </c>
      <c r="J39" s="150">
        <v>-9600.18</v>
      </c>
      <c r="K39" s="150">
        <v>0</v>
      </c>
      <c r="L39" s="150">
        <v>0</v>
      </c>
      <c r="M39" s="150">
        <v>-74119.409106299776</v>
      </c>
      <c r="N39" s="150">
        <v>-51224.674693600005</v>
      </c>
      <c r="O39" s="150">
        <f t="shared" si="1"/>
        <v>-85879.37</v>
      </c>
      <c r="P39" s="150">
        <v>0</v>
      </c>
      <c r="Q39" s="150">
        <v>0</v>
      </c>
      <c r="R39" s="149"/>
      <c r="S39" s="149">
        <v>-9600.18</v>
      </c>
      <c r="T39" s="149">
        <v>0</v>
      </c>
      <c r="U39" s="149">
        <v>0</v>
      </c>
      <c r="V39" s="149"/>
      <c r="W39" s="149">
        <v>0</v>
      </c>
      <c r="X39" s="149">
        <v>-85879.37</v>
      </c>
    </row>
    <row r="40" spans="2:24" x14ac:dyDescent="0.25">
      <c r="B40" s="137" t="s">
        <v>465</v>
      </c>
      <c r="C40" s="149" t="s">
        <v>352</v>
      </c>
      <c r="D40" s="149">
        <f t="shared" si="2"/>
        <v>33</v>
      </c>
      <c r="E40" s="150">
        <f t="shared" si="0"/>
        <v>-11695665.535143986</v>
      </c>
      <c r="F40" s="150">
        <v>0</v>
      </c>
      <c r="G40" s="150">
        <v>0</v>
      </c>
      <c r="H40" s="150">
        <v>0</v>
      </c>
      <c r="I40" s="150">
        <v>0</v>
      </c>
      <c r="J40" s="150">
        <v>-649747.09400000004</v>
      </c>
      <c r="K40" s="150">
        <v>0</v>
      </c>
      <c r="L40" s="150">
        <v>0</v>
      </c>
      <c r="M40" s="150">
        <v>-3693957.1280391854</v>
      </c>
      <c r="N40" s="150">
        <v>-3946793.8331048009</v>
      </c>
      <c r="O40" s="150">
        <f t="shared" si="1"/>
        <v>-3405167.48</v>
      </c>
      <c r="P40" s="150">
        <v>0</v>
      </c>
      <c r="Q40" s="150">
        <v>0</v>
      </c>
      <c r="R40" s="149"/>
      <c r="S40" s="149">
        <v>-649747.09400000004</v>
      </c>
      <c r="T40" s="149">
        <v>0</v>
      </c>
      <c r="U40" s="149">
        <v>0</v>
      </c>
      <c r="V40" s="149"/>
      <c r="W40" s="149">
        <v>0</v>
      </c>
      <c r="X40" s="149">
        <v>-3405167.48</v>
      </c>
    </row>
    <row r="41" spans="2:24" x14ac:dyDescent="0.25">
      <c r="B41" s="137" t="s">
        <v>466</v>
      </c>
      <c r="C41" s="149" t="s">
        <v>353</v>
      </c>
      <c r="D41" s="149">
        <f t="shared" si="2"/>
        <v>34</v>
      </c>
      <c r="E41" s="150">
        <f t="shared" si="0"/>
        <v>-1499101.6792449784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-1499101.6792449784</v>
      </c>
      <c r="N41" s="150">
        <v>0</v>
      </c>
      <c r="O41" s="150">
        <f t="shared" si="1"/>
        <v>0</v>
      </c>
      <c r="P41" s="150">
        <v>0</v>
      </c>
      <c r="Q41" s="150">
        <v>0</v>
      </c>
      <c r="R41" s="149"/>
      <c r="S41" s="149">
        <v>0</v>
      </c>
      <c r="T41" s="149">
        <v>0</v>
      </c>
      <c r="U41" s="149">
        <v>0</v>
      </c>
      <c r="V41" s="149"/>
      <c r="W41" s="149">
        <v>0</v>
      </c>
      <c r="X41" s="149">
        <v>0</v>
      </c>
    </row>
    <row r="42" spans="2:24" x14ac:dyDescent="0.25">
      <c r="B42" s="137" t="s">
        <v>467</v>
      </c>
      <c r="C42" s="149" t="s">
        <v>354</v>
      </c>
      <c r="D42" s="149">
        <f t="shared" si="2"/>
        <v>35</v>
      </c>
      <c r="E42" s="150">
        <f t="shared" si="0"/>
        <v>-18068917.610241123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-16494305.592241121</v>
      </c>
      <c r="N42" s="150">
        <v>-1574612.0180000002</v>
      </c>
      <c r="O42" s="150">
        <f t="shared" si="1"/>
        <v>0</v>
      </c>
      <c r="P42" s="150">
        <v>0</v>
      </c>
      <c r="Q42" s="150">
        <v>0</v>
      </c>
      <c r="R42" s="149"/>
      <c r="S42" s="149">
        <v>0</v>
      </c>
      <c r="T42" s="149">
        <v>0</v>
      </c>
      <c r="U42" s="149">
        <v>0</v>
      </c>
      <c r="V42" s="149"/>
      <c r="W42" s="149">
        <v>0</v>
      </c>
      <c r="X42" s="149">
        <v>0</v>
      </c>
    </row>
    <row r="43" spans="2:24" x14ac:dyDescent="0.25">
      <c r="B43" s="137" t="s">
        <v>469</v>
      </c>
      <c r="C43" s="149" t="s">
        <v>355</v>
      </c>
      <c r="D43" s="149">
        <f t="shared" si="2"/>
        <v>36</v>
      </c>
      <c r="E43" s="150">
        <f t="shared" si="0"/>
        <v>5346857.3397640157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4604125.9627512153</v>
      </c>
      <c r="N43" s="150">
        <v>742731.37701280008</v>
      </c>
      <c r="O43" s="150">
        <f t="shared" si="1"/>
        <v>0</v>
      </c>
      <c r="P43" s="150">
        <v>0</v>
      </c>
      <c r="Q43" s="150">
        <v>0</v>
      </c>
      <c r="R43" s="149"/>
      <c r="S43" s="149">
        <v>0</v>
      </c>
      <c r="T43" s="149">
        <v>0</v>
      </c>
      <c r="U43" s="149">
        <v>0</v>
      </c>
      <c r="V43" s="149"/>
      <c r="W43" s="149">
        <v>0</v>
      </c>
      <c r="X43" s="149">
        <v>0</v>
      </c>
    </row>
    <row r="44" spans="2:24" x14ac:dyDescent="0.25">
      <c r="B44" s="137" t="s">
        <v>468</v>
      </c>
      <c r="C44" s="149" t="s">
        <v>356</v>
      </c>
      <c r="D44" s="149">
        <f t="shared" si="2"/>
        <v>37</v>
      </c>
      <c r="E44" s="150">
        <f t="shared" si="0"/>
        <v>720950.67220432428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365041.24012752424</v>
      </c>
      <c r="N44" s="150">
        <v>162866.1520768</v>
      </c>
      <c r="O44" s="150">
        <f t="shared" si="1"/>
        <v>193043.28</v>
      </c>
      <c r="P44" s="150">
        <v>0</v>
      </c>
      <c r="Q44" s="150">
        <v>0</v>
      </c>
      <c r="R44" s="149"/>
      <c r="S44" s="149">
        <v>0</v>
      </c>
      <c r="T44" s="149">
        <v>0</v>
      </c>
      <c r="U44" s="149">
        <v>0</v>
      </c>
      <c r="V44" s="149"/>
      <c r="W44" s="149">
        <v>0</v>
      </c>
      <c r="X44" s="149">
        <v>193043.28</v>
      </c>
    </row>
    <row r="45" spans="2:24" x14ac:dyDescent="0.25">
      <c r="B45" s="137" t="s">
        <v>470</v>
      </c>
      <c r="C45" s="149" t="s">
        <v>357</v>
      </c>
      <c r="D45" s="149">
        <f t="shared" si="2"/>
        <v>38</v>
      </c>
      <c r="E45" s="150">
        <f t="shared" si="0"/>
        <v>36623515.68906261</v>
      </c>
      <c r="F45" s="150">
        <v>0</v>
      </c>
      <c r="G45" s="150">
        <v>0</v>
      </c>
      <c r="H45" s="150">
        <v>0</v>
      </c>
      <c r="I45" s="150">
        <v>0</v>
      </c>
      <c r="J45" s="150">
        <v>774254.26600000006</v>
      </c>
      <c r="K45" s="150">
        <v>0</v>
      </c>
      <c r="L45" s="150">
        <v>0</v>
      </c>
      <c r="M45" s="150">
        <v>14726654.160007808</v>
      </c>
      <c r="N45" s="150">
        <v>14438848.538054798</v>
      </c>
      <c r="O45" s="150">
        <f t="shared" si="1"/>
        <v>6683758.7249999996</v>
      </c>
      <c r="P45" s="150">
        <v>0</v>
      </c>
      <c r="Q45" s="150">
        <v>0</v>
      </c>
      <c r="R45" s="149"/>
      <c r="S45" s="149">
        <v>774254.26600000006</v>
      </c>
      <c r="T45" s="149">
        <v>0</v>
      </c>
      <c r="U45" s="149">
        <v>0</v>
      </c>
      <c r="V45" s="149"/>
      <c r="W45" s="149">
        <v>0</v>
      </c>
      <c r="X45" s="149">
        <v>6683758.7249999996</v>
      </c>
    </row>
    <row r="46" spans="2:24" x14ac:dyDescent="0.25">
      <c r="B46" s="137" t="s">
        <v>471</v>
      </c>
      <c r="C46" s="149" t="s">
        <v>358</v>
      </c>
      <c r="D46" s="149">
        <f t="shared" si="2"/>
        <v>39</v>
      </c>
      <c r="E46" s="150">
        <f t="shared" si="0"/>
        <v>1638327.3314998201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1638327.3314998201</v>
      </c>
      <c r="N46" s="150">
        <v>0</v>
      </c>
      <c r="O46" s="150">
        <f t="shared" si="1"/>
        <v>0</v>
      </c>
      <c r="P46" s="150">
        <v>0</v>
      </c>
      <c r="Q46" s="150">
        <v>0</v>
      </c>
      <c r="R46" s="149"/>
      <c r="S46" s="149">
        <v>0</v>
      </c>
      <c r="T46" s="149">
        <v>0</v>
      </c>
      <c r="U46" s="149">
        <v>0</v>
      </c>
      <c r="V46" s="149"/>
      <c r="W46" s="149">
        <v>0</v>
      </c>
      <c r="X46" s="149">
        <v>0</v>
      </c>
    </row>
    <row r="47" spans="2:24" x14ac:dyDescent="0.25">
      <c r="B47" s="137" t="s">
        <v>467</v>
      </c>
      <c r="C47" s="149" t="s">
        <v>359</v>
      </c>
      <c r="D47" s="149">
        <f t="shared" si="2"/>
        <v>40</v>
      </c>
      <c r="E47" s="150">
        <f t="shared" si="0"/>
        <v>34343068.147723362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27686863.057723358</v>
      </c>
      <c r="N47" s="150">
        <v>6656205.0899999999</v>
      </c>
      <c r="O47" s="150">
        <f t="shared" si="1"/>
        <v>0</v>
      </c>
      <c r="P47" s="150">
        <v>0</v>
      </c>
      <c r="Q47" s="150">
        <v>0</v>
      </c>
      <c r="R47" s="149"/>
      <c r="S47" s="149">
        <v>0</v>
      </c>
      <c r="T47" s="149">
        <v>0</v>
      </c>
      <c r="U47" s="149">
        <v>0</v>
      </c>
      <c r="V47" s="149"/>
      <c r="W47" s="149">
        <v>0</v>
      </c>
      <c r="X47" s="149">
        <v>0</v>
      </c>
    </row>
    <row r="48" spans="2:24" x14ac:dyDescent="0.25">
      <c r="B48" s="137" t="s">
        <v>472</v>
      </c>
      <c r="C48" s="149" t="s">
        <v>360</v>
      </c>
      <c r="D48" s="149">
        <f t="shared" si="2"/>
        <v>41</v>
      </c>
      <c r="E48" s="150">
        <f t="shared" si="0"/>
        <v>3221790.9</v>
      </c>
      <c r="F48" s="150">
        <v>0</v>
      </c>
      <c r="G48" s="150">
        <v>0</v>
      </c>
      <c r="H48" s="150">
        <v>0</v>
      </c>
      <c r="I48" s="150">
        <v>0</v>
      </c>
      <c r="J48" s="150">
        <v>813608.53999999992</v>
      </c>
      <c r="K48" s="150">
        <v>0</v>
      </c>
      <c r="L48" s="150">
        <v>47249.630000000005</v>
      </c>
      <c r="M48" s="150">
        <v>2341535.54</v>
      </c>
      <c r="N48" s="150">
        <v>0</v>
      </c>
      <c r="O48" s="150">
        <f t="shared" si="1"/>
        <v>0</v>
      </c>
      <c r="P48" s="150">
        <v>0</v>
      </c>
      <c r="Q48" s="150">
        <v>19397.189999999999</v>
      </c>
      <c r="R48" s="149"/>
      <c r="S48" s="149">
        <v>813608.53999999992</v>
      </c>
      <c r="T48" s="149">
        <v>0</v>
      </c>
      <c r="U48" s="149">
        <v>47249.630000000005</v>
      </c>
      <c r="V48" s="149"/>
      <c r="W48" s="149">
        <v>0</v>
      </c>
      <c r="X48" s="149">
        <v>0</v>
      </c>
    </row>
    <row r="49" spans="1:24" x14ac:dyDescent="0.25">
      <c r="B49" s="137" t="s">
        <v>473</v>
      </c>
      <c r="C49" s="149" t="s">
        <v>361</v>
      </c>
      <c r="D49" s="149">
        <f t="shared" si="2"/>
        <v>42</v>
      </c>
      <c r="E49" s="150">
        <f t="shared" si="0"/>
        <v>26055023</v>
      </c>
      <c r="F49" s="150">
        <v>10667069</v>
      </c>
      <c r="G49" s="150">
        <v>4170814</v>
      </c>
      <c r="H49" s="150">
        <v>5246789</v>
      </c>
      <c r="I49" s="150">
        <v>2979109</v>
      </c>
      <c r="J49" s="150">
        <v>2825681</v>
      </c>
      <c r="K49" s="150">
        <v>529</v>
      </c>
      <c r="L49" s="150">
        <v>141783</v>
      </c>
      <c r="M49" s="150">
        <v>0</v>
      </c>
      <c r="N49" s="150">
        <v>0</v>
      </c>
      <c r="O49" s="150">
        <f t="shared" si="1"/>
        <v>0</v>
      </c>
      <c r="P49" s="150">
        <v>21527</v>
      </c>
      <c r="Q49" s="150">
        <v>1722</v>
      </c>
      <c r="R49" s="149"/>
      <c r="S49" s="149">
        <v>2825681</v>
      </c>
      <c r="T49" s="149">
        <v>529</v>
      </c>
      <c r="U49" s="149">
        <v>141783</v>
      </c>
      <c r="V49" s="149"/>
      <c r="W49" s="149">
        <v>0</v>
      </c>
      <c r="X49" s="149">
        <v>0</v>
      </c>
    </row>
    <row r="50" spans="1:24" x14ac:dyDescent="0.25">
      <c r="B50" s="137" t="s">
        <v>474</v>
      </c>
      <c r="C50" s="149" t="s">
        <v>362</v>
      </c>
      <c r="D50" s="149">
        <f t="shared" si="2"/>
        <v>43</v>
      </c>
      <c r="E50" s="150">
        <f t="shared" si="0"/>
        <v>13712733</v>
      </c>
      <c r="F50" s="150">
        <v>6801670</v>
      </c>
      <c r="G50" s="150">
        <v>2002826</v>
      </c>
      <c r="H50" s="150">
        <v>2405759</v>
      </c>
      <c r="I50" s="150">
        <v>1500444</v>
      </c>
      <c r="J50" s="150">
        <v>867734</v>
      </c>
      <c r="K50" s="150">
        <v>0</v>
      </c>
      <c r="L50" s="150">
        <v>120817</v>
      </c>
      <c r="M50" s="150">
        <v>0</v>
      </c>
      <c r="N50" s="150">
        <v>0</v>
      </c>
      <c r="O50" s="150">
        <f t="shared" si="1"/>
        <v>0</v>
      </c>
      <c r="P50" s="150">
        <v>12009</v>
      </c>
      <c r="Q50" s="150">
        <v>1474</v>
      </c>
      <c r="R50" s="149"/>
      <c r="S50" s="149">
        <v>867734</v>
      </c>
      <c r="T50" s="149">
        <v>0</v>
      </c>
      <c r="U50" s="149">
        <v>120817</v>
      </c>
      <c r="V50" s="149"/>
      <c r="W50" s="149">
        <v>0</v>
      </c>
      <c r="X50" s="149">
        <v>0</v>
      </c>
    </row>
    <row r="51" spans="1:24" x14ac:dyDescent="0.25">
      <c r="B51" s="137" t="s">
        <v>475</v>
      </c>
      <c r="C51" s="149" t="s">
        <v>363</v>
      </c>
      <c r="D51" s="149">
        <f t="shared" si="2"/>
        <v>44</v>
      </c>
      <c r="E51" s="150">
        <f t="shared" si="0"/>
        <v>761229596</v>
      </c>
      <c r="F51" s="150">
        <v>414546792</v>
      </c>
      <c r="G51" s="150">
        <v>107241552</v>
      </c>
      <c r="H51" s="150">
        <v>115502609</v>
      </c>
      <c r="I51" s="150">
        <v>65465410</v>
      </c>
      <c r="J51" s="150">
        <v>50774605</v>
      </c>
      <c r="K51" s="150">
        <v>185511</v>
      </c>
      <c r="L51" s="150">
        <v>6561008</v>
      </c>
      <c r="M51" s="150">
        <v>0</v>
      </c>
      <c r="N51" s="150">
        <v>0</v>
      </c>
      <c r="O51" s="150">
        <f t="shared" si="1"/>
        <v>0</v>
      </c>
      <c r="P51" s="150">
        <v>734055</v>
      </c>
      <c r="Q51" s="150">
        <v>218054</v>
      </c>
      <c r="R51" s="149"/>
      <c r="S51" s="149">
        <v>50774605</v>
      </c>
      <c r="T51" s="149">
        <v>185511</v>
      </c>
      <c r="U51" s="149">
        <v>6561008</v>
      </c>
      <c r="V51" s="149"/>
      <c r="W51" s="149">
        <v>0</v>
      </c>
      <c r="X51" s="149">
        <v>0</v>
      </c>
    </row>
    <row r="52" spans="1:24" x14ac:dyDescent="0.25">
      <c r="B52" s="137" t="s">
        <v>476</v>
      </c>
      <c r="C52" s="149" t="s">
        <v>364</v>
      </c>
      <c r="D52" s="149">
        <f t="shared" si="2"/>
        <v>45</v>
      </c>
      <c r="E52" s="150">
        <f t="shared" si="0"/>
        <v>9948.2199999999975</v>
      </c>
      <c r="F52" s="150">
        <v>6758</v>
      </c>
      <c r="G52" s="150">
        <v>1295.83</v>
      </c>
      <c r="H52" s="150">
        <v>1001.04</v>
      </c>
      <c r="I52" s="150">
        <v>417.12</v>
      </c>
      <c r="J52" s="150">
        <v>355.32</v>
      </c>
      <c r="K52" s="150">
        <v>7.96</v>
      </c>
      <c r="L52" s="150">
        <v>99.38</v>
      </c>
      <c r="M52" s="150">
        <v>0</v>
      </c>
      <c r="N52" s="150">
        <v>0</v>
      </c>
      <c r="O52" s="150">
        <f t="shared" si="1"/>
        <v>0</v>
      </c>
      <c r="P52" s="150">
        <v>6.51</v>
      </c>
      <c r="Q52" s="150">
        <v>7.06</v>
      </c>
      <c r="R52" s="149"/>
      <c r="S52" s="149">
        <v>355.32</v>
      </c>
      <c r="T52" s="149">
        <v>7.96</v>
      </c>
      <c r="U52" s="149">
        <v>99.38</v>
      </c>
      <c r="V52" s="149"/>
      <c r="W52" s="149">
        <v>0</v>
      </c>
      <c r="X52" s="149">
        <v>0</v>
      </c>
    </row>
    <row r="53" spans="1:24" x14ac:dyDescent="0.25">
      <c r="B53" s="137" t="s">
        <v>453</v>
      </c>
      <c r="C53" s="149" t="s">
        <v>365</v>
      </c>
      <c r="D53" s="149">
        <f t="shared" si="2"/>
        <v>46</v>
      </c>
      <c r="E53" s="150">
        <f t="shared" si="0"/>
        <v>404799745.95307964</v>
      </c>
      <c r="F53" s="150">
        <v>295642644.14069372</v>
      </c>
      <c r="G53" s="150">
        <v>46340552.898913719</v>
      </c>
      <c r="H53" s="150">
        <v>5943198.0976538872</v>
      </c>
      <c r="I53" s="150">
        <v>75445.980448461574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f t="shared" si="1"/>
        <v>0</v>
      </c>
      <c r="P53" s="150">
        <v>56797904.835369848</v>
      </c>
      <c r="Q53" s="150">
        <v>0</v>
      </c>
      <c r="R53" s="149"/>
      <c r="S53" s="149">
        <v>0</v>
      </c>
      <c r="T53" s="149">
        <v>0</v>
      </c>
      <c r="U53" s="149">
        <v>0</v>
      </c>
      <c r="V53" s="149"/>
      <c r="W53" s="149">
        <v>0</v>
      </c>
      <c r="X53" s="149">
        <v>0</v>
      </c>
    </row>
    <row r="54" spans="1:24" x14ac:dyDescent="0.25">
      <c r="B54" s="137" t="s">
        <v>477</v>
      </c>
      <c r="C54" s="149" t="s">
        <v>366</v>
      </c>
      <c r="D54" s="149">
        <f t="shared" si="2"/>
        <v>47</v>
      </c>
      <c r="E54" s="150">
        <f t="shared" si="0"/>
        <v>9811.1899999999987</v>
      </c>
      <c r="F54" s="150">
        <v>6550.31</v>
      </c>
      <c r="G54" s="150">
        <v>1212.1300000000001</v>
      </c>
      <c r="H54" s="150">
        <v>1118.6499999999999</v>
      </c>
      <c r="I54" s="150">
        <v>480.35</v>
      </c>
      <c r="J54" s="150">
        <v>326.98</v>
      </c>
      <c r="K54" s="150">
        <v>3.64</v>
      </c>
      <c r="L54" s="150">
        <v>111.74</v>
      </c>
      <c r="M54" s="150">
        <v>0</v>
      </c>
      <c r="N54" s="150">
        <v>0</v>
      </c>
      <c r="O54" s="150">
        <f t="shared" si="1"/>
        <v>0</v>
      </c>
      <c r="P54" s="150">
        <v>4.8</v>
      </c>
      <c r="Q54" s="150">
        <v>2.59</v>
      </c>
      <c r="R54" s="149"/>
      <c r="S54" s="149">
        <v>326.98</v>
      </c>
      <c r="T54" s="149">
        <v>3.64</v>
      </c>
      <c r="U54" s="149">
        <v>111.74</v>
      </c>
      <c r="V54" s="149"/>
      <c r="W54" s="149">
        <v>0</v>
      </c>
      <c r="X54" s="149">
        <v>0</v>
      </c>
    </row>
    <row r="55" spans="1:24" x14ac:dyDescent="0.25">
      <c r="B55" s="137" t="s">
        <v>457</v>
      </c>
      <c r="C55" s="149" t="s">
        <v>367</v>
      </c>
      <c r="D55" s="149">
        <f t="shared" si="2"/>
        <v>48</v>
      </c>
      <c r="E55" s="150">
        <f t="shared" si="0"/>
        <v>491404408.74264705</v>
      </c>
      <c r="F55" s="150">
        <v>361443716.53278774</v>
      </c>
      <c r="G55" s="150">
        <v>71223270.920080781</v>
      </c>
      <c r="H55" s="150">
        <v>43117510.157735966</v>
      </c>
      <c r="I55" s="150">
        <v>14458390.062042588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f t="shared" si="1"/>
        <v>0</v>
      </c>
      <c r="P55" s="150">
        <v>1132486.0600000008</v>
      </c>
      <c r="Q55" s="150">
        <v>29035.010000000002</v>
      </c>
      <c r="R55" s="149"/>
      <c r="S55" s="149">
        <v>0</v>
      </c>
      <c r="T55" s="149">
        <v>0</v>
      </c>
      <c r="U55" s="149">
        <v>0</v>
      </c>
      <c r="V55" s="149"/>
      <c r="W55" s="149">
        <v>0</v>
      </c>
      <c r="X55" s="149">
        <v>0</v>
      </c>
    </row>
    <row r="56" spans="1:24" x14ac:dyDescent="0.25">
      <c r="B56" s="137" t="s">
        <v>478</v>
      </c>
      <c r="C56" s="149" t="s">
        <v>368</v>
      </c>
      <c r="D56" s="149">
        <f t="shared" si="2"/>
        <v>49</v>
      </c>
      <c r="E56" s="150">
        <f t="shared" si="0"/>
        <v>4480475.8</v>
      </c>
      <c r="F56" s="150">
        <v>0</v>
      </c>
      <c r="G56" s="150">
        <v>0</v>
      </c>
      <c r="H56" s="150">
        <v>0</v>
      </c>
      <c r="I56" s="150">
        <v>0</v>
      </c>
      <c r="J56" s="150">
        <v>683364.28</v>
      </c>
      <c r="K56" s="150">
        <v>0</v>
      </c>
      <c r="L56" s="150">
        <v>12855.629999999997</v>
      </c>
      <c r="M56" s="150">
        <v>81187.12</v>
      </c>
      <c r="N56" s="150">
        <v>2852603.1200000006</v>
      </c>
      <c r="O56" s="150">
        <f t="shared" si="1"/>
        <v>846988.8899999999</v>
      </c>
      <c r="P56" s="150">
        <v>0</v>
      </c>
      <c r="Q56" s="150">
        <v>3476.76</v>
      </c>
      <c r="R56" s="149"/>
      <c r="S56" s="149">
        <v>683364.28</v>
      </c>
      <c r="T56" s="149">
        <v>0</v>
      </c>
      <c r="U56" s="149">
        <v>12855.629999999997</v>
      </c>
      <c r="V56" s="149"/>
      <c r="W56" s="149">
        <v>0</v>
      </c>
      <c r="X56" s="149">
        <v>846988.8899999999</v>
      </c>
    </row>
    <row r="57" spans="1:24" x14ac:dyDescent="0.25">
      <c r="B57" s="137" t="s">
        <v>479</v>
      </c>
      <c r="C57" s="149" t="s">
        <v>369</v>
      </c>
      <c r="D57" s="149">
        <f t="shared" si="2"/>
        <v>50</v>
      </c>
      <c r="E57" s="150">
        <f t="shared" si="0"/>
        <v>10679687650.016161</v>
      </c>
      <c r="F57" s="150">
        <v>10201987686.310894</v>
      </c>
      <c r="G57" s="150">
        <v>255780408.9580256</v>
      </c>
      <c r="H57" s="150">
        <v>166043869.83243227</v>
      </c>
      <c r="I57" s="150">
        <v>17290774.545454547</v>
      </c>
      <c r="J57" s="150">
        <v>32150677.142857142</v>
      </c>
      <c r="K57" s="150">
        <v>4452600</v>
      </c>
      <c r="L57" s="150">
        <v>0</v>
      </c>
      <c r="M57" s="150">
        <v>0</v>
      </c>
      <c r="N57" s="150">
        <v>0</v>
      </c>
      <c r="O57" s="150">
        <f t="shared" si="1"/>
        <v>0</v>
      </c>
      <c r="P57" s="150">
        <v>1981633.2265000001</v>
      </c>
      <c r="Q57" s="150">
        <v>0</v>
      </c>
      <c r="R57" s="149"/>
      <c r="S57" s="149">
        <v>32150677.142857142</v>
      </c>
      <c r="T57" s="149">
        <v>4452600</v>
      </c>
      <c r="U57" s="149">
        <v>0</v>
      </c>
      <c r="V57" s="149"/>
      <c r="W57" s="149">
        <v>0</v>
      </c>
      <c r="X57" s="149">
        <v>0</v>
      </c>
    </row>
    <row r="58" spans="1:24" x14ac:dyDescent="0.25">
      <c r="B58" s="137" t="s">
        <v>480</v>
      </c>
      <c r="C58" s="149" t="s">
        <v>370</v>
      </c>
      <c r="D58" s="149">
        <f t="shared" si="2"/>
        <v>51</v>
      </c>
      <c r="E58" s="150">
        <f t="shared" si="0"/>
        <v>24452276608.805584</v>
      </c>
      <c r="F58" s="150">
        <v>11362694034.5944</v>
      </c>
      <c r="G58" s="150">
        <v>2983708616.2943888</v>
      </c>
      <c r="H58" s="150">
        <v>3072024705.4856691</v>
      </c>
      <c r="I58" s="150">
        <v>2026649549.543107</v>
      </c>
      <c r="J58" s="150">
        <v>1323003367.1184549</v>
      </c>
      <c r="K58" s="150">
        <v>4594563.3633324662</v>
      </c>
      <c r="L58" s="150">
        <v>124979540.86316925</v>
      </c>
      <c r="M58" s="150">
        <v>692524766.1750226</v>
      </c>
      <c r="N58" s="150">
        <v>632887813.72208166</v>
      </c>
      <c r="O58" s="150">
        <f t="shared" si="1"/>
        <v>2140447568.8055859</v>
      </c>
      <c r="P58" s="150">
        <v>81534389.017231286</v>
      </c>
      <c r="Q58" s="150">
        <v>7227693.8231415441</v>
      </c>
      <c r="R58" s="149"/>
      <c r="S58" s="149">
        <v>1323003367.1184549</v>
      </c>
      <c r="T58" s="149">
        <v>4594563.3633324662</v>
      </c>
      <c r="U58" s="149">
        <v>124979540.86316925</v>
      </c>
      <c r="V58" s="149"/>
      <c r="W58" s="149">
        <v>107396590.46418484</v>
      </c>
      <c r="X58" s="149">
        <v>2033050978.3414011</v>
      </c>
    </row>
    <row r="59" spans="1:24" ht="16.5" customHeight="1" x14ac:dyDescent="0.25">
      <c r="B59" s="137" t="s">
        <v>481</v>
      </c>
      <c r="C59" s="149" t="s">
        <v>371</v>
      </c>
      <c r="D59" s="149">
        <f t="shared" si="2"/>
        <v>52</v>
      </c>
      <c r="E59" s="150">
        <f t="shared" si="0"/>
        <v>22311829039.999996</v>
      </c>
      <c r="F59" s="150">
        <v>11362694034.5944</v>
      </c>
      <c r="G59" s="150">
        <v>2983708616.2943888</v>
      </c>
      <c r="H59" s="150">
        <v>3072024705.4856691</v>
      </c>
      <c r="I59" s="150">
        <v>2026649549.543107</v>
      </c>
      <c r="J59" s="150">
        <v>1323003367.1184549</v>
      </c>
      <c r="K59" s="150">
        <v>4594563.3633324662</v>
      </c>
      <c r="L59" s="150">
        <v>124979540.86316925</v>
      </c>
      <c r="M59" s="150">
        <v>692524766.1750226</v>
      </c>
      <c r="N59" s="150">
        <v>632887813.72208166</v>
      </c>
      <c r="O59" s="150">
        <f t="shared" si="1"/>
        <v>0</v>
      </c>
      <c r="P59" s="150">
        <v>81534389.017231286</v>
      </c>
      <c r="Q59" s="150">
        <v>7227693.8231415441</v>
      </c>
      <c r="R59" s="149"/>
      <c r="S59" s="149">
        <v>1323003367.1184549</v>
      </c>
      <c r="T59" s="149">
        <v>4594563.3633324662</v>
      </c>
      <c r="U59" s="149">
        <v>124979540.86316925</v>
      </c>
      <c r="V59" s="149"/>
      <c r="W59" s="149">
        <v>0</v>
      </c>
      <c r="X59" s="149">
        <v>0</v>
      </c>
    </row>
    <row r="60" spans="1:24" s="133" customFormat="1" x14ac:dyDescent="0.25">
      <c r="B60" s="67"/>
      <c r="C60" s="153"/>
      <c r="D60" s="149">
        <f t="shared" si="2"/>
        <v>53</v>
      </c>
      <c r="E60" s="150">
        <f t="shared" si="0"/>
        <v>0</v>
      </c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67"/>
      <c r="S60" s="67"/>
      <c r="T60" s="67"/>
      <c r="U60" s="67"/>
      <c r="V60" s="67"/>
      <c r="W60" s="67"/>
      <c r="X60" s="67"/>
    </row>
    <row r="61" spans="1:24" x14ac:dyDescent="0.25">
      <c r="A61" s="149"/>
      <c r="B61" s="149" t="s">
        <v>373</v>
      </c>
      <c r="C61" s="149" t="s">
        <v>372</v>
      </c>
      <c r="D61" s="149">
        <f t="shared" si="2"/>
        <v>54</v>
      </c>
      <c r="E61" s="150">
        <f t="shared" si="0"/>
        <v>0</v>
      </c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</row>
    <row r="62" spans="1:24" x14ac:dyDescent="0.25">
      <c r="A62" s="149"/>
      <c r="B62" s="149" t="s">
        <v>373</v>
      </c>
      <c r="C62" s="149" t="s">
        <v>374</v>
      </c>
      <c r="D62" s="149">
        <f t="shared" si="2"/>
        <v>55</v>
      </c>
      <c r="E62" s="150">
        <f t="shared" si="0"/>
        <v>7971125.8320833305</v>
      </c>
      <c r="F62" s="138">
        <f>SUM('Rate Base'!G37:G38)</f>
        <v>3596168.5303501668</v>
      </c>
      <c r="G62" s="138">
        <f>SUM('Rate Base'!H37:H38)</f>
        <v>1058931.0908890173</v>
      </c>
      <c r="H62" s="138">
        <f>SUM('Rate Base'!I37:I38)</f>
        <v>1271969.2086512116</v>
      </c>
      <c r="I62" s="138">
        <f>SUM('Rate Base'!J37:J38)</f>
        <v>793312.45037655835</v>
      </c>
      <c r="J62" s="138">
        <f>SUM('Rate Base'!K37:K38)</f>
        <v>458786.98959444842</v>
      </c>
      <c r="K62" s="138">
        <f>SUM('Rate Base'!L37:L38)</f>
        <v>0</v>
      </c>
      <c r="L62" s="138">
        <f>SUM('Rate Base'!M37:M38)</f>
        <v>63878.178937131051</v>
      </c>
      <c r="M62" s="138">
        <f>SUM('Rate Base'!N37:N38)</f>
        <v>365041.24012752424</v>
      </c>
      <c r="N62" s="138">
        <f>SUM('Rate Base'!O37:O38)</f>
        <v>162866.1520768</v>
      </c>
      <c r="O62" s="138">
        <f>SUM('Rate Base'!P37:P38)</f>
        <v>193043.27999999997</v>
      </c>
      <c r="P62" s="138">
        <f>SUM('Rate Base'!Q37:Q38)</f>
        <v>6349.380061216606</v>
      </c>
      <c r="Q62" s="138">
        <f>SUM('Rate Base'!R37:R38)</f>
        <v>779.33101925499852</v>
      </c>
    </row>
    <row r="63" spans="1:24" x14ac:dyDescent="0.25">
      <c r="A63" s="149"/>
      <c r="B63" s="149" t="s">
        <v>376</v>
      </c>
      <c r="C63" s="149" t="s">
        <v>375</v>
      </c>
      <c r="D63" s="149">
        <f t="shared" si="2"/>
        <v>56</v>
      </c>
      <c r="E63" s="150">
        <f t="shared" si="0"/>
        <v>417873813.04102892</v>
      </c>
      <c r="F63" s="138">
        <f>'Rate Base'!G39+'Rate Base'!G40</f>
        <v>207938553.65897152</v>
      </c>
      <c r="G63" s="138">
        <f>'Rate Base'!H39+'Rate Base'!H40</f>
        <v>53792849.553696178</v>
      </c>
      <c r="H63" s="138">
        <f>'Rate Base'!I39+'Rate Base'!I40</f>
        <v>57936633.265027665</v>
      </c>
      <c r="I63" s="138">
        <f>'Rate Base'!J39+'Rate Base'!J40</f>
        <v>32837746.987296835</v>
      </c>
      <c r="J63" s="138">
        <f>'Rate Base'!K39+'Rate Base'!K40</f>
        <v>26230639.750113323</v>
      </c>
      <c r="K63" s="138">
        <f>'Rate Base'!L39+'Rate Base'!L40</f>
        <v>93053.160155270147</v>
      </c>
      <c r="L63" s="138">
        <f>'Rate Base'!M39+'Rate Base'!M40</f>
        <v>3291031.4116360145</v>
      </c>
      <c r="M63" s="138">
        <f>'Rate Base'!N39+'Rate Base'!N40</f>
        <v>14491048.15719921</v>
      </c>
      <c r="N63" s="138">
        <f>'Rate Base'!O39+'Rate Base'!O40</f>
        <v>14207847.025270712</v>
      </c>
      <c r="O63" s="138">
        <f>'Rate Base'!P39+'Rate Base'!P40</f>
        <v>6576827.8729663622</v>
      </c>
      <c r="P63" s="138">
        <f>'Rate Base'!Q39+'Rate Base'!Q40</f>
        <v>368205.3219365796</v>
      </c>
      <c r="Q63" s="138">
        <f>'Rate Base'!R39+'Rate Base'!R40</f>
        <v>109376.87675931495</v>
      </c>
    </row>
    <row r="64" spans="1:24" x14ac:dyDescent="0.25">
      <c r="A64" s="149"/>
      <c r="B64" s="149" t="s">
        <v>378</v>
      </c>
      <c r="C64" s="149" t="s">
        <v>377</v>
      </c>
      <c r="D64" s="149">
        <f t="shared" si="2"/>
        <v>57</v>
      </c>
      <c r="E64" s="150">
        <f t="shared" si="0"/>
        <v>724869247.95305228</v>
      </c>
      <c r="F64" s="138">
        <f>'Rate Base'!G43+'Rate Base'!G44+'Rate Base'!G42</f>
        <v>491303425.51740187</v>
      </c>
      <c r="G64" s="138">
        <f>'Rate Base'!H43+'Rate Base'!H44+'Rate Base'!H42</f>
        <v>94206232.300712466</v>
      </c>
      <c r="H64" s="138">
        <f>'Rate Base'!I43+'Rate Base'!I44+'Rate Base'!I42</f>
        <v>72775137.774480611</v>
      </c>
      <c r="I64" s="138">
        <f>'Rate Base'!J43+'Rate Base'!J44+'Rate Base'!J42</f>
        <v>30324428.063305512</v>
      </c>
      <c r="J64" s="138">
        <f>'Rate Base'!K43+'Rate Base'!K44+'Rate Base'!K42</f>
        <v>25831597.093051679</v>
      </c>
      <c r="K64" s="138">
        <f>'Rate Base'!L43+'Rate Base'!L44+'Rate Base'!L42</f>
        <v>578688.26089353638</v>
      </c>
      <c r="L64" s="138">
        <f>'Rate Base'!M43+'Rate Base'!M44+'Rate Base'!M42</f>
        <v>7224879.317537643</v>
      </c>
      <c r="M64" s="138">
        <f>'Rate Base'!N43+'Rate Base'!N44+'Rate Base'!N42</f>
        <v>1638327</v>
      </c>
      <c r="N64" s="138">
        <f>'Rate Base'!O43+'Rate Base'!O44+'Rate Base'!O42</f>
        <v>0</v>
      </c>
      <c r="O64" s="138">
        <f>'Rate Base'!P43+'Rate Base'!P44+'Rate Base'!P42</f>
        <v>0</v>
      </c>
      <c r="P64" s="138">
        <f>'Rate Base'!Q43+'Rate Base'!Q44+'Rate Base'!Q42</f>
        <v>473273.94201217609</v>
      </c>
      <c r="Q64" s="138">
        <f>'Rate Base'!R43+'Rate Base'!R44+'Rate Base'!R42</f>
        <v>513258.68365682999</v>
      </c>
    </row>
    <row r="65" spans="1:17" x14ac:dyDescent="0.25">
      <c r="A65" s="149"/>
      <c r="B65" s="149" t="s">
        <v>380</v>
      </c>
      <c r="C65" s="149" t="s">
        <v>379</v>
      </c>
      <c r="D65" s="149">
        <f t="shared" si="2"/>
        <v>58</v>
      </c>
      <c r="E65" s="150">
        <f t="shared" si="0"/>
        <v>1498330904.6204164</v>
      </c>
      <c r="F65" s="138">
        <f>SUM('Rate Base'!G45:G47)</f>
        <v>977411931.18525338</v>
      </c>
      <c r="G65" s="138">
        <f>SUM('Rate Base'!H45:H47)</f>
        <v>180869351.85473377</v>
      </c>
      <c r="H65" s="138">
        <f>SUM('Rate Base'!I45:I47)</f>
        <v>166920627.69859496</v>
      </c>
      <c r="I65" s="138">
        <f>SUM('Rate Base'!J45:J47)</f>
        <v>71675969.709042236</v>
      </c>
      <c r="J65" s="138">
        <f>SUM('Rate Base'!K45:K47)</f>
        <v>48790691.319793135</v>
      </c>
      <c r="K65" s="138">
        <f>SUM('Rate Base'!L45:L47)</f>
        <v>543146.72580600344</v>
      </c>
      <c r="L65" s="138">
        <f>SUM('Rate Base'!M45:M47)</f>
        <v>16673410.7531766</v>
      </c>
      <c r="M65" s="138">
        <f>SUM('Rate Base'!N45:N47)</f>
        <v>27686863.057723358</v>
      </c>
      <c r="N65" s="138">
        <f>SUM('Rate Base'!O45:O47)</f>
        <v>6656205.0899999999</v>
      </c>
      <c r="O65" s="138">
        <f>SUM('Rate Base'!P45:P47)</f>
        <v>0</v>
      </c>
      <c r="P65" s="138">
        <f>SUM('Rate Base'!Q45:Q47)</f>
        <v>716237.44062330108</v>
      </c>
      <c r="Q65" s="138">
        <f>SUM('Rate Base'!R45:R47)</f>
        <v>386469.78566965624</v>
      </c>
    </row>
    <row r="66" spans="1:17" x14ac:dyDescent="0.25">
      <c r="A66" s="149"/>
      <c r="B66" s="149" t="s">
        <v>382</v>
      </c>
      <c r="C66" s="149" t="s">
        <v>381</v>
      </c>
      <c r="D66" s="149">
        <f t="shared" si="2"/>
        <v>59</v>
      </c>
      <c r="E66" s="150">
        <f t="shared" si="0"/>
        <v>457328636</v>
      </c>
      <c r="F66" s="138">
        <f>SUM('Rate Base'!G48:G50)</f>
        <v>333189335.57624215</v>
      </c>
      <c r="G66" s="138">
        <f>SUM('Rate Base'!H48:H50)</f>
        <v>60999147.517986134</v>
      </c>
      <c r="H66" s="138">
        <f>SUM('Rate Base'!I48:I50)</f>
        <v>28287904.79640856</v>
      </c>
      <c r="I66" s="138">
        <f>SUM('Rate Base'!J48:J50)</f>
        <v>8736373.9710735735</v>
      </c>
      <c r="J66" s="138">
        <f>SUM('Rate Base'!K48:K50)</f>
        <v>813608.53999999992</v>
      </c>
      <c r="K66" s="138">
        <f>SUM('Rate Base'!L48:L50)</f>
        <v>0</v>
      </c>
      <c r="L66" s="138">
        <f>SUM('Rate Base'!M48:M50)</f>
        <v>47249.630000000005</v>
      </c>
      <c r="M66" s="138">
        <f>SUM('Rate Base'!N48:N50)</f>
        <v>2341535.54</v>
      </c>
      <c r="N66" s="138">
        <f>SUM('Rate Base'!O48:O50)</f>
        <v>0</v>
      </c>
      <c r="O66" s="138">
        <f>SUM('Rate Base'!P48:P50)</f>
        <v>0</v>
      </c>
      <c r="P66" s="138">
        <f>SUM('Rate Base'!Q48:Q50)</f>
        <v>22876598.255147059</v>
      </c>
      <c r="Q66" s="138">
        <f>SUM('Rate Base'!R48:R50)</f>
        <v>36882.173142559688</v>
      </c>
    </row>
    <row r="67" spans="1:17" x14ac:dyDescent="0.25">
      <c r="A67" s="149"/>
      <c r="B67" s="149" t="s">
        <v>384</v>
      </c>
      <c r="C67" s="149" t="s">
        <v>383</v>
      </c>
      <c r="D67" s="149">
        <f t="shared" si="2"/>
        <v>60</v>
      </c>
      <c r="E67" s="150">
        <f t="shared" si="0"/>
        <v>0</v>
      </c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</row>
    <row r="68" spans="1:17" x14ac:dyDescent="0.25">
      <c r="A68" s="149"/>
      <c r="B68" s="149" t="s">
        <v>386</v>
      </c>
      <c r="C68" s="149" t="s">
        <v>385</v>
      </c>
      <c r="D68" s="149">
        <f t="shared" si="2"/>
        <v>61</v>
      </c>
      <c r="E68" s="150">
        <f t="shared" si="0"/>
        <v>0</v>
      </c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</row>
    <row r="69" spans="1:17" x14ac:dyDescent="0.25">
      <c r="A69" s="149"/>
      <c r="B69" s="149" t="s">
        <v>388</v>
      </c>
      <c r="C69" s="149" t="s">
        <v>387</v>
      </c>
      <c r="D69" s="149">
        <f t="shared" si="2"/>
        <v>62</v>
      </c>
      <c r="E69" s="150">
        <f t="shared" si="0"/>
        <v>292445279.27594095</v>
      </c>
      <c r="F69" s="138">
        <f>Expenses!G40+Expenses!G44+Expenses!G57+Expenses!G65+Expenses!G76+Expenses!G102-Expenses!G69</f>
        <v>176611551.89923042</v>
      </c>
      <c r="G69" s="138">
        <f>Expenses!H40+Expenses!H44+Expenses!H57+Expenses!H65+Expenses!H76+Expenses!H102-Expenses!H69</f>
        <v>37211598.472282968</v>
      </c>
      <c r="H69" s="138">
        <f>Expenses!I40+Expenses!I44+Expenses!I57+Expenses!I65+Expenses!I76+Expenses!I102-Expenses!I69</f>
        <v>29806019.004255459</v>
      </c>
      <c r="I69" s="138">
        <f>Expenses!J40+Expenses!J44+Expenses!J57+Expenses!J65+Expenses!J76+Expenses!J102-Expenses!J69</f>
        <v>17788908.359454807</v>
      </c>
      <c r="J69" s="138">
        <f>Expenses!K40+Expenses!K44+Expenses!K57+Expenses!K65+Expenses!K76+Expenses!K102-Expenses!K69</f>
        <v>12511433.416546449</v>
      </c>
      <c r="K69" s="138">
        <f>Expenses!L40+Expenses!L44+Expenses!L57+Expenses!L65+Expenses!L76+Expenses!L102-Expenses!L69</f>
        <v>83216.999460084829</v>
      </c>
      <c r="L69" s="138">
        <f>Expenses!M40+Expenses!M44+Expenses!M57+Expenses!M65+Expenses!M76+Expenses!M102-Expenses!M69</f>
        <v>1738239.1647159718</v>
      </c>
      <c r="M69" s="138">
        <f>Expenses!N40+Expenses!N44+Expenses!N57+Expenses!N65+Expenses!N76+Expenses!N102-Expenses!N69</f>
        <v>5708913.0260496605</v>
      </c>
      <c r="N69" s="138">
        <f>Expenses!O40+Expenses!O44+Expenses!O57+Expenses!O65+Expenses!O76+Expenses!O102-Expenses!O69</f>
        <v>4862626.5156145878</v>
      </c>
      <c r="O69" s="138">
        <f>Expenses!P40+Expenses!P44+Expenses!P57+Expenses!P65+Expenses!P76+Expenses!P102-Expenses!P69</f>
        <v>1702026.3765146895</v>
      </c>
      <c r="P69" s="138">
        <f>Expenses!Q40+Expenses!Q44+Expenses!Q57+Expenses!Q65+Expenses!Q76+Expenses!Q102-Expenses!Q69</f>
        <v>4320690.75362272</v>
      </c>
      <c r="Q69" s="138">
        <f>Expenses!R40+Expenses!R44+Expenses!R57+Expenses!R65+Expenses!R76+Expenses!R102-Expenses!R69</f>
        <v>100055.28819314843</v>
      </c>
    </row>
    <row r="70" spans="1:17" x14ac:dyDescent="0.25">
      <c r="A70" s="149"/>
      <c r="B70" s="133" t="s">
        <v>390</v>
      </c>
      <c r="C70" s="149" t="s">
        <v>389</v>
      </c>
      <c r="D70" s="149">
        <f t="shared" si="2"/>
        <v>63</v>
      </c>
      <c r="E70" s="150">
        <f t="shared" si="0"/>
        <v>50229724.321116567</v>
      </c>
      <c r="F70" s="138">
        <f>Expenses!G65</f>
        <v>43816951.773889594</v>
      </c>
      <c r="G70" s="138">
        <f>Expenses!H65</f>
        <v>5487069.6394549664</v>
      </c>
      <c r="H70" s="138">
        <f>Expenses!I65</f>
        <v>380334.27401122102</v>
      </c>
      <c r="I70" s="138">
        <f>Expenses!J65</f>
        <v>108570.76810961298</v>
      </c>
      <c r="J70" s="138">
        <f>Expenses!K65</f>
        <v>43855.976375322294</v>
      </c>
      <c r="K70" s="138">
        <f>Expenses!L65</f>
        <v>40.294469414901613</v>
      </c>
      <c r="L70" s="138">
        <f>Expenses!M65</f>
        <v>8586.4261729905211</v>
      </c>
      <c r="M70" s="138">
        <f>Expenses!N65</f>
        <v>60504.301090520123</v>
      </c>
      <c r="N70" s="138">
        <f>Expenses!O65</f>
        <v>34637.712657808683</v>
      </c>
      <c r="O70" s="138">
        <f>Expenses!P65</f>
        <v>214031.30590799806</v>
      </c>
      <c r="P70" s="138">
        <f>Expenses!Q65</f>
        <v>74867.798723352273</v>
      </c>
      <c r="Q70" s="138">
        <f>Expenses!R65</f>
        <v>274.05025375791286</v>
      </c>
    </row>
    <row r="71" spans="1:17" x14ac:dyDescent="0.25">
      <c r="A71" s="149"/>
      <c r="B71" s="149" t="s">
        <v>392</v>
      </c>
      <c r="C71" s="149" t="s">
        <v>391</v>
      </c>
      <c r="D71" s="149">
        <f t="shared" si="2"/>
        <v>64</v>
      </c>
      <c r="E71" s="150">
        <f t="shared" si="0"/>
        <v>39536103.639074974</v>
      </c>
      <c r="F71" s="138">
        <f>SUM(Expenses!G61:G64)</f>
        <v>34488573.646273606</v>
      </c>
      <c r="G71" s="138">
        <f>SUM(Expenses!H61:H64)</f>
        <v>4318903.9333252497</v>
      </c>
      <c r="H71" s="138">
        <f>SUM(Expenses!I61:I64)</f>
        <v>299363.28494796157</v>
      </c>
      <c r="I71" s="138">
        <f>SUM(Expenses!J61:J64)</f>
        <v>85456.673278039147</v>
      </c>
      <c r="J71" s="138">
        <f>SUM(Expenses!K61:K64)</f>
        <v>34519.290133524322</v>
      </c>
      <c r="K71" s="138">
        <f>SUM(Expenses!L61:L64)</f>
        <v>31.716007611042247</v>
      </c>
      <c r="L71" s="138">
        <f>SUM(Expenses!M61:M64)</f>
        <v>6758.4252084358832</v>
      </c>
      <c r="M71" s="138">
        <f>SUM(Expenses!N61:N64)</f>
        <v>47623.281848651524</v>
      </c>
      <c r="N71" s="138">
        <f>SUM(Expenses!O61:O64)</f>
        <v>27263.54197576017</v>
      </c>
      <c r="O71" s="138">
        <f>SUM(Expenses!P61:P64)</f>
        <v>168465.26646828049</v>
      </c>
      <c r="P71" s="138">
        <f>SUM(Expenses!Q61:Q64)</f>
        <v>58928.87308385018</v>
      </c>
      <c r="Q71" s="138">
        <f>SUM(Expenses!R61:R64)</f>
        <v>215.7065240020172</v>
      </c>
    </row>
    <row r="72" spans="1:17" x14ac:dyDescent="0.25">
      <c r="A72" s="149"/>
      <c r="B72" s="133" t="s">
        <v>394</v>
      </c>
      <c r="C72" s="149" t="s">
        <v>393</v>
      </c>
      <c r="D72" s="149">
        <f t="shared" si="2"/>
        <v>65</v>
      </c>
      <c r="E72" s="150">
        <f t="shared" si="0"/>
        <v>16118520.550502924</v>
      </c>
      <c r="F72" s="138">
        <f>SUM(Expenses!G47:G54)</f>
        <v>9841995.7782958671</v>
      </c>
      <c r="G72" s="138">
        <f>SUM(Expenses!H47:H54)</f>
        <v>2235630.1483331155</v>
      </c>
      <c r="H72" s="138">
        <f>SUM(Expenses!I47:I54)</f>
        <v>1409691.0213755649</v>
      </c>
      <c r="I72" s="138">
        <f>SUM(Expenses!J47:J54)</f>
        <v>558064.08058192045</v>
      </c>
      <c r="J72" s="138">
        <f>SUM(Expenses!K47:K54)</f>
        <v>764909.40248864668</v>
      </c>
      <c r="K72" s="138">
        <f>SUM(Expenses!L47:L54)</f>
        <v>6384.1437844187549</v>
      </c>
      <c r="L72" s="138">
        <f>SUM(Expenses!M47:M54)</f>
        <v>226583.89679613884</v>
      </c>
      <c r="M72" s="138">
        <f>SUM(Expenses!N47:N54)</f>
        <v>176973.08956306547</v>
      </c>
      <c r="N72" s="138">
        <f>SUM(Expenses!O47:O54)</f>
        <v>99351.363578156044</v>
      </c>
      <c r="O72" s="138">
        <f>SUM(Expenses!P47:P54)</f>
        <v>52989.752312673299</v>
      </c>
      <c r="P72" s="138">
        <f>SUM(Expenses!Q47:Q54)</f>
        <v>733814.34687959007</v>
      </c>
      <c r="Q72" s="138">
        <f>SUM(Expenses!R47:R54)</f>
        <v>12133.526513767332</v>
      </c>
    </row>
    <row r="73" spans="1:17" x14ac:dyDescent="0.25">
      <c r="A73" s="149"/>
      <c r="B73" s="149" t="s">
        <v>396</v>
      </c>
      <c r="C73" s="149" t="s">
        <v>395</v>
      </c>
      <c r="D73" s="149">
        <f t="shared" si="2"/>
        <v>66</v>
      </c>
      <c r="E73" s="150">
        <f t="shared" ref="E73:E136" si="3">SUM(F73:Q73)</f>
        <v>0</v>
      </c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</row>
    <row r="74" spans="1:17" x14ac:dyDescent="0.25">
      <c r="A74" s="149"/>
      <c r="B74" s="133" t="s">
        <v>398</v>
      </c>
      <c r="C74" s="149" t="s">
        <v>397</v>
      </c>
      <c r="D74" s="149">
        <f t="shared" ref="D74:D126" si="4">D73+1</f>
        <v>67</v>
      </c>
      <c r="E74" s="150">
        <f t="shared" si="3"/>
        <v>12075218.906426268</v>
      </c>
      <c r="F74" s="138">
        <f>SUM(Expenses!G48:G53)</f>
        <v>7373148.9888715399</v>
      </c>
      <c r="G74" s="138">
        <f>SUM(Expenses!H48:H53)</f>
        <v>1674826.3806436188</v>
      </c>
      <c r="H74" s="138">
        <f>SUM(Expenses!I48:I53)</f>
        <v>1056072.5855824563</v>
      </c>
      <c r="I74" s="138">
        <f>SUM(Expenses!J48:J53)</f>
        <v>418074.71819303778</v>
      </c>
      <c r="J74" s="138">
        <f>SUM(Expenses!K48:K53)</f>
        <v>573033.26627864339</v>
      </c>
      <c r="K74" s="138">
        <f>SUM(Expenses!L48:L53)</f>
        <v>4782.6928957541177</v>
      </c>
      <c r="L74" s="138">
        <f>SUM(Expenses!M48:M53)</f>
        <v>169745.73726613543</v>
      </c>
      <c r="M74" s="138">
        <f>SUM(Expenses!N48:N53)</f>
        <v>132579.71104264402</v>
      </c>
      <c r="N74" s="138">
        <f>SUM(Expenses!O48:O53)</f>
        <v>74429.254229585466</v>
      </c>
      <c r="O74" s="138">
        <f>SUM(Expenses!P48:P53)</f>
        <v>39697.369058655502</v>
      </c>
      <c r="P74" s="138">
        <f>SUM(Expenses!Q48:Q53)</f>
        <v>549738.34896843508</v>
      </c>
      <c r="Q74" s="138">
        <f>SUM(Expenses!R48:R53)</f>
        <v>9089.8533957631844</v>
      </c>
    </row>
    <row r="75" spans="1:17" x14ac:dyDescent="0.25">
      <c r="A75" s="149"/>
      <c r="B75" s="149" t="s">
        <v>400</v>
      </c>
      <c r="C75" s="149" t="s">
        <v>399</v>
      </c>
      <c r="D75" s="149">
        <f t="shared" si="4"/>
        <v>68</v>
      </c>
      <c r="E75" s="150">
        <f t="shared" si="3"/>
        <v>3527157160.3556805</v>
      </c>
      <c r="F75" s="138">
        <f>'Rate Base'!G56</f>
        <v>2297509443.7289076</v>
      </c>
      <c r="G75" s="138">
        <f>'Rate Base'!H56</f>
        <v>428319023.41192037</v>
      </c>
      <c r="H75" s="138">
        <f>'Rate Base'!I56</f>
        <v>343101552.89962864</v>
      </c>
      <c r="I75" s="138">
        <f>'Rate Base'!J56</f>
        <v>150165803.19580317</v>
      </c>
      <c r="J75" s="138">
        <f>'Rate Base'!K56</f>
        <v>116388888.62240864</v>
      </c>
      <c r="K75" s="138">
        <f>'Rate Base'!L56</f>
        <v>1240246.7501631279</v>
      </c>
      <c r="L75" s="138">
        <f>'Rate Base'!M56</f>
        <v>30919611.337595645</v>
      </c>
      <c r="M75" s="138">
        <f>'Rate Base'!N56</f>
        <v>51971299.359962955</v>
      </c>
      <c r="N75" s="138">
        <f>'Rate Base'!O56</f>
        <v>22196387.318155434</v>
      </c>
      <c r="O75" s="138">
        <f>'Rate Base'!P56</f>
        <v>7357965.4024387831</v>
      </c>
      <c r="P75" s="138">
        <f>'Rate Base'!Q56</f>
        <v>76736834.86834909</v>
      </c>
      <c r="Q75" s="138">
        <f>'Rate Base'!R56</f>
        <v>1250103.460347346</v>
      </c>
    </row>
    <row r="76" spans="1:17" x14ac:dyDescent="0.25">
      <c r="A76" s="149"/>
      <c r="B76" s="133" t="s">
        <v>402</v>
      </c>
      <c r="C76" s="149" t="s">
        <v>401</v>
      </c>
      <c r="D76" s="149">
        <f t="shared" si="4"/>
        <v>69</v>
      </c>
      <c r="E76" s="150">
        <f t="shared" si="3"/>
        <v>9523077020.0229511</v>
      </c>
      <c r="F76" s="138">
        <f>'Rate Base'!G72</f>
        <v>5321589444.2375336</v>
      </c>
      <c r="G76" s="138">
        <f>'Rate Base'!H72</f>
        <v>1219320675.762578</v>
      </c>
      <c r="H76" s="138">
        <f>'Rate Base'!I72</f>
        <v>1137795633.3255343</v>
      </c>
      <c r="I76" s="138">
        <f>'Rate Base'!J72</f>
        <v>677339076.03743565</v>
      </c>
      <c r="J76" s="138">
        <f>'Rate Base'!K72</f>
        <v>460608059.75831831</v>
      </c>
      <c r="K76" s="138">
        <f>'Rate Base'!L72</f>
        <v>2617608.5945459227</v>
      </c>
      <c r="L76" s="138">
        <f>'Rate Base'!M72</f>
        <v>62290004.741609193</v>
      </c>
      <c r="M76" s="138">
        <f>'Rate Base'!N72</f>
        <v>234493893.72138694</v>
      </c>
      <c r="N76" s="138">
        <f>'Rate Base'!O72</f>
        <v>188538344.00292766</v>
      </c>
      <c r="O76" s="138">
        <f>'Rate Base'!P72</f>
        <v>109891665.2819345</v>
      </c>
      <c r="P76" s="138">
        <f>'Rate Base'!Q72</f>
        <v>105483403.32085669</v>
      </c>
      <c r="Q76" s="138">
        <f>'Rate Base'!R72</f>
        <v>3109211.2382911551</v>
      </c>
    </row>
    <row r="77" spans="1:17" x14ac:dyDescent="0.25">
      <c r="A77" s="149"/>
      <c r="B77" s="149" t="s">
        <v>404</v>
      </c>
      <c r="C77" s="149" t="s">
        <v>403</v>
      </c>
      <c r="D77" s="149">
        <f t="shared" si="4"/>
        <v>70</v>
      </c>
      <c r="E77" s="150">
        <f t="shared" si="3"/>
        <v>454603105.91412461</v>
      </c>
      <c r="F77" s="138">
        <f>'Rate Base'!G70</f>
        <v>270128012.85552442</v>
      </c>
      <c r="G77" s="138">
        <f>'Rate Base'!H70</f>
        <v>57068601.205684476</v>
      </c>
      <c r="H77" s="138">
        <f>'Rate Base'!I70</f>
        <v>48386752.977676503</v>
      </c>
      <c r="I77" s="138">
        <f>'Rate Base'!J70</f>
        <v>28547503.807414893</v>
      </c>
      <c r="J77" s="138">
        <f>'Rate Base'!K70</f>
        <v>19421500.268385675</v>
      </c>
      <c r="K77" s="138">
        <f>'Rate Base'!L70</f>
        <v>111609.79436725237</v>
      </c>
      <c r="L77" s="138">
        <f>'Rate Base'!M70</f>
        <v>2666855.2698014574</v>
      </c>
      <c r="M77" s="138">
        <f>'Rate Base'!N70</f>
        <v>9902827.9726187754</v>
      </c>
      <c r="N77" s="138">
        <f>'Rate Base'!O70</f>
        <v>7900666.6966427863</v>
      </c>
      <c r="O77" s="138">
        <f>'Rate Base'!P70</f>
        <v>4817775.6575218961</v>
      </c>
      <c r="P77" s="138">
        <f>'Rate Base'!Q70</f>
        <v>5518745.3587329974</v>
      </c>
      <c r="Q77" s="138">
        <f>'Rate Base'!R70</f>
        <v>132254.04975354706</v>
      </c>
    </row>
    <row r="78" spans="1:17" x14ac:dyDescent="0.25">
      <c r="A78" s="149"/>
      <c r="B78" s="133" t="s">
        <v>406</v>
      </c>
      <c r="C78" s="149" t="s">
        <v>405</v>
      </c>
      <c r="D78" s="149">
        <f t="shared" si="4"/>
        <v>71</v>
      </c>
      <c r="E78" s="150">
        <f t="shared" si="3"/>
        <v>2223200152.5734696</v>
      </c>
      <c r="F78" s="138">
        <f>SUM('Rate Base'!G42:G47)</f>
        <v>1468715356.7026553</v>
      </c>
      <c r="G78" s="138">
        <f>SUM('Rate Base'!H42:H47)</f>
        <v>275075584.15544623</v>
      </c>
      <c r="H78" s="138">
        <f>SUM('Rate Base'!I42:I47)</f>
        <v>239695765.47307557</v>
      </c>
      <c r="I78" s="138">
        <f>SUM('Rate Base'!J42:J47)</f>
        <v>102000397.77234775</v>
      </c>
      <c r="J78" s="138">
        <f>SUM('Rate Base'!K42:K47)</f>
        <v>74622288.412844807</v>
      </c>
      <c r="K78" s="138">
        <f>SUM('Rate Base'!L42:L47)</f>
        <v>1121834.9866995397</v>
      </c>
      <c r="L78" s="138">
        <f>SUM('Rate Base'!M42:M47)</f>
        <v>23898290.070714243</v>
      </c>
      <c r="M78" s="138">
        <f>SUM('Rate Base'!N42:N47)</f>
        <v>29325190.057723358</v>
      </c>
      <c r="N78" s="138">
        <f>SUM('Rate Base'!O42:O47)</f>
        <v>6656205.0899999999</v>
      </c>
      <c r="O78" s="138">
        <f>SUM('Rate Base'!P42:P47)</f>
        <v>0</v>
      </c>
      <c r="P78" s="138">
        <f>SUM('Rate Base'!Q42:Q47)</f>
        <v>1189511.3826354772</v>
      </c>
      <c r="Q78" s="138">
        <f>SUM('Rate Base'!R42:R47)</f>
        <v>899728.46932648623</v>
      </c>
    </row>
    <row r="79" spans="1:17" x14ac:dyDescent="0.25">
      <c r="A79" s="149"/>
      <c r="B79" s="149" t="s">
        <v>408</v>
      </c>
      <c r="C79" s="149" t="s">
        <v>407</v>
      </c>
      <c r="D79" s="149">
        <f t="shared" si="4"/>
        <v>72</v>
      </c>
      <c r="E79" s="150">
        <f t="shared" si="3"/>
        <v>0</v>
      </c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</row>
    <row r="80" spans="1:17" x14ac:dyDescent="0.25">
      <c r="A80" s="149"/>
      <c r="B80" s="133" t="s">
        <v>410</v>
      </c>
      <c r="C80" s="149" t="s">
        <v>409</v>
      </c>
      <c r="D80" s="149">
        <f t="shared" si="4"/>
        <v>73</v>
      </c>
      <c r="E80" s="150">
        <f t="shared" si="3"/>
        <v>3887841988.9148145</v>
      </c>
      <c r="F80" s="138">
        <f>'Rate Base'!G20</f>
        <v>1954604784.2429452</v>
      </c>
      <c r="G80" s="138">
        <f>'Rate Base'!H20</f>
        <v>525208574.28250229</v>
      </c>
      <c r="H80" s="138">
        <f>'Rate Base'!I20</f>
        <v>536844885.35532445</v>
      </c>
      <c r="I80" s="138">
        <f>'Rate Base'!J20</f>
        <v>359769234.12821019</v>
      </c>
      <c r="J80" s="138">
        <f>'Rate Base'!K20</f>
        <v>234110293.20449451</v>
      </c>
      <c r="K80" s="138">
        <f>'Rate Base'!L20</f>
        <v>901979.34142823704</v>
      </c>
      <c r="L80" s="138">
        <f>'Rate Base'!M20</f>
        <v>20415058.283791691</v>
      </c>
      <c r="M80" s="138">
        <f>'Rate Base'!N20</f>
        <v>124543130.27289718</v>
      </c>
      <c r="N80" s="138">
        <f>'Rate Base'!O20</f>
        <v>114656348.09508681</v>
      </c>
      <c r="O80" s="138">
        <f>'Rate Base'!P20</f>
        <v>0</v>
      </c>
      <c r="P80" s="138">
        <f>'Rate Base'!Q20</f>
        <v>15551367.955659261</v>
      </c>
      <c r="Q80" s="138">
        <f>'Rate Base'!R20</f>
        <v>1236333.752474911</v>
      </c>
    </row>
    <row r="81" spans="1:17" x14ac:dyDescent="0.25">
      <c r="A81" s="149"/>
      <c r="B81" s="149" t="s">
        <v>412</v>
      </c>
      <c r="C81" s="149" t="s">
        <v>411</v>
      </c>
      <c r="D81" s="149">
        <f t="shared" si="4"/>
        <v>74</v>
      </c>
      <c r="E81" s="150">
        <f t="shared" si="3"/>
        <v>9258652470.1846199</v>
      </c>
      <c r="F81" s="138">
        <f>'Rate Base'!G20+'Rate Base'!G32+'Rate Base'!G56+'Rate Base'!G70</f>
        <v>5172959948.4737911</v>
      </c>
      <c r="G81" s="138">
        <f>'Rate Base'!H20+'Rate Base'!H32+'Rate Base'!H56+'Rate Base'!H70</f>
        <v>1185446133.9092052</v>
      </c>
      <c r="H81" s="138">
        <f>'Rate Base'!I20+'Rate Base'!I32+'Rate Base'!I56+'Rate Base'!I70</f>
        <v>1107057031.4566381</v>
      </c>
      <c r="I81" s="138">
        <f>'Rate Base'!J20+'Rate Base'!J32+'Rate Base'!J56+'Rate Base'!J70</f>
        <v>658255199.62529838</v>
      </c>
      <c r="J81" s="138">
        <f>'Rate Base'!K20+'Rate Base'!K32+'Rate Base'!K56+'Rate Base'!K70</f>
        <v>447859564.96232456</v>
      </c>
      <c r="K81" s="138">
        <f>'Rate Base'!L20+'Rate Base'!L32+'Rate Base'!L56+'Rate Base'!L70</f>
        <v>2554118.5487916232</v>
      </c>
      <c r="L81" s="138">
        <f>'Rate Base'!M20+'Rate Base'!M32+'Rate Base'!M56+'Rate Base'!M70</f>
        <v>60798008.781430669</v>
      </c>
      <c r="M81" s="138">
        <f>'Rate Base'!N20+'Rate Base'!N32+'Rate Base'!N56+'Rate Base'!N70</f>
        <v>227879562.86923978</v>
      </c>
      <c r="N81" s="138">
        <f>'Rate Base'!O20+'Rate Base'!O32+'Rate Base'!O56+'Rate Base'!O70</f>
        <v>182924246.97888583</v>
      </c>
      <c r="O81" s="138">
        <f>'Rate Base'!P20+'Rate Base'!P32+'Rate Base'!P56+'Rate Base'!P70</f>
        <v>106904133.5038999</v>
      </c>
      <c r="P81" s="138">
        <f>'Rate Base'!Q20+'Rate Base'!Q32+'Rate Base'!Q56+'Rate Base'!Q70</f>
        <v>102984235.4729656</v>
      </c>
      <c r="Q81" s="138">
        <f>'Rate Base'!R20+'Rate Base'!R32+'Rate Base'!R56+'Rate Base'!R70</f>
        <v>3030285.6021486316</v>
      </c>
    </row>
    <row r="82" spans="1:17" x14ac:dyDescent="0.25">
      <c r="A82" s="149"/>
      <c r="B82" s="133" t="s">
        <v>414</v>
      </c>
      <c r="C82" s="149" t="s">
        <v>413</v>
      </c>
      <c r="D82" s="149">
        <f t="shared" si="4"/>
        <v>75</v>
      </c>
      <c r="E82" s="150">
        <f t="shared" si="3"/>
        <v>8804049364.2704964</v>
      </c>
      <c r="F82" s="138">
        <f>'Rate Base'!G20+'Rate Base'!G32+'Rate Base'!G56</f>
        <v>4902831935.6182671</v>
      </c>
      <c r="G82" s="138">
        <f>'Rate Base'!H20+'Rate Base'!H32+'Rate Base'!H56</f>
        <v>1128377532.7035208</v>
      </c>
      <c r="H82" s="138">
        <f>'Rate Base'!I20+'Rate Base'!I32+'Rate Base'!I56</f>
        <v>1058670278.4789617</v>
      </c>
      <c r="I82" s="138">
        <f>'Rate Base'!J20+'Rate Base'!J32+'Rate Base'!J56</f>
        <v>629707695.81788349</v>
      </c>
      <c r="J82" s="138">
        <f>'Rate Base'!K20+'Rate Base'!K32+'Rate Base'!K56</f>
        <v>428438064.69393891</v>
      </c>
      <c r="K82" s="138">
        <f>'Rate Base'!L20+'Rate Base'!L32+'Rate Base'!L56</f>
        <v>2442508.7544243708</v>
      </c>
      <c r="L82" s="138">
        <f>'Rate Base'!M20+'Rate Base'!M32+'Rate Base'!M56</f>
        <v>58131153.511629209</v>
      </c>
      <c r="M82" s="138">
        <f>'Rate Base'!N20+'Rate Base'!N32+'Rate Base'!N56</f>
        <v>217976734.89662099</v>
      </c>
      <c r="N82" s="138">
        <f>'Rate Base'!O20+'Rate Base'!O32+'Rate Base'!O56</f>
        <v>175023580.28224304</v>
      </c>
      <c r="O82" s="138">
        <f>'Rate Base'!P20+'Rate Base'!P32+'Rate Base'!P56</f>
        <v>102086357.84637801</v>
      </c>
      <c r="P82" s="138">
        <f>'Rate Base'!Q20+'Rate Base'!Q32+'Rate Base'!Q56</f>
        <v>97465490.1142326</v>
      </c>
      <c r="Q82" s="138">
        <f>'Rate Base'!R20+'Rate Base'!R32+'Rate Base'!R56</f>
        <v>2898031.5523950844</v>
      </c>
    </row>
    <row r="83" spans="1:17" x14ac:dyDescent="0.25">
      <c r="A83" s="149"/>
      <c r="B83" s="149" t="s">
        <v>416</v>
      </c>
      <c r="C83" s="149" t="s">
        <v>415</v>
      </c>
      <c r="D83" s="149">
        <f t="shared" si="4"/>
        <v>76</v>
      </c>
      <c r="E83" s="150">
        <f t="shared" si="3"/>
        <v>5097747768.4587584</v>
      </c>
      <c r="F83" s="138">
        <f>'Rate Base'!G157</f>
        <v>2825553953.048718</v>
      </c>
      <c r="G83" s="138">
        <f>'Rate Base'!H157</f>
        <v>635227095.12831354</v>
      </c>
      <c r="H83" s="138">
        <f>'Rate Base'!I157</f>
        <v>622772212.59075439</v>
      </c>
      <c r="I83" s="138">
        <f>'Rate Base'!J157</f>
        <v>373398152.99828219</v>
      </c>
      <c r="J83" s="138">
        <f>'Rate Base'!K157</f>
        <v>255174926.68910238</v>
      </c>
      <c r="K83" s="138">
        <f>'Rate Base'!L157</f>
        <v>1415617.7414043113</v>
      </c>
      <c r="L83" s="138">
        <f>'Rate Base'!M157</f>
        <v>34124013.96352651</v>
      </c>
      <c r="M83" s="138">
        <f>'Rate Base'!N157</f>
        <v>124851706.57603726</v>
      </c>
      <c r="N83" s="138">
        <f>'Rate Base'!O157</f>
        <v>106715280.35380587</v>
      </c>
      <c r="O83" s="138">
        <f>'Rate Base'!P157</f>
        <v>60855919.302659035</v>
      </c>
      <c r="P83" s="138">
        <f>'Rate Base'!Q157</f>
        <v>55930430.382587329</v>
      </c>
      <c r="Q83" s="138">
        <f>'Rate Base'!R157</f>
        <v>1728459.6835672273</v>
      </c>
    </row>
    <row r="84" spans="1:17" x14ac:dyDescent="0.25">
      <c r="A84" s="149"/>
      <c r="B84" s="133" t="s">
        <v>418</v>
      </c>
      <c r="C84" s="149" t="s">
        <v>417</v>
      </c>
      <c r="D84" s="149">
        <f t="shared" si="4"/>
        <v>77</v>
      </c>
      <c r="E84" s="150">
        <f t="shared" si="3"/>
        <v>1979688699.2951274</v>
      </c>
      <c r="F84" s="138">
        <f>+Expenses!G111+Expenses!G137+('Rate Base'!G157*0.0774)</f>
        <v>1080345427.0219114</v>
      </c>
      <c r="G84" s="138">
        <f>+Expenses!H111+Expenses!H137+('Rate Base'!H157*0.0774)</f>
        <v>257466077.84500369</v>
      </c>
      <c r="H84" s="138">
        <f>+Expenses!I111+Expenses!I137+('Rate Base'!I157*0.0774)</f>
        <v>245272706.86550024</v>
      </c>
      <c r="I84" s="138">
        <f>+Expenses!J111+Expenses!J137+('Rate Base'!J157*0.0774)</f>
        <v>153913277.39579469</v>
      </c>
      <c r="J84" s="138">
        <f>+Expenses!K111+Expenses!K137+('Rate Base'!K157*0.0774)</f>
        <v>103035948.10062823</v>
      </c>
      <c r="K84" s="138">
        <f>+Expenses!L111+Expenses!L137+('Rate Base'!L157*0.0774)</f>
        <v>510954.85461531975</v>
      </c>
      <c r="L84" s="138">
        <f>+Expenses!M111+Expenses!M137+('Rate Base'!M157*0.0774)</f>
        <v>11730619.764986718</v>
      </c>
      <c r="M84" s="138">
        <f>+Expenses!N111+Expenses!N137+('Rate Base'!N157*0.0774)</f>
        <v>52345958.818384439</v>
      </c>
      <c r="N84" s="138">
        <f>+Expenses!O111+Expenses!O137+('Rate Base'!O157*0.0774)</f>
        <v>45748313.405872077</v>
      </c>
      <c r="O84" s="138">
        <f>+Expenses!P111+Expenses!P137+('Rate Base'!P157*0.0774)</f>
        <v>10868224.895425495</v>
      </c>
      <c r="P84" s="138">
        <f>+Expenses!Q111+Expenses!Q137+('Rate Base'!Q157*0.0774)</f>
        <v>17808123.303764325</v>
      </c>
      <c r="Q84" s="138">
        <f>+Expenses!R111+Expenses!R137+('Rate Base'!R157*0.0774)</f>
        <v>643067.02324102761</v>
      </c>
    </row>
    <row r="85" spans="1:17" x14ac:dyDescent="0.25">
      <c r="A85" s="149"/>
      <c r="B85" s="149" t="s">
        <v>420</v>
      </c>
      <c r="C85" s="149" t="s">
        <v>419</v>
      </c>
      <c r="D85" s="149">
        <f t="shared" si="4"/>
        <v>78</v>
      </c>
      <c r="E85" s="150">
        <f t="shared" si="3"/>
        <v>99584184.594994351</v>
      </c>
      <c r="F85" s="138">
        <f>Labor!G42</f>
        <v>59443108.334463984</v>
      </c>
      <c r="G85" s="138">
        <f>Labor!H42</f>
        <v>12482480.528383816</v>
      </c>
      <c r="H85" s="138">
        <f>Labor!I42</f>
        <v>10497920.767250141</v>
      </c>
      <c r="I85" s="138">
        <f>Labor!J42</f>
        <v>6191925.3628703821</v>
      </c>
      <c r="J85" s="138">
        <f>Labor!K42</f>
        <v>4211757.0623060353</v>
      </c>
      <c r="K85" s="138">
        <f>Labor!L42</f>
        <v>24191.5651665654</v>
      </c>
      <c r="L85" s="138">
        <f>Labor!M42</f>
        <v>578175.88922977122</v>
      </c>
      <c r="M85" s="138">
        <f>Labor!N42</f>
        <v>2148312.313658203</v>
      </c>
      <c r="N85" s="138">
        <f>Labor!O42</f>
        <v>1713988.2511862745</v>
      </c>
      <c r="O85" s="138">
        <f>Labor!P42</f>
        <v>1048431.8247905826</v>
      </c>
      <c r="P85" s="138">
        <f>Labor!Q42</f>
        <v>1215218.5518128516</v>
      </c>
      <c r="Q85" s="138">
        <f>Labor!R42</f>
        <v>28674.143875731112</v>
      </c>
    </row>
    <row r="86" spans="1:17" x14ac:dyDescent="0.25">
      <c r="A86" s="149"/>
      <c r="B86" s="133" t="s">
        <v>422</v>
      </c>
      <c r="C86" s="149" t="s">
        <v>421</v>
      </c>
      <c r="D86" s="149">
        <f t="shared" si="4"/>
        <v>79</v>
      </c>
      <c r="E86" s="150">
        <f t="shared" si="3"/>
        <v>58815910.633751214</v>
      </c>
      <c r="F86" s="138">
        <f>Labor!G13+Labor!G17+Labor!G21</f>
        <v>32881714.540428847</v>
      </c>
      <c r="G86" s="138">
        <f>Labor!H13+Labor!H17+Labor!H21</f>
        <v>7527735.8603064846</v>
      </c>
      <c r="H86" s="138">
        <f>Labor!I13+Labor!I17+Labor!I21</f>
        <v>7039342.0419340748</v>
      </c>
      <c r="I86" s="138">
        <f>Labor!J13+Labor!J17+Labor!J21</f>
        <v>4165639.946908283</v>
      </c>
      <c r="J86" s="138">
        <f>Labor!K13+Labor!K17+Labor!K21</f>
        <v>2839854.2433511163</v>
      </c>
      <c r="K86" s="138">
        <f>Labor!L13+Labor!L17+Labor!L21</f>
        <v>16419.147211224736</v>
      </c>
      <c r="L86" s="138">
        <f>Labor!M13+Labor!M17+Labor!M21</f>
        <v>391329.28437714896</v>
      </c>
      <c r="M86" s="138">
        <f>Labor!N13+Labor!N17+Labor!N21</f>
        <v>1441955.1253220264</v>
      </c>
      <c r="N86" s="138">
        <f>Labor!O13+Labor!O17+Labor!O21</f>
        <v>1150047.5416462505</v>
      </c>
      <c r="O86" s="138">
        <f>Labor!P13+Labor!P17+Labor!P21</f>
        <v>676462.02616820752</v>
      </c>
      <c r="P86" s="138">
        <f>Labor!Q13+Labor!Q17+Labor!Q21</f>
        <v>666017.61835960206</v>
      </c>
      <c r="Q86" s="138">
        <f>Labor!R13+Labor!R17+Labor!R21</f>
        <v>19393.257737953027</v>
      </c>
    </row>
    <row r="87" spans="1:17" x14ac:dyDescent="0.25">
      <c r="A87" s="149"/>
      <c r="B87" s="149" t="s">
        <v>424</v>
      </c>
      <c r="C87" s="149" t="s">
        <v>423</v>
      </c>
      <c r="D87" s="149">
        <f t="shared" si="4"/>
        <v>80</v>
      </c>
      <c r="E87" s="150">
        <f t="shared" si="3"/>
        <v>4916207375.3556824</v>
      </c>
      <c r="F87" s="138">
        <f>'Rate Base'!G32+'Rate Base'!G56</f>
        <v>2948227151.3753223</v>
      </c>
      <c r="G87" s="138">
        <f>'Rate Base'!H32+'Rate Base'!H56</f>
        <v>603168958.4210186</v>
      </c>
      <c r="H87" s="138">
        <f>'Rate Base'!I32+'Rate Base'!I56</f>
        <v>521825393.1236372</v>
      </c>
      <c r="I87" s="138">
        <f>'Rate Base'!J32+'Rate Base'!J56</f>
        <v>269938461.68967336</v>
      </c>
      <c r="J87" s="138">
        <f>'Rate Base'!K32+'Rate Base'!K56</f>
        <v>194327771.4894444</v>
      </c>
      <c r="K87" s="138">
        <f>'Rate Base'!L32+'Rate Base'!L56</f>
        <v>1540529.412996134</v>
      </c>
      <c r="L87" s="138">
        <f>'Rate Base'!M32+'Rate Base'!M56</f>
        <v>37716095.227837518</v>
      </c>
      <c r="M87" s="138">
        <f>'Rate Base'!N32+'Rate Base'!N56</f>
        <v>93433604.623723805</v>
      </c>
      <c r="N87" s="138">
        <f>'Rate Base'!O32+'Rate Base'!O56</f>
        <v>60367232.18715623</v>
      </c>
      <c r="O87" s="138">
        <f>'Rate Base'!P32+'Rate Base'!P56</f>
        <v>102086357.84637801</v>
      </c>
      <c r="P87" s="138">
        <f>'Rate Base'!Q32+'Rate Base'!Q56</f>
        <v>81914122.158573329</v>
      </c>
      <c r="Q87" s="138">
        <f>'Rate Base'!R32+'Rate Base'!R56</f>
        <v>1661697.7999201734</v>
      </c>
    </row>
    <row r="88" spans="1:17" x14ac:dyDescent="0.25">
      <c r="A88" s="149"/>
      <c r="B88" s="133" t="s">
        <v>426</v>
      </c>
      <c r="C88" s="149" t="s">
        <v>425</v>
      </c>
      <c r="D88" s="149">
        <f t="shared" si="4"/>
        <v>81</v>
      </c>
      <c r="E88" s="150">
        <f t="shared" si="3"/>
        <v>0</v>
      </c>
      <c r="F88" s="139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</row>
    <row r="89" spans="1:17" x14ac:dyDescent="0.25">
      <c r="A89" s="149"/>
      <c r="B89" s="149" t="s">
        <v>428</v>
      </c>
      <c r="C89" s="149" t="s">
        <v>427</v>
      </c>
      <c r="D89" s="149">
        <f t="shared" si="4"/>
        <v>82</v>
      </c>
      <c r="E89" s="150">
        <f t="shared" si="3"/>
        <v>1389050215.0000002</v>
      </c>
      <c r="F89" s="138">
        <f>'Rate Base'!G32</f>
        <v>650717707.64641452</v>
      </c>
      <c r="G89" s="138">
        <f>'Rate Base'!H32</f>
        <v>174849935.00909823</v>
      </c>
      <c r="H89" s="138">
        <f>'Rate Base'!I32</f>
        <v>178723840.22400856</v>
      </c>
      <c r="I89" s="138">
        <f>'Rate Base'!J32</f>
        <v>119772658.49387018</v>
      </c>
      <c r="J89" s="138">
        <f>'Rate Base'!K32</f>
        <v>77938882.867035761</v>
      </c>
      <c r="K89" s="138">
        <f>'Rate Base'!L32</f>
        <v>300282.66283300612</v>
      </c>
      <c r="L89" s="138">
        <f>'Rate Base'!M32</f>
        <v>6796483.8902418744</v>
      </c>
      <c r="M89" s="138">
        <f>'Rate Base'!N32</f>
        <v>41462305.26376085</v>
      </c>
      <c r="N89" s="138">
        <f>'Rate Base'!O32</f>
        <v>38170844.869000793</v>
      </c>
      <c r="O89" s="138">
        <f>'Rate Base'!P32</f>
        <v>94728392.443939224</v>
      </c>
      <c r="P89" s="138">
        <f>'Rate Base'!Q32</f>
        <v>5177287.2902242439</v>
      </c>
      <c r="Q89" s="138">
        <f>'Rate Base'!R32</f>
        <v>411594.33957282733</v>
      </c>
    </row>
    <row r="90" spans="1:17" x14ac:dyDescent="0.25">
      <c r="A90" s="149"/>
      <c r="B90" s="133" t="s">
        <v>430</v>
      </c>
      <c r="C90" s="149" t="s">
        <v>429</v>
      </c>
      <c r="D90" s="149">
        <f t="shared" si="4"/>
        <v>83</v>
      </c>
      <c r="E90" s="150">
        <f t="shared" si="3"/>
        <v>993368719.42903674</v>
      </c>
      <c r="F90" s="138">
        <f>Expenses!G20+Expenses!G29+Expenses!G35+Expenses!G40+Expenses!G44+Expenses!G57+Expenses!G102</f>
        <v>512099044.70749289</v>
      </c>
      <c r="G90" s="138">
        <f>Expenses!H20+Expenses!H29+Expenses!H35+Expenses!H40+Expenses!H44+Expenses!H57+Expenses!H102</f>
        <v>134321424.3075555</v>
      </c>
      <c r="H90" s="138">
        <f>Expenses!I20+Expenses!I29+Expenses!I35+Expenses!I40+Expenses!I44+Expenses!I57+Expenses!I102</f>
        <v>134726562.74164307</v>
      </c>
      <c r="I90" s="138">
        <f>Expenses!J20+Expenses!J29+Expenses!J35+Expenses!J40+Expenses!J44+Expenses!J57+Expenses!J102</f>
        <v>87961248.761686608</v>
      </c>
      <c r="J90" s="138">
        <f>Expenses!K20+Expenses!K29+Expenses!K35+Expenses!K40+Expenses!K44+Expenses!K57+Expenses!K102</f>
        <v>58069467.281695426</v>
      </c>
      <c r="K90" s="138"/>
      <c r="L90" s="138"/>
      <c r="M90" s="138">
        <f>Expenses!N20+Expenses!N29+Expenses!N35+Expenses!N40+Expenses!N44+Expenses!N57+Expenses!N102</f>
        <v>29938095.978278466</v>
      </c>
      <c r="N90" s="138">
        <f>Expenses!O20+Expenses!O29+Expenses!O35+Expenses!O40+Expenses!O44+Expenses!O57+Expenses!O102</f>
        <v>27170751.149213154</v>
      </c>
      <c r="O90" s="138">
        <f>Expenses!P20+Expenses!P29+Expenses!P35+Expenses!P40+Expenses!P44+Expenses!P57+Expenses!P102</f>
        <v>1487963.5841322741</v>
      </c>
      <c r="P90" s="138">
        <f>Expenses!Q20+Expenses!Q29+Expenses!Q35+Expenses!Q40+Expenses!Q44+Expenses!Q57+Expenses!Q102</f>
        <v>7255984.2441504048</v>
      </c>
      <c r="Q90" s="138">
        <f>Expenses!R20+Expenses!R29+Expenses!R35+Expenses!R40+Expenses!R44+Expenses!R57+Expenses!R102</f>
        <v>338176.67318896059</v>
      </c>
    </row>
    <row r="91" spans="1:17" x14ac:dyDescent="0.25">
      <c r="B91" s="149" t="s">
        <v>487</v>
      </c>
      <c r="D91" s="149">
        <f t="shared" si="4"/>
        <v>84</v>
      </c>
      <c r="E91" s="150">
        <f t="shared" si="3"/>
        <v>1952917434</v>
      </c>
      <c r="F91" s="138">
        <f>Revenue!G13</f>
        <v>1066627454</v>
      </c>
      <c r="G91" s="138">
        <f>Revenue!H13</f>
        <v>266944271</v>
      </c>
      <c r="H91" s="138">
        <f>Revenue!I13</f>
        <v>252922820</v>
      </c>
      <c r="I91" s="138">
        <f>Revenue!J13</f>
        <v>151834735</v>
      </c>
      <c r="J91" s="138">
        <f>Revenue!K13</f>
        <v>101394675</v>
      </c>
      <c r="K91" s="138"/>
      <c r="L91" s="138"/>
      <c r="M91" s="138">
        <f>Revenue!N13</f>
        <v>47836622</v>
      </c>
      <c r="N91" s="138">
        <f>Revenue!O13</f>
        <v>40360092</v>
      </c>
      <c r="O91" s="138">
        <f>Revenue!P13</f>
        <v>7513279</v>
      </c>
      <c r="P91" s="138">
        <f>Revenue!Q13</f>
        <v>17167097</v>
      </c>
      <c r="Q91" s="138">
        <f>Revenue!R13</f>
        <v>316389</v>
      </c>
    </row>
    <row r="92" spans="1:17" x14ac:dyDescent="0.25">
      <c r="D92" s="149">
        <f t="shared" si="4"/>
        <v>85</v>
      </c>
      <c r="E92" s="150">
        <f t="shared" si="3"/>
        <v>0</v>
      </c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</row>
    <row r="93" spans="1:17" x14ac:dyDescent="0.25">
      <c r="D93" s="149">
        <f t="shared" si="4"/>
        <v>86</v>
      </c>
      <c r="E93" s="150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</row>
    <row r="94" spans="1:17" x14ac:dyDescent="0.25">
      <c r="B94" s="67" t="s">
        <v>484</v>
      </c>
      <c r="D94" s="149">
        <f t="shared" si="4"/>
        <v>87</v>
      </c>
      <c r="E94" s="150">
        <f t="shared" si="3"/>
        <v>1214311299</v>
      </c>
      <c r="F94" s="138">
        <f>'Rate Base'!G27+'Rate Base'!G28</f>
        <v>563063752.21203446</v>
      </c>
      <c r="G94" s="138">
        <f>'Rate Base'!H27+'Rate Base'!H28</f>
        <v>151297036.06244823</v>
      </c>
      <c r="H94" s="138">
        <f>'Rate Base'!I27+'Rate Base'!I28</f>
        <v>154649112.67015356</v>
      </c>
      <c r="I94" s="138">
        <f>'Rate Base'!J27+'Rate Base'!J28</f>
        <v>103638861.69302519</v>
      </c>
      <c r="J94" s="138">
        <f>'Rate Base'!K27+'Rate Base'!K28</f>
        <v>67440242.235075757</v>
      </c>
      <c r="K94" s="138">
        <f>'Rate Base'!L27+'Rate Base'!L28</f>
        <v>259833.53591300611</v>
      </c>
      <c r="L94" s="138">
        <f>'Rate Base'!M27+'Rate Base'!M28</f>
        <v>5880973.6943068746</v>
      </c>
      <c r="M94" s="138">
        <f>'Rate Base'!N27+'Rate Base'!N28</f>
        <v>35877187.454470851</v>
      </c>
      <c r="N94" s="138">
        <f>'Rate Base'!O27+'Rate Base'!O28</f>
        <v>33029098.30866579</v>
      </c>
      <c r="O94" s="138">
        <f>'Rate Base'!P27+'Rate Base'!P28</f>
        <v>94339161.443939224</v>
      </c>
      <c r="P94" s="138">
        <f>'Rate Base'!Q27+'Rate Base'!Q28</f>
        <v>4479888.5502242437</v>
      </c>
      <c r="Q94" s="138">
        <f>'Rate Base'!R27+'Rate Base'!R28</f>
        <v>356151.13974282733</v>
      </c>
    </row>
    <row r="95" spans="1:17" x14ac:dyDescent="0.25">
      <c r="B95" s="67" t="s">
        <v>530</v>
      </c>
      <c r="D95" s="149">
        <f t="shared" si="4"/>
        <v>88</v>
      </c>
      <c r="E95" s="140">
        <f>SUM(F95:Q95)</f>
        <v>1</v>
      </c>
      <c r="F95" s="140">
        <v>0.50274799999999997</v>
      </c>
      <c r="G95" s="140">
        <v>0.13508999999999999</v>
      </c>
      <c r="H95" s="140">
        <v>0.13808300000000001</v>
      </c>
      <c r="I95" s="140">
        <v>9.2536999999999994E-2</v>
      </c>
      <c r="J95" s="140">
        <v>6.0215999999999999E-2</v>
      </c>
      <c r="K95" s="140">
        <v>2.32E-4</v>
      </c>
      <c r="L95" s="140">
        <v>5.2509999999999996E-3</v>
      </c>
      <c r="M95" s="140">
        <v>3.2034E-2</v>
      </c>
      <c r="N95" s="140">
        <v>2.9491E-2</v>
      </c>
      <c r="O95" s="140">
        <v>0</v>
      </c>
      <c r="P95" s="140">
        <v>4.0000000000000001E-3</v>
      </c>
      <c r="Q95" s="140">
        <v>3.1799999999999998E-4</v>
      </c>
    </row>
    <row r="96" spans="1:17" x14ac:dyDescent="0.25">
      <c r="B96" s="67" t="s">
        <v>531</v>
      </c>
      <c r="D96" s="149">
        <f t="shared" si="4"/>
        <v>89</v>
      </c>
      <c r="E96" s="140">
        <f t="shared" si="3"/>
        <v>0.99999999999999989</v>
      </c>
      <c r="F96" s="140">
        <v>0.50130699999999995</v>
      </c>
      <c r="G96" s="140">
        <v>0.13539399999999999</v>
      </c>
      <c r="H96" s="140">
        <v>0.13897399999999999</v>
      </c>
      <c r="I96" s="140">
        <v>9.2979000000000006E-2</v>
      </c>
      <c r="J96" s="140">
        <v>6.0276000000000003E-2</v>
      </c>
      <c r="K96" s="140">
        <v>2.3800000000000001E-4</v>
      </c>
      <c r="L96" s="140">
        <v>5.2290000000000001E-3</v>
      </c>
      <c r="M96" s="140">
        <v>3.2031999999999998E-2</v>
      </c>
      <c r="N96" s="140">
        <v>2.9378999999999999E-2</v>
      </c>
      <c r="O96" s="140">
        <v>0</v>
      </c>
      <c r="P96" s="140">
        <v>3.885E-3</v>
      </c>
      <c r="Q96" s="140">
        <v>3.0699999999999998E-4</v>
      </c>
    </row>
    <row r="97" spans="2:17" x14ac:dyDescent="0.25">
      <c r="B97" s="67" t="s">
        <v>532</v>
      </c>
      <c r="D97" s="149">
        <f t="shared" si="4"/>
        <v>90</v>
      </c>
      <c r="E97" s="140">
        <f>E111</f>
        <v>1.0000000000000004</v>
      </c>
      <c r="F97" s="140">
        <f t="shared" ref="F97:Q97" si="5">F111</f>
        <v>0.50114828917033505</v>
      </c>
      <c r="G97" s="140">
        <f t="shared" si="5"/>
        <v>0.13603581194779055</v>
      </c>
      <c r="H97" s="140">
        <f t="shared" si="5"/>
        <v>0.14006983288491615</v>
      </c>
      <c r="I97" s="140">
        <f t="shared" si="5"/>
        <v>9.2424030517795255E-2</v>
      </c>
      <c r="J97" s="140">
        <f t="shared" si="5"/>
        <v>5.9499150944166537E-2</v>
      </c>
      <c r="K97" s="140">
        <f t="shared" si="5"/>
        <v>2.3060728213933595E-4</v>
      </c>
      <c r="L97" s="140">
        <f t="shared" si="5"/>
        <v>5.379939100689333E-3</v>
      </c>
      <c r="M97" s="140">
        <f t="shared" si="5"/>
        <v>3.179922384727786E-2</v>
      </c>
      <c r="N97" s="140">
        <f t="shared" si="5"/>
        <v>2.9182281911296435E-2</v>
      </c>
      <c r="O97" s="140">
        <f t="shared" si="5"/>
        <v>0</v>
      </c>
      <c r="P97" s="140">
        <f t="shared" si="5"/>
        <v>3.9284317821629009E-3</v>
      </c>
      <c r="Q97" s="140">
        <f t="shared" si="5"/>
        <v>3.0240061143089022E-4</v>
      </c>
    </row>
    <row r="98" spans="2:17" x14ac:dyDescent="0.25">
      <c r="B98" s="67" t="s">
        <v>538</v>
      </c>
      <c r="D98" s="149">
        <f t="shared" si="4"/>
        <v>91</v>
      </c>
      <c r="E98" s="154">
        <f>+E124</f>
        <v>1214311299</v>
      </c>
      <c r="F98" s="154">
        <f t="shared" ref="F98:Q98" si="6">+F124</f>
        <v>563063752.21203446</v>
      </c>
      <c r="G98" s="154">
        <f t="shared" si="6"/>
        <v>151297036.06244823</v>
      </c>
      <c r="H98" s="154">
        <f t="shared" si="6"/>
        <v>154649112.67015356</v>
      </c>
      <c r="I98" s="154">
        <f t="shared" si="6"/>
        <v>103638861.69302519</v>
      </c>
      <c r="J98" s="154">
        <f t="shared" si="6"/>
        <v>67440242.235075757</v>
      </c>
      <c r="K98" s="154">
        <f t="shared" si="6"/>
        <v>259833.53591300611</v>
      </c>
      <c r="L98" s="154">
        <f t="shared" si="6"/>
        <v>5880973.6943068746</v>
      </c>
      <c r="M98" s="154">
        <f t="shared" si="6"/>
        <v>35877187.454470851</v>
      </c>
      <c r="N98" s="154">
        <f t="shared" si="6"/>
        <v>33029098.30866579</v>
      </c>
      <c r="O98" s="154">
        <f t="shared" si="6"/>
        <v>94339161.443939224</v>
      </c>
      <c r="P98" s="154">
        <f t="shared" si="6"/>
        <v>4479888.5502242437</v>
      </c>
      <c r="Q98" s="154">
        <f t="shared" si="6"/>
        <v>356151.13974282733</v>
      </c>
    </row>
    <row r="99" spans="2:17" hidden="1" x14ac:dyDescent="0.25">
      <c r="D99" s="149"/>
      <c r="E99" s="149">
        <f t="shared" si="3"/>
        <v>0</v>
      </c>
    </row>
    <row r="100" spans="2:17" hidden="1" x14ac:dyDescent="0.25">
      <c r="D100" s="149"/>
      <c r="E100" s="149">
        <f t="shared" si="3"/>
        <v>0</v>
      </c>
    </row>
    <row r="101" spans="2:17" hidden="1" x14ac:dyDescent="0.25">
      <c r="D101" s="149"/>
      <c r="E101" s="149">
        <f t="shared" si="3"/>
        <v>0</v>
      </c>
    </row>
    <row r="102" spans="2:17" hidden="1" x14ac:dyDescent="0.25">
      <c r="D102" s="149"/>
      <c r="E102" s="149">
        <f t="shared" si="3"/>
        <v>0</v>
      </c>
    </row>
    <row r="103" spans="2:17" hidden="1" x14ac:dyDescent="0.25">
      <c r="D103" s="149"/>
      <c r="E103" s="149">
        <f t="shared" si="3"/>
        <v>0</v>
      </c>
    </row>
    <row r="104" spans="2:17" hidden="1" x14ac:dyDescent="0.25">
      <c r="D104" s="149"/>
      <c r="E104" s="149">
        <f t="shared" si="3"/>
        <v>0</v>
      </c>
    </row>
    <row r="105" spans="2:17" hidden="1" x14ac:dyDescent="0.25">
      <c r="D105" s="149"/>
      <c r="E105" s="149">
        <f t="shared" si="3"/>
        <v>0</v>
      </c>
    </row>
    <row r="106" spans="2:17" x14ac:dyDescent="0.25">
      <c r="D106" s="149"/>
      <c r="E106" s="149">
        <f t="shared" si="3"/>
        <v>0</v>
      </c>
    </row>
    <row r="107" spans="2:17" x14ac:dyDescent="0.25">
      <c r="B107" s="67" t="s">
        <v>533</v>
      </c>
      <c r="D107" s="149"/>
      <c r="E107" s="149">
        <f t="shared" si="3"/>
        <v>0</v>
      </c>
      <c r="J107" s="141"/>
    </row>
    <row r="108" spans="2:17" x14ac:dyDescent="0.25">
      <c r="B108" s="67" t="s">
        <v>534</v>
      </c>
      <c r="D108" s="149"/>
      <c r="E108" s="149">
        <f t="shared" si="3"/>
        <v>20723205375</v>
      </c>
      <c r="F108" s="141">
        <v>10442426000</v>
      </c>
      <c r="G108" s="141">
        <v>2787459000</v>
      </c>
      <c r="H108" s="141">
        <v>2845226000</v>
      </c>
      <c r="I108" s="141">
        <v>1867682000</v>
      </c>
      <c r="J108" s="141">
        <v>1264534374</v>
      </c>
      <c r="K108" s="141">
        <v>4452600</v>
      </c>
      <c r="L108" s="141">
        <v>119660401</v>
      </c>
      <c r="M108" s="141">
        <v>674604000</v>
      </c>
      <c r="N108" s="141">
        <v>632259000</v>
      </c>
      <c r="O108" s="141">
        <v>0</v>
      </c>
      <c r="P108" s="141">
        <v>77972000</v>
      </c>
      <c r="Q108" s="141">
        <v>6930000</v>
      </c>
    </row>
    <row r="109" spans="2:17" x14ac:dyDescent="0.25">
      <c r="B109" s="67" t="s">
        <v>535</v>
      </c>
      <c r="D109" s="149"/>
      <c r="E109" s="149"/>
      <c r="F109" s="67">
        <v>1.124E-2</v>
      </c>
      <c r="G109" s="67">
        <v>1.1429999999999999E-2</v>
      </c>
      <c r="H109" s="67">
        <v>1.153E-2</v>
      </c>
      <c r="I109" s="67">
        <v>1.159E-2</v>
      </c>
      <c r="J109" s="67">
        <v>1.102E-2</v>
      </c>
      <c r="K109" s="67">
        <v>1.213E-2</v>
      </c>
      <c r="L109" s="67">
        <v>1.0529999999999999E-2</v>
      </c>
      <c r="M109" s="67">
        <v>1.1039999999999999E-2</v>
      </c>
      <c r="N109" s="67">
        <v>1.081E-2</v>
      </c>
      <c r="O109" s="67">
        <v>0</v>
      </c>
      <c r="P109" s="67">
        <v>1.18E-2</v>
      </c>
      <c r="Q109" s="67">
        <v>1.022E-2</v>
      </c>
    </row>
    <row r="110" spans="2:17" x14ac:dyDescent="0.25">
      <c r="B110" s="67" t="s">
        <v>536</v>
      </c>
      <c r="D110" s="149"/>
      <c r="E110" s="155">
        <f>SUM(F110:Q110)</f>
        <v>234207859.78200993</v>
      </c>
      <c r="F110" s="142">
        <f>+F109*F108</f>
        <v>117372868.23999999</v>
      </c>
      <c r="G110" s="142">
        <f t="shared" ref="G110:Q110" si="7">+G109*G108</f>
        <v>31860656.369999997</v>
      </c>
      <c r="H110" s="142">
        <f t="shared" si="7"/>
        <v>32805455.780000001</v>
      </c>
      <c r="I110" s="142">
        <f t="shared" si="7"/>
        <v>21646434.379999999</v>
      </c>
      <c r="J110" s="142">
        <f t="shared" si="7"/>
        <v>13935168.801480001</v>
      </c>
      <c r="K110" s="142">
        <f t="shared" ref="K110:L110" si="8">+K109*K108</f>
        <v>54010.038</v>
      </c>
      <c r="L110" s="142">
        <f t="shared" si="8"/>
        <v>1260024.02253</v>
      </c>
      <c r="M110" s="142">
        <f t="shared" si="7"/>
        <v>7447628.1599999992</v>
      </c>
      <c r="N110" s="142">
        <f t="shared" si="7"/>
        <v>6834719.79</v>
      </c>
      <c r="O110" s="142">
        <f t="shared" si="7"/>
        <v>0</v>
      </c>
      <c r="P110" s="142">
        <f t="shared" si="7"/>
        <v>920069.6</v>
      </c>
      <c r="Q110" s="142">
        <f t="shared" si="7"/>
        <v>70824.600000000006</v>
      </c>
    </row>
    <row r="111" spans="2:17" x14ac:dyDescent="0.25">
      <c r="B111" s="67" t="s">
        <v>537</v>
      </c>
      <c r="D111" s="149"/>
      <c r="E111" s="156">
        <f t="shared" si="3"/>
        <v>1.0000000000000004</v>
      </c>
      <c r="F111" s="143">
        <f>F110/$E110</f>
        <v>0.50114828917033505</v>
      </c>
      <c r="G111" s="143">
        <f t="shared" ref="G111:Q111" si="9">G110/$E110</f>
        <v>0.13603581194779055</v>
      </c>
      <c r="H111" s="143">
        <f t="shared" si="9"/>
        <v>0.14006983288491615</v>
      </c>
      <c r="I111" s="143">
        <f t="shared" si="9"/>
        <v>9.2424030517795255E-2</v>
      </c>
      <c r="J111" s="143">
        <f t="shared" si="9"/>
        <v>5.9499150944166537E-2</v>
      </c>
      <c r="K111" s="143">
        <f t="shared" ref="K111:L111" si="10">K110/$E110</f>
        <v>2.3060728213933595E-4</v>
      </c>
      <c r="L111" s="143">
        <f t="shared" si="10"/>
        <v>5.379939100689333E-3</v>
      </c>
      <c r="M111" s="143">
        <f t="shared" si="9"/>
        <v>3.179922384727786E-2</v>
      </c>
      <c r="N111" s="143">
        <f t="shared" si="9"/>
        <v>2.9182281911296435E-2</v>
      </c>
      <c r="O111" s="143">
        <f t="shared" si="9"/>
        <v>0</v>
      </c>
      <c r="P111" s="143">
        <f t="shared" si="9"/>
        <v>3.9284317821629009E-3</v>
      </c>
      <c r="Q111" s="143">
        <f t="shared" si="9"/>
        <v>3.0240061143089022E-4</v>
      </c>
    </row>
    <row r="112" spans="2:17" x14ac:dyDescent="0.25">
      <c r="D112" s="149"/>
      <c r="E112" s="149">
        <f t="shared" si="3"/>
        <v>0</v>
      </c>
    </row>
    <row r="113" spans="2:17" x14ac:dyDescent="0.25">
      <c r="B113" s="67" t="s">
        <v>539</v>
      </c>
      <c r="D113" s="149"/>
      <c r="E113" s="149">
        <f t="shared" si="3"/>
        <v>0</v>
      </c>
    </row>
    <row r="114" spans="2:17" x14ac:dyDescent="0.25">
      <c r="B114" s="67" t="s">
        <v>540</v>
      </c>
      <c r="D114" s="149"/>
      <c r="E114" s="157">
        <f>E58/8784/E36</f>
        <v>0.66518120149247217</v>
      </c>
    </row>
    <row r="115" spans="2:17" x14ac:dyDescent="0.25">
      <c r="B115" s="67" t="s">
        <v>541</v>
      </c>
      <c r="D115" s="149"/>
      <c r="E115" s="149">
        <f t="shared" si="3"/>
        <v>0</v>
      </c>
    </row>
    <row r="116" spans="2:17" x14ac:dyDescent="0.25">
      <c r="B116" s="67" t="s">
        <v>542</v>
      </c>
      <c r="D116" s="149"/>
      <c r="E116" s="157">
        <f>+E114</f>
        <v>0.66518120149247217</v>
      </c>
    </row>
    <row r="117" spans="2:17" x14ac:dyDescent="0.25">
      <c r="B117" s="67" t="s">
        <v>543</v>
      </c>
      <c r="D117" s="149"/>
      <c r="E117" s="158">
        <f>1-E116</f>
        <v>0.33481879850752783</v>
      </c>
    </row>
    <row r="118" spans="2:17" x14ac:dyDescent="0.25">
      <c r="B118" s="67" t="s">
        <v>544</v>
      </c>
      <c r="D118" s="149"/>
      <c r="E118" s="149">
        <f>+'Rate Base'!E26</f>
        <v>1214311299</v>
      </c>
    </row>
    <row r="119" spans="2:17" x14ac:dyDescent="0.25">
      <c r="B119" s="67" t="s">
        <v>545</v>
      </c>
      <c r="D119" s="149"/>
      <c r="E119" s="149">
        <f>+O119</f>
        <v>23633319.607001845</v>
      </c>
      <c r="O119" s="78">
        <f>+O36/E36*E117*E118</f>
        <v>23633319.607001845</v>
      </c>
    </row>
    <row r="120" spans="2:17" x14ac:dyDescent="0.25">
      <c r="B120" s="67" t="s">
        <v>546</v>
      </c>
      <c r="D120" s="149"/>
      <c r="E120" s="149">
        <f t="shared" ref="E120:E121" si="11">+O120</f>
        <v>70705841.836937383</v>
      </c>
      <c r="O120" s="78">
        <f>+O58/E58*E116*E118</f>
        <v>70705841.836937383</v>
      </c>
    </row>
    <row r="121" spans="2:17" x14ac:dyDescent="0.25">
      <c r="B121" s="67" t="s">
        <v>547</v>
      </c>
      <c r="D121" s="149"/>
      <c r="E121" s="149">
        <f t="shared" si="11"/>
        <v>94339161.443939224</v>
      </c>
      <c r="O121" s="70">
        <f>+O120+O119</f>
        <v>94339161.443939224</v>
      </c>
    </row>
    <row r="122" spans="2:17" x14ac:dyDescent="0.25">
      <c r="B122" s="67" t="s">
        <v>548</v>
      </c>
      <c r="D122" s="149"/>
      <c r="E122" s="149">
        <f>+E118-E121</f>
        <v>1119972137.5560608</v>
      </c>
    </row>
    <row r="123" spans="2:17" x14ac:dyDescent="0.25">
      <c r="B123" s="67" t="s">
        <v>549</v>
      </c>
      <c r="D123" s="149"/>
      <c r="E123" s="149">
        <f t="shared" si="3"/>
        <v>1119972137.5560608</v>
      </c>
      <c r="F123" s="78">
        <f>+F95*$E122</f>
        <v>563063752.21203446</v>
      </c>
      <c r="G123" s="78">
        <f t="shared" ref="G123:Q123" si="12">+G95*$E122</f>
        <v>151297036.06244823</v>
      </c>
      <c r="H123" s="78">
        <f t="shared" si="12"/>
        <v>154649112.67015356</v>
      </c>
      <c r="I123" s="78">
        <f t="shared" si="12"/>
        <v>103638861.69302519</v>
      </c>
      <c r="J123" s="78">
        <f t="shared" si="12"/>
        <v>67440242.235075757</v>
      </c>
      <c r="K123" s="78">
        <f t="shared" ref="K123:L123" si="13">+K95*$E122</f>
        <v>259833.53591300611</v>
      </c>
      <c r="L123" s="78">
        <f t="shared" si="13"/>
        <v>5880973.6943068746</v>
      </c>
      <c r="M123" s="78">
        <f t="shared" si="12"/>
        <v>35877187.454470851</v>
      </c>
      <c r="N123" s="78">
        <f t="shared" si="12"/>
        <v>33029098.30866579</v>
      </c>
      <c r="O123" s="78">
        <f t="shared" si="12"/>
        <v>0</v>
      </c>
      <c r="P123" s="78">
        <f t="shared" si="12"/>
        <v>4479888.5502242437</v>
      </c>
      <c r="Q123" s="78">
        <f t="shared" si="12"/>
        <v>356151.13974282733</v>
      </c>
    </row>
    <row r="124" spans="2:17" x14ac:dyDescent="0.25">
      <c r="B124" s="67" t="s">
        <v>550</v>
      </c>
      <c r="D124" s="149"/>
      <c r="E124" s="149">
        <f t="shared" si="3"/>
        <v>1214311299</v>
      </c>
      <c r="F124" s="70">
        <f>+F123+F121</f>
        <v>563063752.21203446</v>
      </c>
      <c r="G124" s="70">
        <f t="shared" ref="G124:Q124" si="14">+G123+G121</f>
        <v>151297036.06244823</v>
      </c>
      <c r="H124" s="70">
        <f t="shared" si="14"/>
        <v>154649112.67015356</v>
      </c>
      <c r="I124" s="70">
        <f t="shared" si="14"/>
        <v>103638861.69302519</v>
      </c>
      <c r="J124" s="70">
        <f t="shared" si="14"/>
        <v>67440242.235075757</v>
      </c>
      <c r="K124" s="70">
        <f t="shared" ref="K124:L124" si="15">+K123+K121</f>
        <v>259833.53591300611</v>
      </c>
      <c r="L124" s="70">
        <f t="shared" si="15"/>
        <v>5880973.6943068746</v>
      </c>
      <c r="M124" s="70">
        <f t="shared" si="14"/>
        <v>35877187.454470851</v>
      </c>
      <c r="N124" s="70">
        <f t="shared" si="14"/>
        <v>33029098.30866579</v>
      </c>
      <c r="O124" s="70">
        <f t="shared" si="14"/>
        <v>94339161.443939224</v>
      </c>
      <c r="P124" s="70">
        <f t="shared" si="14"/>
        <v>4479888.5502242437</v>
      </c>
      <c r="Q124" s="70">
        <f t="shared" si="14"/>
        <v>356151.13974282733</v>
      </c>
    </row>
    <row r="125" spans="2:17" x14ac:dyDescent="0.25">
      <c r="D125" s="149"/>
      <c r="E125" s="149">
        <f t="shared" si="3"/>
        <v>0</v>
      </c>
    </row>
    <row r="126" spans="2:17" x14ac:dyDescent="0.25">
      <c r="D126" s="149"/>
      <c r="E126" s="149">
        <f t="shared" si="3"/>
        <v>0</v>
      </c>
    </row>
    <row r="127" spans="2:17" x14ac:dyDescent="0.25">
      <c r="E127" s="149">
        <f t="shared" si="3"/>
        <v>0</v>
      </c>
    </row>
    <row r="128" spans="2:17" x14ac:dyDescent="0.25">
      <c r="E128" s="149">
        <f t="shared" si="3"/>
        <v>0</v>
      </c>
    </row>
    <row r="129" spans="5:5" x14ac:dyDescent="0.25">
      <c r="E129" s="149">
        <f t="shared" si="3"/>
        <v>0</v>
      </c>
    </row>
    <row r="130" spans="5:5" x14ac:dyDescent="0.25">
      <c r="E130" s="149">
        <f t="shared" si="3"/>
        <v>0</v>
      </c>
    </row>
    <row r="131" spans="5:5" x14ac:dyDescent="0.25">
      <c r="E131" s="149">
        <f t="shared" si="3"/>
        <v>0</v>
      </c>
    </row>
    <row r="132" spans="5:5" x14ac:dyDescent="0.25">
      <c r="E132" s="149">
        <f t="shared" si="3"/>
        <v>0</v>
      </c>
    </row>
    <row r="133" spans="5:5" x14ac:dyDescent="0.25">
      <c r="E133" s="149">
        <f t="shared" si="3"/>
        <v>0</v>
      </c>
    </row>
    <row r="134" spans="5:5" x14ac:dyDescent="0.25">
      <c r="E134" s="149">
        <f t="shared" si="3"/>
        <v>0</v>
      </c>
    </row>
    <row r="135" spans="5:5" x14ac:dyDescent="0.25">
      <c r="E135" s="149">
        <f t="shared" si="3"/>
        <v>0</v>
      </c>
    </row>
    <row r="136" spans="5:5" x14ac:dyDescent="0.25">
      <c r="E136" s="149">
        <f t="shared" si="3"/>
        <v>0</v>
      </c>
    </row>
    <row r="137" spans="5:5" x14ac:dyDescent="0.25">
      <c r="E137" s="149">
        <f t="shared" ref="E137:E153" si="16">SUM(F137:Q137)</f>
        <v>0</v>
      </c>
    </row>
    <row r="138" spans="5:5" x14ac:dyDescent="0.25">
      <c r="E138" s="149">
        <f t="shared" si="16"/>
        <v>0</v>
      </c>
    </row>
    <row r="139" spans="5:5" x14ac:dyDescent="0.25">
      <c r="E139" s="149">
        <f t="shared" si="16"/>
        <v>0</v>
      </c>
    </row>
    <row r="140" spans="5:5" x14ac:dyDescent="0.25">
      <c r="E140" s="149">
        <f t="shared" si="16"/>
        <v>0</v>
      </c>
    </row>
    <row r="141" spans="5:5" x14ac:dyDescent="0.25">
      <c r="E141" s="149">
        <f t="shared" si="16"/>
        <v>0</v>
      </c>
    </row>
    <row r="142" spans="5:5" x14ac:dyDescent="0.25">
      <c r="E142" s="149">
        <f t="shared" si="16"/>
        <v>0</v>
      </c>
    </row>
    <row r="143" spans="5:5" x14ac:dyDescent="0.25">
      <c r="E143" s="149">
        <f t="shared" si="16"/>
        <v>0</v>
      </c>
    </row>
    <row r="144" spans="5:5" x14ac:dyDescent="0.25">
      <c r="E144" s="149">
        <f t="shared" si="16"/>
        <v>0</v>
      </c>
    </row>
    <row r="145" spans="5:5" x14ac:dyDescent="0.25">
      <c r="E145" s="149">
        <f t="shared" si="16"/>
        <v>0</v>
      </c>
    </row>
    <row r="146" spans="5:5" x14ac:dyDescent="0.25">
      <c r="E146" s="149">
        <f t="shared" si="16"/>
        <v>0</v>
      </c>
    </row>
    <row r="147" spans="5:5" x14ac:dyDescent="0.25">
      <c r="E147" s="149">
        <f t="shared" si="16"/>
        <v>0</v>
      </c>
    </row>
    <row r="148" spans="5:5" x14ac:dyDescent="0.25">
      <c r="E148" s="149">
        <f t="shared" si="16"/>
        <v>0</v>
      </c>
    </row>
    <row r="149" spans="5:5" x14ac:dyDescent="0.25">
      <c r="E149" s="149">
        <f t="shared" si="16"/>
        <v>0</v>
      </c>
    </row>
    <row r="150" spans="5:5" x14ac:dyDescent="0.25">
      <c r="E150" s="149">
        <f t="shared" si="16"/>
        <v>0</v>
      </c>
    </row>
    <row r="151" spans="5:5" x14ac:dyDescent="0.25">
      <c r="E151" s="149">
        <f t="shared" si="16"/>
        <v>0</v>
      </c>
    </row>
    <row r="152" spans="5:5" x14ac:dyDescent="0.25">
      <c r="E152" s="149">
        <f t="shared" si="16"/>
        <v>0</v>
      </c>
    </row>
    <row r="153" spans="5:5" x14ac:dyDescent="0.25">
      <c r="E153" s="149">
        <f t="shared" si="16"/>
        <v>0</v>
      </c>
    </row>
  </sheetData>
  <mergeCells count="5">
    <mergeCell ref="S3:U3"/>
    <mergeCell ref="W3:X3"/>
    <mergeCell ref="B1:Q1"/>
    <mergeCell ref="B2:Q2"/>
    <mergeCell ref="B3:Q3"/>
  </mergeCells>
  <pageMargins left="0.7" right="0.7" top="0.75" bottom="0.75" header="0.3" footer="0.3"/>
  <pageSetup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27"/>
  <sheetViews>
    <sheetView tabSelected="1" topLeftCell="D1" workbookViewId="0">
      <selection activeCell="H11" sqref="H11"/>
    </sheetView>
  </sheetViews>
  <sheetFormatPr defaultRowHeight="15" x14ac:dyDescent="0.25"/>
  <cols>
    <col min="1" max="1" width="9.140625" style="1"/>
    <col min="2" max="2" width="59" style="1" customWidth="1"/>
    <col min="3" max="3" width="19.140625" style="1" customWidth="1"/>
    <col min="4" max="4" width="12.7109375" style="1" bestFit="1" customWidth="1"/>
    <col min="5" max="6" width="10.28515625" style="1" bestFit="1" customWidth="1"/>
    <col min="7" max="7" width="11" style="1" bestFit="1" customWidth="1"/>
    <col min="8" max="8" width="15.5703125" style="1" bestFit="1" customWidth="1"/>
    <col min="9" max="9" width="16.28515625" style="1" bestFit="1" customWidth="1"/>
    <col min="10" max="10" width="11.140625" style="1" bestFit="1" customWidth="1"/>
    <col min="11" max="11" width="11.140625" style="1" customWidth="1"/>
    <col min="12" max="12" width="10.7109375" style="1" customWidth="1"/>
    <col min="13" max="13" width="11.42578125" style="1" bestFit="1" customWidth="1"/>
    <col min="14" max="14" width="16.5703125" style="1" bestFit="1" customWidth="1"/>
    <col min="15" max="15" width="16.5703125" style="1" customWidth="1"/>
    <col min="16" max="16" width="16.5703125" style="1" bestFit="1" customWidth="1"/>
    <col min="17" max="17" width="15.28515625" style="1" bestFit="1" customWidth="1"/>
    <col min="18" max="18" width="13.28515625" style="1" customWidth="1"/>
    <col min="19" max="21" width="16.5703125" style="1" bestFit="1" customWidth="1"/>
    <col min="22" max="22" width="6.7109375" style="1" customWidth="1"/>
    <col min="23" max="24" width="16.5703125" style="1" bestFit="1" customWidth="1"/>
    <col min="25" max="255" width="9.140625" style="1"/>
    <col min="256" max="256" width="72" style="1" customWidth="1"/>
    <col min="257" max="257" width="16.7109375" style="1" customWidth="1"/>
    <col min="258" max="258" width="16.140625" style="1" bestFit="1" customWidth="1"/>
    <col min="259" max="262" width="16.5703125" style="1" bestFit="1" customWidth="1"/>
    <col min="263" max="263" width="16.5703125" style="1" customWidth="1"/>
    <col min="264" max="265" width="16.5703125" style="1" bestFit="1" customWidth="1"/>
    <col min="266" max="266" width="16.5703125" style="1" customWidth="1"/>
    <col min="267" max="267" width="16.5703125" style="1" bestFit="1" customWidth="1"/>
    <col min="268" max="268" width="15.28515625" style="1" bestFit="1" customWidth="1"/>
    <col min="269" max="269" width="12.28515625" style="1" bestFit="1" customWidth="1"/>
    <col min="270" max="270" width="13.28515625" style="1" customWidth="1"/>
    <col min="271" max="271" width="6.7109375" style="1" customWidth="1"/>
    <col min="272" max="274" width="16.5703125" style="1" bestFit="1" customWidth="1"/>
    <col min="275" max="277" width="6.7109375" style="1" customWidth="1"/>
    <col min="278" max="279" width="16.5703125" style="1" bestFit="1" customWidth="1"/>
    <col min="280" max="280" width="6.7109375" style="1" customWidth="1"/>
    <col min="281" max="511" width="9.140625" style="1"/>
    <col min="512" max="512" width="72" style="1" customWidth="1"/>
    <col min="513" max="513" width="16.7109375" style="1" customWidth="1"/>
    <col min="514" max="514" width="16.140625" style="1" bestFit="1" customWidth="1"/>
    <col min="515" max="518" width="16.5703125" style="1" bestFit="1" customWidth="1"/>
    <col min="519" max="519" width="16.5703125" style="1" customWidth="1"/>
    <col min="520" max="521" width="16.5703125" style="1" bestFit="1" customWidth="1"/>
    <col min="522" max="522" width="16.5703125" style="1" customWidth="1"/>
    <col min="523" max="523" width="16.5703125" style="1" bestFit="1" customWidth="1"/>
    <col min="524" max="524" width="15.28515625" style="1" bestFit="1" customWidth="1"/>
    <col min="525" max="525" width="12.28515625" style="1" bestFit="1" customWidth="1"/>
    <col min="526" max="526" width="13.28515625" style="1" customWidth="1"/>
    <col min="527" max="527" width="6.7109375" style="1" customWidth="1"/>
    <col min="528" max="530" width="16.5703125" style="1" bestFit="1" customWidth="1"/>
    <col min="531" max="533" width="6.7109375" style="1" customWidth="1"/>
    <col min="534" max="535" width="16.5703125" style="1" bestFit="1" customWidth="1"/>
    <col min="536" max="536" width="6.7109375" style="1" customWidth="1"/>
    <col min="537" max="767" width="9.140625" style="1"/>
    <col min="768" max="768" width="72" style="1" customWidth="1"/>
    <col min="769" max="769" width="16.7109375" style="1" customWidth="1"/>
    <col min="770" max="770" width="16.140625" style="1" bestFit="1" customWidth="1"/>
    <col min="771" max="774" width="16.5703125" style="1" bestFit="1" customWidth="1"/>
    <col min="775" max="775" width="16.5703125" style="1" customWidth="1"/>
    <col min="776" max="777" width="16.5703125" style="1" bestFit="1" customWidth="1"/>
    <col min="778" max="778" width="16.5703125" style="1" customWidth="1"/>
    <col min="779" max="779" width="16.5703125" style="1" bestFit="1" customWidth="1"/>
    <col min="780" max="780" width="15.28515625" style="1" bestFit="1" customWidth="1"/>
    <col min="781" max="781" width="12.28515625" style="1" bestFit="1" customWidth="1"/>
    <col min="782" max="782" width="13.28515625" style="1" customWidth="1"/>
    <col min="783" max="783" width="6.7109375" style="1" customWidth="1"/>
    <col min="784" max="786" width="16.5703125" style="1" bestFit="1" customWidth="1"/>
    <col min="787" max="789" width="6.7109375" style="1" customWidth="1"/>
    <col min="790" max="791" width="16.5703125" style="1" bestFit="1" customWidth="1"/>
    <col min="792" max="792" width="6.7109375" style="1" customWidth="1"/>
    <col min="793" max="1023" width="9.140625" style="1"/>
    <col min="1024" max="1024" width="72" style="1" customWidth="1"/>
    <col min="1025" max="1025" width="16.7109375" style="1" customWidth="1"/>
    <col min="1026" max="1026" width="16.140625" style="1" bestFit="1" customWidth="1"/>
    <col min="1027" max="1030" width="16.5703125" style="1" bestFit="1" customWidth="1"/>
    <col min="1031" max="1031" width="16.5703125" style="1" customWidth="1"/>
    <col min="1032" max="1033" width="16.5703125" style="1" bestFit="1" customWidth="1"/>
    <col min="1034" max="1034" width="16.5703125" style="1" customWidth="1"/>
    <col min="1035" max="1035" width="16.5703125" style="1" bestFit="1" customWidth="1"/>
    <col min="1036" max="1036" width="15.28515625" style="1" bestFit="1" customWidth="1"/>
    <col min="1037" max="1037" width="12.28515625" style="1" bestFit="1" customWidth="1"/>
    <col min="1038" max="1038" width="13.28515625" style="1" customWidth="1"/>
    <col min="1039" max="1039" width="6.7109375" style="1" customWidth="1"/>
    <col min="1040" max="1042" width="16.5703125" style="1" bestFit="1" customWidth="1"/>
    <col min="1043" max="1045" width="6.7109375" style="1" customWidth="1"/>
    <col min="1046" max="1047" width="16.5703125" style="1" bestFit="1" customWidth="1"/>
    <col min="1048" max="1048" width="6.7109375" style="1" customWidth="1"/>
    <col min="1049" max="1279" width="9.140625" style="1"/>
    <col min="1280" max="1280" width="72" style="1" customWidth="1"/>
    <col min="1281" max="1281" width="16.7109375" style="1" customWidth="1"/>
    <col min="1282" max="1282" width="16.140625" style="1" bestFit="1" customWidth="1"/>
    <col min="1283" max="1286" width="16.5703125" style="1" bestFit="1" customWidth="1"/>
    <col min="1287" max="1287" width="16.5703125" style="1" customWidth="1"/>
    <col min="1288" max="1289" width="16.5703125" style="1" bestFit="1" customWidth="1"/>
    <col min="1290" max="1290" width="16.5703125" style="1" customWidth="1"/>
    <col min="1291" max="1291" width="16.5703125" style="1" bestFit="1" customWidth="1"/>
    <col min="1292" max="1292" width="15.28515625" style="1" bestFit="1" customWidth="1"/>
    <col min="1293" max="1293" width="12.28515625" style="1" bestFit="1" customWidth="1"/>
    <col min="1294" max="1294" width="13.28515625" style="1" customWidth="1"/>
    <col min="1295" max="1295" width="6.7109375" style="1" customWidth="1"/>
    <col min="1296" max="1298" width="16.5703125" style="1" bestFit="1" customWidth="1"/>
    <col min="1299" max="1301" width="6.7109375" style="1" customWidth="1"/>
    <col min="1302" max="1303" width="16.5703125" style="1" bestFit="1" customWidth="1"/>
    <col min="1304" max="1304" width="6.7109375" style="1" customWidth="1"/>
    <col min="1305" max="1535" width="9.140625" style="1"/>
    <col min="1536" max="1536" width="72" style="1" customWidth="1"/>
    <col min="1537" max="1537" width="16.7109375" style="1" customWidth="1"/>
    <col min="1538" max="1538" width="16.140625" style="1" bestFit="1" customWidth="1"/>
    <col min="1539" max="1542" width="16.5703125" style="1" bestFit="1" customWidth="1"/>
    <col min="1543" max="1543" width="16.5703125" style="1" customWidth="1"/>
    <col min="1544" max="1545" width="16.5703125" style="1" bestFit="1" customWidth="1"/>
    <col min="1546" max="1546" width="16.5703125" style="1" customWidth="1"/>
    <col min="1547" max="1547" width="16.5703125" style="1" bestFit="1" customWidth="1"/>
    <col min="1548" max="1548" width="15.28515625" style="1" bestFit="1" customWidth="1"/>
    <col min="1549" max="1549" width="12.28515625" style="1" bestFit="1" customWidth="1"/>
    <col min="1550" max="1550" width="13.28515625" style="1" customWidth="1"/>
    <col min="1551" max="1551" width="6.7109375" style="1" customWidth="1"/>
    <col min="1552" max="1554" width="16.5703125" style="1" bestFit="1" customWidth="1"/>
    <col min="1555" max="1557" width="6.7109375" style="1" customWidth="1"/>
    <col min="1558" max="1559" width="16.5703125" style="1" bestFit="1" customWidth="1"/>
    <col min="1560" max="1560" width="6.7109375" style="1" customWidth="1"/>
    <col min="1561" max="1791" width="9.140625" style="1"/>
    <col min="1792" max="1792" width="72" style="1" customWidth="1"/>
    <col min="1793" max="1793" width="16.7109375" style="1" customWidth="1"/>
    <col min="1794" max="1794" width="16.140625" style="1" bestFit="1" customWidth="1"/>
    <col min="1795" max="1798" width="16.5703125" style="1" bestFit="1" customWidth="1"/>
    <col min="1799" max="1799" width="16.5703125" style="1" customWidth="1"/>
    <col min="1800" max="1801" width="16.5703125" style="1" bestFit="1" customWidth="1"/>
    <col min="1802" max="1802" width="16.5703125" style="1" customWidth="1"/>
    <col min="1803" max="1803" width="16.5703125" style="1" bestFit="1" customWidth="1"/>
    <col min="1804" max="1804" width="15.28515625" style="1" bestFit="1" customWidth="1"/>
    <col min="1805" max="1805" width="12.28515625" style="1" bestFit="1" customWidth="1"/>
    <col min="1806" max="1806" width="13.28515625" style="1" customWidth="1"/>
    <col min="1807" max="1807" width="6.7109375" style="1" customWidth="1"/>
    <col min="1808" max="1810" width="16.5703125" style="1" bestFit="1" customWidth="1"/>
    <col min="1811" max="1813" width="6.7109375" style="1" customWidth="1"/>
    <col min="1814" max="1815" width="16.5703125" style="1" bestFit="1" customWidth="1"/>
    <col min="1816" max="1816" width="6.7109375" style="1" customWidth="1"/>
    <col min="1817" max="2047" width="9.140625" style="1"/>
    <col min="2048" max="2048" width="72" style="1" customWidth="1"/>
    <col min="2049" max="2049" width="16.7109375" style="1" customWidth="1"/>
    <col min="2050" max="2050" width="16.140625" style="1" bestFit="1" customWidth="1"/>
    <col min="2051" max="2054" width="16.5703125" style="1" bestFit="1" customWidth="1"/>
    <col min="2055" max="2055" width="16.5703125" style="1" customWidth="1"/>
    <col min="2056" max="2057" width="16.5703125" style="1" bestFit="1" customWidth="1"/>
    <col min="2058" max="2058" width="16.5703125" style="1" customWidth="1"/>
    <col min="2059" max="2059" width="16.5703125" style="1" bestFit="1" customWidth="1"/>
    <col min="2060" max="2060" width="15.28515625" style="1" bestFit="1" customWidth="1"/>
    <col min="2061" max="2061" width="12.28515625" style="1" bestFit="1" customWidth="1"/>
    <col min="2062" max="2062" width="13.28515625" style="1" customWidth="1"/>
    <col min="2063" max="2063" width="6.7109375" style="1" customWidth="1"/>
    <col min="2064" max="2066" width="16.5703125" style="1" bestFit="1" customWidth="1"/>
    <col min="2067" max="2069" width="6.7109375" style="1" customWidth="1"/>
    <col min="2070" max="2071" width="16.5703125" style="1" bestFit="1" customWidth="1"/>
    <col min="2072" max="2072" width="6.7109375" style="1" customWidth="1"/>
    <col min="2073" max="2303" width="9.140625" style="1"/>
    <col min="2304" max="2304" width="72" style="1" customWidth="1"/>
    <col min="2305" max="2305" width="16.7109375" style="1" customWidth="1"/>
    <col min="2306" max="2306" width="16.140625" style="1" bestFit="1" customWidth="1"/>
    <col min="2307" max="2310" width="16.5703125" style="1" bestFit="1" customWidth="1"/>
    <col min="2311" max="2311" width="16.5703125" style="1" customWidth="1"/>
    <col min="2312" max="2313" width="16.5703125" style="1" bestFit="1" customWidth="1"/>
    <col min="2314" max="2314" width="16.5703125" style="1" customWidth="1"/>
    <col min="2315" max="2315" width="16.5703125" style="1" bestFit="1" customWidth="1"/>
    <col min="2316" max="2316" width="15.28515625" style="1" bestFit="1" customWidth="1"/>
    <col min="2317" max="2317" width="12.28515625" style="1" bestFit="1" customWidth="1"/>
    <col min="2318" max="2318" width="13.28515625" style="1" customWidth="1"/>
    <col min="2319" max="2319" width="6.7109375" style="1" customWidth="1"/>
    <col min="2320" max="2322" width="16.5703125" style="1" bestFit="1" customWidth="1"/>
    <col min="2323" max="2325" width="6.7109375" style="1" customWidth="1"/>
    <col min="2326" max="2327" width="16.5703125" style="1" bestFit="1" customWidth="1"/>
    <col min="2328" max="2328" width="6.7109375" style="1" customWidth="1"/>
    <col min="2329" max="2559" width="9.140625" style="1"/>
    <col min="2560" max="2560" width="72" style="1" customWidth="1"/>
    <col min="2561" max="2561" width="16.7109375" style="1" customWidth="1"/>
    <col min="2562" max="2562" width="16.140625" style="1" bestFit="1" customWidth="1"/>
    <col min="2563" max="2566" width="16.5703125" style="1" bestFit="1" customWidth="1"/>
    <col min="2567" max="2567" width="16.5703125" style="1" customWidth="1"/>
    <col min="2568" max="2569" width="16.5703125" style="1" bestFit="1" customWidth="1"/>
    <col min="2570" max="2570" width="16.5703125" style="1" customWidth="1"/>
    <col min="2571" max="2571" width="16.5703125" style="1" bestFit="1" customWidth="1"/>
    <col min="2572" max="2572" width="15.28515625" style="1" bestFit="1" customWidth="1"/>
    <col min="2573" max="2573" width="12.28515625" style="1" bestFit="1" customWidth="1"/>
    <col min="2574" max="2574" width="13.28515625" style="1" customWidth="1"/>
    <col min="2575" max="2575" width="6.7109375" style="1" customWidth="1"/>
    <col min="2576" max="2578" width="16.5703125" style="1" bestFit="1" customWidth="1"/>
    <col min="2579" max="2581" width="6.7109375" style="1" customWidth="1"/>
    <col min="2582" max="2583" width="16.5703125" style="1" bestFit="1" customWidth="1"/>
    <col min="2584" max="2584" width="6.7109375" style="1" customWidth="1"/>
    <col min="2585" max="2815" width="9.140625" style="1"/>
    <col min="2816" max="2816" width="72" style="1" customWidth="1"/>
    <col min="2817" max="2817" width="16.7109375" style="1" customWidth="1"/>
    <col min="2818" max="2818" width="16.140625" style="1" bestFit="1" customWidth="1"/>
    <col min="2819" max="2822" width="16.5703125" style="1" bestFit="1" customWidth="1"/>
    <col min="2823" max="2823" width="16.5703125" style="1" customWidth="1"/>
    <col min="2824" max="2825" width="16.5703125" style="1" bestFit="1" customWidth="1"/>
    <col min="2826" max="2826" width="16.5703125" style="1" customWidth="1"/>
    <col min="2827" max="2827" width="16.5703125" style="1" bestFit="1" customWidth="1"/>
    <col min="2828" max="2828" width="15.28515625" style="1" bestFit="1" customWidth="1"/>
    <col min="2829" max="2829" width="12.28515625" style="1" bestFit="1" customWidth="1"/>
    <col min="2830" max="2830" width="13.28515625" style="1" customWidth="1"/>
    <col min="2831" max="2831" width="6.7109375" style="1" customWidth="1"/>
    <col min="2832" max="2834" width="16.5703125" style="1" bestFit="1" customWidth="1"/>
    <col min="2835" max="2837" width="6.7109375" style="1" customWidth="1"/>
    <col min="2838" max="2839" width="16.5703125" style="1" bestFit="1" customWidth="1"/>
    <col min="2840" max="2840" width="6.7109375" style="1" customWidth="1"/>
    <col min="2841" max="3071" width="9.140625" style="1"/>
    <col min="3072" max="3072" width="72" style="1" customWidth="1"/>
    <col min="3073" max="3073" width="16.7109375" style="1" customWidth="1"/>
    <col min="3074" max="3074" width="16.140625" style="1" bestFit="1" customWidth="1"/>
    <col min="3075" max="3078" width="16.5703125" style="1" bestFit="1" customWidth="1"/>
    <col min="3079" max="3079" width="16.5703125" style="1" customWidth="1"/>
    <col min="3080" max="3081" width="16.5703125" style="1" bestFit="1" customWidth="1"/>
    <col min="3082" max="3082" width="16.5703125" style="1" customWidth="1"/>
    <col min="3083" max="3083" width="16.5703125" style="1" bestFit="1" customWidth="1"/>
    <col min="3084" max="3084" width="15.28515625" style="1" bestFit="1" customWidth="1"/>
    <col min="3085" max="3085" width="12.28515625" style="1" bestFit="1" customWidth="1"/>
    <col min="3086" max="3086" width="13.28515625" style="1" customWidth="1"/>
    <col min="3087" max="3087" width="6.7109375" style="1" customWidth="1"/>
    <col min="3088" max="3090" width="16.5703125" style="1" bestFit="1" customWidth="1"/>
    <col min="3091" max="3093" width="6.7109375" style="1" customWidth="1"/>
    <col min="3094" max="3095" width="16.5703125" style="1" bestFit="1" customWidth="1"/>
    <col min="3096" max="3096" width="6.7109375" style="1" customWidth="1"/>
    <col min="3097" max="3327" width="9.140625" style="1"/>
    <col min="3328" max="3328" width="72" style="1" customWidth="1"/>
    <col min="3329" max="3329" width="16.7109375" style="1" customWidth="1"/>
    <col min="3330" max="3330" width="16.140625" style="1" bestFit="1" customWidth="1"/>
    <col min="3331" max="3334" width="16.5703125" style="1" bestFit="1" customWidth="1"/>
    <col min="3335" max="3335" width="16.5703125" style="1" customWidth="1"/>
    <col min="3336" max="3337" width="16.5703125" style="1" bestFit="1" customWidth="1"/>
    <col min="3338" max="3338" width="16.5703125" style="1" customWidth="1"/>
    <col min="3339" max="3339" width="16.5703125" style="1" bestFit="1" customWidth="1"/>
    <col min="3340" max="3340" width="15.28515625" style="1" bestFit="1" customWidth="1"/>
    <col min="3341" max="3341" width="12.28515625" style="1" bestFit="1" customWidth="1"/>
    <col min="3342" max="3342" width="13.28515625" style="1" customWidth="1"/>
    <col min="3343" max="3343" width="6.7109375" style="1" customWidth="1"/>
    <col min="3344" max="3346" width="16.5703125" style="1" bestFit="1" customWidth="1"/>
    <col min="3347" max="3349" width="6.7109375" style="1" customWidth="1"/>
    <col min="3350" max="3351" width="16.5703125" style="1" bestFit="1" customWidth="1"/>
    <col min="3352" max="3352" width="6.7109375" style="1" customWidth="1"/>
    <col min="3353" max="3583" width="9.140625" style="1"/>
    <col min="3584" max="3584" width="72" style="1" customWidth="1"/>
    <col min="3585" max="3585" width="16.7109375" style="1" customWidth="1"/>
    <col min="3586" max="3586" width="16.140625" style="1" bestFit="1" customWidth="1"/>
    <col min="3587" max="3590" width="16.5703125" style="1" bestFit="1" customWidth="1"/>
    <col min="3591" max="3591" width="16.5703125" style="1" customWidth="1"/>
    <col min="3592" max="3593" width="16.5703125" style="1" bestFit="1" customWidth="1"/>
    <col min="3594" max="3594" width="16.5703125" style="1" customWidth="1"/>
    <col min="3595" max="3595" width="16.5703125" style="1" bestFit="1" customWidth="1"/>
    <col min="3596" max="3596" width="15.28515625" style="1" bestFit="1" customWidth="1"/>
    <col min="3597" max="3597" width="12.28515625" style="1" bestFit="1" customWidth="1"/>
    <col min="3598" max="3598" width="13.28515625" style="1" customWidth="1"/>
    <col min="3599" max="3599" width="6.7109375" style="1" customWidth="1"/>
    <col min="3600" max="3602" width="16.5703125" style="1" bestFit="1" customWidth="1"/>
    <col min="3603" max="3605" width="6.7109375" style="1" customWidth="1"/>
    <col min="3606" max="3607" width="16.5703125" style="1" bestFit="1" customWidth="1"/>
    <col min="3608" max="3608" width="6.7109375" style="1" customWidth="1"/>
    <col min="3609" max="3839" width="9.140625" style="1"/>
    <col min="3840" max="3840" width="72" style="1" customWidth="1"/>
    <col min="3841" max="3841" width="16.7109375" style="1" customWidth="1"/>
    <col min="3842" max="3842" width="16.140625" style="1" bestFit="1" customWidth="1"/>
    <col min="3843" max="3846" width="16.5703125" style="1" bestFit="1" customWidth="1"/>
    <col min="3847" max="3847" width="16.5703125" style="1" customWidth="1"/>
    <col min="3848" max="3849" width="16.5703125" style="1" bestFit="1" customWidth="1"/>
    <col min="3850" max="3850" width="16.5703125" style="1" customWidth="1"/>
    <col min="3851" max="3851" width="16.5703125" style="1" bestFit="1" customWidth="1"/>
    <col min="3852" max="3852" width="15.28515625" style="1" bestFit="1" customWidth="1"/>
    <col min="3853" max="3853" width="12.28515625" style="1" bestFit="1" customWidth="1"/>
    <col min="3854" max="3854" width="13.28515625" style="1" customWidth="1"/>
    <col min="3855" max="3855" width="6.7109375" style="1" customWidth="1"/>
    <col min="3856" max="3858" width="16.5703125" style="1" bestFit="1" customWidth="1"/>
    <col min="3859" max="3861" width="6.7109375" style="1" customWidth="1"/>
    <col min="3862" max="3863" width="16.5703125" style="1" bestFit="1" customWidth="1"/>
    <col min="3864" max="3864" width="6.7109375" style="1" customWidth="1"/>
    <col min="3865" max="4095" width="9.140625" style="1"/>
    <col min="4096" max="4096" width="72" style="1" customWidth="1"/>
    <col min="4097" max="4097" width="16.7109375" style="1" customWidth="1"/>
    <col min="4098" max="4098" width="16.140625" style="1" bestFit="1" customWidth="1"/>
    <col min="4099" max="4102" width="16.5703125" style="1" bestFit="1" customWidth="1"/>
    <col min="4103" max="4103" width="16.5703125" style="1" customWidth="1"/>
    <col min="4104" max="4105" width="16.5703125" style="1" bestFit="1" customWidth="1"/>
    <col min="4106" max="4106" width="16.5703125" style="1" customWidth="1"/>
    <col min="4107" max="4107" width="16.5703125" style="1" bestFit="1" customWidth="1"/>
    <col min="4108" max="4108" width="15.28515625" style="1" bestFit="1" customWidth="1"/>
    <col min="4109" max="4109" width="12.28515625" style="1" bestFit="1" customWidth="1"/>
    <col min="4110" max="4110" width="13.28515625" style="1" customWidth="1"/>
    <col min="4111" max="4111" width="6.7109375" style="1" customWidth="1"/>
    <col min="4112" max="4114" width="16.5703125" style="1" bestFit="1" customWidth="1"/>
    <col min="4115" max="4117" width="6.7109375" style="1" customWidth="1"/>
    <col min="4118" max="4119" width="16.5703125" style="1" bestFit="1" customWidth="1"/>
    <col min="4120" max="4120" width="6.7109375" style="1" customWidth="1"/>
    <col min="4121" max="4351" width="9.140625" style="1"/>
    <col min="4352" max="4352" width="72" style="1" customWidth="1"/>
    <col min="4353" max="4353" width="16.7109375" style="1" customWidth="1"/>
    <col min="4354" max="4354" width="16.140625" style="1" bestFit="1" customWidth="1"/>
    <col min="4355" max="4358" width="16.5703125" style="1" bestFit="1" customWidth="1"/>
    <col min="4359" max="4359" width="16.5703125" style="1" customWidth="1"/>
    <col min="4360" max="4361" width="16.5703125" style="1" bestFit="1" customWidth="1"/>
    <col min="4362" max="4362" width="16.5703125" style="1" customWidth="1"/>
    <col min="4363" max="4363" width="16.5703125" style="1" bestFit="1" customWidth="1"/>
    <col min="4364" max="4364" width="15.28515625" style="1" bestFit="1" customWidth="1"/>
    <col min="4365" max="4365" width="12.28515625" style="1" bestFit="1" customWidth="1"/>
    <col min="4366" max="4366" width="13.28515625" style="1" customWidth="1"/>
    <col min="4367" max="4367" width="6.7109375" style="1" customWidth="1"/>
    <col min="4368" max="4370" width="16.5703125" style="1" bestFit="1" customWidth="1"/>
    <col min="4371" max="4373" width="6.7109375" style="1" customWidth="1"/>
    <col min="4374" max="4375" width="16.5703125" style="1" bestFit="1" customWidth="1"/>
    <col min="4376" max="4376" width="6.7109375" style="1" customWidth="1"/>
    <col min="4377" max="4607" width="9.140625" style="1"/>
    <col min="4608" max="4608" width="72" style="1" customWidth="1"/>
    <col min="4609" max="4609" width="16.7109375" style="1" customWidth="1"/>
    <col min="4610" max="4610" width="16.140625" style="1" bestFit="1" customWidth="1"/>
    <col min="4611" max="4614" width="16.5703125" style="1" bestFit="1" customWidth="1"/>
    <col min="4615" max="4615" width="16.5703125" style="1" customWidth="1"/>
    <col min="4616" max="4617" width="16.5703125" style="1" bestFit="1" customWidth="1"/>
    <col min="4618" max="4618" width="16.5703125" style="1" customWidth="1"/>
    <col min="4619" max="4619" width="16.5703125" style="1" bestFit="1" customWidth="1"/>
    <col min="4620" max="4620" width="15.28515625" style="1" bestFit="1" customWidth="1"/>
    <col min="4621" max="4621" width="12.28515625" style="1" bestFit="1" customWidth="1"/>
    <col min="4622" max="4622" width="13.28515625" style="1" customWidth="1"/>
    <col min="4623" max="4623" width="6.7109375" style="1" customWidth="1"/>
    <col min="4624" max="4626" width="16.5703125" style="1" bestFit="1" customWidth="1"/>
    <col min="4627" max="4629" width="6.7109375" style="1" customWidth="1"/>
    <col min="4630" max="4631" width="16.5703125" style="1" bestFit="1" customWidth="1"/>
    <col min="4632" max="4632" width="6.7109375" style="1" customWidth="1"/>
    <col min="4633" max="4863" width="9.140625" style="1"/>
    <col min="4864" max="4864" width="72" style="1" customWidth="1"/>
    <col min="4865" max="4865" width="16.7109375" style="1" customWidth="1"/>
    <col min="4866" max="4866" width="16.140625" style="1" bestFit="1" customWidth="1"/>
    <col min="4867" max="4870" width="16.5703125" style="1" bestFit="1" customWidth="1"/>
    <col min="4871" max="4871" width="16.5703125" style="1" customWidth="1"/>
    <col min="4872" max="4873" width="16.5703125" style="1" bestFit="1" customWidth="1"/>
    <col min="4874" max="4874" width="16.5703125" style="1" customWidth="1"/>
    <col min="4875" max="4875" width="16.5703125" style="1" bestFit="1" customWidth="1"/>
    <col min="4876" max="4876" width="15.28515625" style="1" bestFit="1" customWidth="1"/>
    <col min="4877" max="4877" width="12.28515625" style="1" bestFit="1" customWidth="1"/>
    <col min="4878" max="4878" width="13.28515625" style="1" customWidth="1"/>
    <col min="4879" max="4879" width="6.7109375" style="1" customWidth="1"/>
    <col min="4880" max="4882" width="16.5703125" style="1" bestFit="1" customWidth="1"/>
    <col min="4883" max="4885" width="6.7109375" style="1" customWidth="1"/>
    <col min="4886" max="4887" width="16.5703125" style="1" bestFit="1" customWidth="1"/>
    <col min="4888" max="4888" width="6.7109375" style="1" customWidth="1"/>
    <col min="4889" max="5119" width="9.140625" style="1"/>
    <col min="5120" max="5120" width="72" style="1" customWidth="1"/>
    <col min="5121" max="5121" width="16.7109375" style="1" customWidth="1"/>
    <col min="5122" max="5122" width="16.140625" style="1" bestFit="1" customWidth="1"/>
    <col min="5123" max="5126" width="16.5703125" style="1" bestFit="1" customWidth="1"/>
    <col min="5127" max="5127" width="16.5703125" style="1" customWidth="1"/>
    <col min="5128" max="5129" width="16.5703125" style="1" bestFit="1" customWidth="1"/>
    <col min="5130" max="5130" width="16.5703125" style="1" customWidth="1"/>
    <col min="5131" max="5131" width="16.5703125" style="1" bestFit="1" customWidth="1"/>
    <col min="5132" max="5132" width="15.28515625" style="1" bestFit="1" customWidth="1"/>
    <col min="5133" max="5133" width="12.28515625" style="1" bestFit="1" customWidth="1"/>
    <col min="5134" max="5134" width="13.28515625" style="1" customWidth="1"/>
    <col min="5135" max="5135" width="6.7109375" style="1" customWidth="1"/>
    <col min="5136" max="5138" width="16.5703125" style="1" bestFit="1" customWidth="1"/>
    <col min="5139" max="5141" width="6.7109375" style="1" customWidth="1"/>
    <col min="5142" max="5143" width="16.5703125" style="1" bestFit="1" customWidth="1"/>
    <col min="5144" max="5144" width="6.7109375" style="1" customWidth="1"/>
    <col min="5145" max="5375" width="9.140625" style="1"/>
    <col min="5376" max="5376" width="72" style="1" customWidth="1"/>
    <col min="5377" max="5377" width="16.7109375" style="1" customWidth="1"/>
    <col min="5378" max="5378" width="16.140625" style="1" bestFit="1" customWidth="1"/>
    <col min="5379" max="5382" width="16.5703125" style="1" bestFit="1" customWidth="1"/>
    <col min="5383" max="5383" width="16.5703125" style="1" customWidth="1"/>
    <col min="5384" max="5385" width="16.5703125" style="1" bestFit="1" customWidth="1"/>
    <col min="5386" max="5386" width="16.5703125" style="1" customWidth="1"/>
    <col min="5387" max="5387" width="16.5703125" style="1" bestFit="1" customWidth="1"/>
    <col min="5388" max="5388" width="15.28515625" style="1" bestFit="1" customWidth="1"/>
    <col min="5389" max="5389" width="12.28515625" style="1" bestFit="1" customWidth="1"/>
    <col min="5390" max="5390" width="13.28515625" style="1" customWidth="1"/>
    <col min="5391" max="5391" width="6.7109375" style="1" customWidth="1"/>
    <col min="5392" max="5394" width="16.5703125" style="1" bestFit="1" customWidth="1"/>
    <col min="5395" max="5397" width="6.7109375" style="1" customWidth="1"/>
    <col min="5398" max="5399" width="16.5703125" style="1" bestFit="1" customWidth="1"/>
    <col min="5400" max="5400" width="6.7109375" style="1" customWidth="1"/>
    <col min="5401" max="5631" width="9.140625" style="1"/>
    <col min="5632" max="5632" width="72" style="1" customWidth="1"/>
    <col min="5633" max="5633" width="16.7109375" style="1" customWidth="1"/>
    <col min="5634" max="5634" width="16.140625" style="1" bestFit="1" customWidth="1"/>
    <col min="5635" max="5638" width="16.5703125" style="1" bestFit="1" customWidth="1"/>
    <col min="5639" max="5639" width="16.5703125" style="1" customWidth="1"/>
    <col min="5640" max="5641" width="16.5703125" style="1" bestFit="1" customWidth="1"/>
    <col min="5642" max="5642" width="16.5703125" style="1" customWidth="1"/>
    <col min="5643" max="5643" width="16.5703125" style="1" bestFit="1" customWidth="1"/>
    <col min="5644" max="5644" width="15.28515625" style="1" bestFit="1" customWidth="1"/>
    <col min="5645" max="5645" width="12.28515625" style="1" bestFit="1" customWidth="1"/>
    <col min="5646" max="5646" width="13.28515625" style="1" customWidth="1"/>
    <col min="5647" max="5647" width="6.7109375" style="1" customWidth="1"/>
    <col min="5648" max="5650" width="16.5703125" style="1" bestFit="1" customWidth="1"/>
    <col min="5651" max="5653" width="6.7109375" style="1" customWidth="1"/>
    <col min="5654" max="5655" width="16.5703125" style="1" bestFit="1" customWidth="1"/>
    <col min="5656" max="5656" width="6.7109375" style="1" customWidth="1"/>
    <col min="5657" max="5887" width="9.140625" style="1"/>
    <col min="5888" max="5888" width="72" style="1" customWidth="1"/>
    <col min="5889" max="5889" width="16.7109375" style="1" customWidth="1"/>
    <col min="5890" max="5890" width="16.140625" style="1" bestFit="1" customWidth="1"/>
    <col min="5891" max="5894" width="16.5703125" style="1" bestFit="1" customWidth="1"/>
    <col min="5895" max="5895" width="16.5703125" style="1" customWidth="1"/>
    <col min="5896" max="5897" width="16.5703125" style="1" bestFit="1" customWidth="1"/>
    <col min="5898" max="5898" width="16.5703125" style="1" customWidth="1"/>
    <col min="5899" max="5899" width="16.5703125" style="1" bestFit="1" customWidth="1"/>
    <col min="5900" max="5900" width="15.28515625" style="1" bestFit="1" customWidth="1"/>
    <col min="5901" max="5901" width="12.28515625" style="1" bestFit="1" customWidth="1"/>
    <col min="5902" max="5902" width="13.28515625" style="1" customWidth="1"/>
    <col min="5903" max="5903" width="6.7109375" style="1" customWidth="1"/>
    <col min="5904" max="5906" width="16.5703125" style="1" bestFit="1" customWidth="1"/>
    <col min="5907" max="5909" width="6.7109375" style="1" customWidth="1"/>
    <col min="5910" max="5911" width="16.5703125" style="1" bestFit="1" customWidth="1"/>
    <col min="5912" max="5912" width="6.7109375" style="1" customWidth="1"/>
    <col min="5913" max="6143" width="9.140625" style="1"/>
    <col min="6144" max="6144" width="72" style="1" customWidth="1"/>
    <col min="6145" max="6145" width="16.7109375" style="1" customWidth="1"/>
    <col min="6146" max="6146" width="16.140625" style="1" bestFit="1" customWidth="1"/>
    <col min="6147" max="6150" width="16.5703125" style="1" bestFit="1" customWidth="1"/>
    <col min="6151" max="6151" width="16.5703125" style="1" customWidth="1"/>
    <col min="6152" max="6153" width="16.5703125" style="1" bestFit="1" customWidth="1"/>
    <col min="6154" max="6154" width="16.5703125" style="1" customWidth="1"/>
    <col min="6155" max="6155" width="16.5703125" style="1" bestFit="1" customWidth="1"/>
    <col min="6156" max="6156" width="15.28515625" style="1" bestFit="1" customWidth="1"/>
    <col min="6157" max="6157" width="12.28515625" style="1" bestFit="1" customWidth="1"/>
    <col min="6158" max="6158" width="13.28515625" style="1" customWidth="1"/>
    <col min="6159" max="6159" width="6.7109375" style="1" customWidth="1"/>
    <col min="6160" max="6162" width="16.5703125" style="1" bestFit="1" customWidth="1"/>
    <col min="6163" max="6165" width="6.7109375" style="1" customWidth="1"/>
    <col min="6166" max="6167" width="16.5703125" style="1" bestFit="1" customWidth="1"/>
    <col min="6168" max="6168" width="6.7109375" style="1" customWidth="1"/>
    <col min="6169" max="6399" width="9.140625" style="1"/>
    <col min="6400" max="6400" width="72" style="1" customWidth="1"/>
    <col min="6401" max="6401" width="16.7109375" style="1" customWidth="1"/>
    <col min="6402" max="6402" width="16.140625" style="1" bestFit="1" customWidth="1"/>
    <col min="6403" max="6406" width="16.5703125" style="1" bestFit="1" customWidth="1"/>
    <col min="6407" max="6407" width="16.5703125" style="1" customWidth="1"/>
    <col min="6408" max="6409" width="16.5703125" style="1" bestFit="1" customWidth="1"/>
    <col min="6410" max="6410" width="16.5703125" style="1" customWidth="1"/>
    <col min="6411" max="6411" width="16.5703125" style="1" bestFit="1" customWidth="1"/>
    <col min="6412" max="6412" width="15.28515625" style="1" bestFit="1" customWidth="1"/>
    <col min="6413" max="6413" width="12.28515625" style="1" bestFit="1" customWidth="1"/>
    <col min="6414" max="6414" width="13.28515625" style="1" customWidth="1"/>
    <col min="6415" max="6415" width="6.7109375" style="1" customWidth="1"/>
    <col min="6416" max="6418" width="16.5703125" style="1" bestFit="1" customWidth="1"/>
    <col min="6419" max="6421" width="6.7109375" style="1" customWidth="1"/>
    <col min="6422" max="6423" width="16.5703125" style="1" bestFit="1" customWidth="1"/>
    <col min="6424" max="6424" width="6.7109375" style="1" customWidth="1"/>
    <col min="6425" max="6655" width="9.140625" style="1"/>
    <col min="6656" max="6656" width="72" style="1" customWidth="1"/>
    <col min="6657" max="6657" width="16.7109375" style="1" customWidth="1"/>
    <col min="6658" max="6658" width="16.140625" style="1" bestFit="1" customWidth="1"/>
    <col min="6659" max="6662" width="16.5703125" style="1" bestFit="1" customWidth="1"/>
    <col min="6663" max="6663" width="16.5703125" style="1" customWidth="1"/>
    <col min="6664" max="6665" width="16.5703125" style="1" bestFit="1" customWidth="1"/>
    <col min="6666" max="6666" width="16.5703125" style="1" customWidth="1"/>
    <col min="6667" max="6667" width="16.5703125" style="1" bestFit="1" customWidth="1"/>
    <col min="6668" max="6668" width="15.28515625" style="1" bestFit="1" customWidth="1"/>
    <col min="6669" max="6669" width="12.28515625" style="1" bestFit="1" customWidth="1"/>
    <col min="6670" max="6670" width="13.28515625" style="1" customWidth="1"/>
    <col min="6671" max="6671" width="6.7109375" style="1" customWidth="1"/>
    <col min="6672" max="6674" width="16.5703125" style="1" bestFit="1" customWidth="1"/>
    <col min="6675" max="6677" width="6.7109375" style="1" customWidth="1"/>
    <col min="6678" max="6679" width="16.5703125" style="1" bestFit="1" customWidth="1"/>
    <col min="6680" max="6680" width="6.7109375" style="1" customWidth="1"/>
    <col min="6681" max="6911" width="9.140625" style="1"/>
    <col min="6912" max="6912" width="72" style="1" customWidth="1"/>
    <col min="6913" max="6913" width="16.7109375" style="1" customWidth="1"/>
    <col min="6914" max="6914" width="16.140625" style="1" bestFit="1" customWidth="1"/>
    <col min="6915" max="6918" width="16.5703125" style="1" bestFit="1" customWidth="1"/>
    <col min="6919" max="6919" width="16.5703125" style="1" customWidth="1"/>
    <col min="6920" max="6921" width="16.5703125" style="1" bestFit="1" customWidth="1"/>
    <col min="6922" max="6922" width="16.5703125" style="1" customWidth="1"/>
    <col min="6923" max="6923" width="16.5703125" style="1" bestFit="1" customWidth="1"/>
    <col min="6924" max="6924" width="15.28515625" style="1" bestFit="1" customWidth="1"/>
    <col min="6925" max="6925" width="12.28515625" style="1" bestFit="1" customWidth="1"/>
    <col min="6926" max="6926" width="13.28515625" style="1" customWidth="1"/>
    <col min="6927" max="6927" width="6.7109375" style="1" customWidth="1"/>
    <col min="6928" max="6930" width="16.5703125" style="1" bestFit="1" customWidth="1"/>
    <col min="6931" max="6933" width="6.7109375" style="1" customWidth="1"/>
    <col min="6934" max="6935" width="16.5703125" style="1" bestFit="1" customWidth="1"/>
    <col min="6936" max="6936" width="6.7109375" style="1" customWidth="1"/>
    <col min="6937" max="7167" width="9.140625" style="1"/>
    <col min="7168" max="7168" width="72" style="1" customWidth="1"/>
    <col min="7169" max="7169" width="16.7109375" style="1" customWidth="1"/>
    <col min="7170" max="7170" width="16.140625" style="1" bestFit="1" customWidth="1"/>
    <col min="7171" max="7174" width="16.5703125" style="1" bestFit="1" customWidth="1"/>
    <col min="7175" max="7175" width="16.5703125" style="1" customWidth="1"/>
    <col min="7176" max="7177" width="16.5703125" style="1" bestFit="1" customWidth="1"/>
    <col min="7178" max="7178" width="16.5703125" style="1" customWidth="1"/>
    <col min="7179" max="7179" width="16.5703125" style="1" bestFit="1" customWidth="1"/>
    <col min="7180" max="7180" width="15.28515625" style="1" bestFit="1" customWidth="1"/>
    <col min="7181" max="7181" width="12.28515625" style="1" bestFit="1" customWidth="1"/>
    <col min="7182" max="7182" width="13.28515625" style="1" customWidth="1"/>
    <col min="7183" max="7183" width="6.7109375" style="1" customWidth="1"/>
    <col min="7184" max="7186" width="16.5703125" style="1" bestFit="1" customWidth="1"/>
    <col min="7187" max="7189" width="6.7109375" style="1" customWidth="1"/>
    <col min="7190" max="7191" width="16.5703125" style="1" bestFit="1" customWidth="1"/>
    <col min="7192" max="7192" width="6.7109375" style="1" customWidth="1"/>
    <col min="7193" max="7423" width="9.140625" style="1"/>
    <col min="7424" max="7424" width="72" style="1" customWidth="1"/>
    <col min="7425" max="7425" width="16.7109375" style="1" customWidth="1"/>
    <col min="7426" max="7426" width="16.140625" style="1" bestFit="1" customWidth="1"/>
    <col min="7427" max="7430" width="16.5703125" style="1" bestFit="1" customWidth="1"/>
    <col min="7431" max="7431" width="16.5703125" style="1" customWidth="1"/>
    <col min="7432" max="7433" width="16.5703125" style="1" bestFit="1" customWidth="1"/>
    <col min="7434" max="7434" width="16.5703125" style="1" customWidth="1"/>
    <col min="7435" max="7435" width="16.5703125" style="1" bestFit="1" customWidth="1"/>
    <col min="7436" max="7436" width="15.28515625" style="1" bestFit="1" customWidth="1"/>
    <col min="7437" max="7437" width="12.28515625" style="1" bestFit="1" customWidth="1"/>
    <col min="7438" max="7438" width="13.28515625" style="1" customWidth="1"/>
    <col min="7439" max="7439" width="6.7109375" style="1" customWidth="1"/>
    <col min="7440" max="7442" width="16.5703125" style="1" bestFit="1" customWidth="1"/>
    <col min="7443" max="7445" width="6.7109375" style="1" customWidth="1"/>
    <col min="7446" max="7447" width="16.5703125" style="1" bestFit="1" customWidth="1"/>
    <col min="7448" max="7448" width="6.7109375" style="1" customWidth="1"/>
    <col min="7449" max="7679" width="9.140625" style="1"/>
    <col min="7680" max="7680" width="72" style="1" customWidth="1"/>
    <col min="7681" max="7681" width="16.7109375" style="1" customWidth="1"/>
    <col min="7682" max="7682" width="16.140625" style="1" bestFit="1" customWidth="1"/>
    <col min="7683" max="7686" width="16.5703125" style="1" bestFit="1" customWidth="1"/>
    <col min="7687" max="7687" width="16.5703125" style="1" customWidth="1"/>
    <col min="7688" max="7689" width="16.5703125" style="1" bestFit="1" customWidth="1"/>
    <col min="7690" max="7690" width="16.5703125" style="1" customWidth="1"/>
    <col min="7691" max="7691" width="16.5703125" style="1" bestFit="1" customWidth="1"/>
    <col min="7692" max="7692" width="15.28515625" style="1" bestFit="1" customWidth="1"/>
    <col min="7693" max="7693" width="12.28515625" style="1" bestFit="1" customWidth="1"/>
    <col min="7694" max="7694" width="13.28515625" style="1" customWidth="1"/>
    <col min="7695" max="7695" width="6.7109375" style="1" customWidth="1"/>
    <col min="7696" max="7698" width="16.5703125" style="1" bestFit="1" customWidth="1"/>
    <col min="7699" max="7701" width="6.7109375" style="1" customWidth="1"/>
    <col min="7702" max="7703" width="16.5703125" style="1" bestFit="1" customWidth="1"/>
    <col min="7704" max="7704" width="6.7109375" style="1" customWidth="1"/>
    <col min="7705" max="7935" width="9.140625" style="1"/>
    <col min="7936" max="7936" width="72" style="1" customWidth="1"/>
    <col min="7937" max="7937" width="16.7109375" style="1" customWidth="1"/>
    <col min="7938" max="7938" width="16.140625" style="1" bestFit="1" customWidth="1"/>
    <col min="7939" max="7942" width="16.5703125" style="1" bestFit="1" customWidth="1"/>
    <col min="7943" max="7943" width="16.5703125" style="1" customWidth="1"/>
    <col min="7944" max="7945" width="16.5703125" style="1" bestFit="1" customWidth="1"/>
    <col min="7946" max="7946" width="16.5703125" style="1" customWidth="1"/>
    <col min="7947" max="7947" width="16.5703125" style="1" bestFit="1" customWidth="1"/>
    <col min="7948" max="7948" width="15.28515625" style="1" bestFit="1" customWidth="1"/>
    <col min="7949" max="7949" width="12.28515625" style="1" bestFit="1" customWidth="1"/>
    <col min="7950" max="7950" width="13.28515625" style="1" customWidth="1"/>
    <col min="7951" max="7951" width="6.7109375" style="1" customWidth="1"/>
    <col min="7952" max="7954" width="16.5703125" style="1" bestFit="1" customWidth="1"/>
    <col min="7955" max="7957" width="6.7109375" style="1" customWidth="1"/>
    <col min="7958" max="7959" width="16.5703125" style="1" bestFit="1" customWidth="1"/>
    <col min="7960" max="7960" width="6.7109375" style="1" customWidth="1"/>
    <col min="7961" max="8191" width="9.140625" style="1"/>
    <col min="8192" max="8192" width="72" style="1" customWidth="1"/>
    <col min="8193" max="8193" width="16.7109375" style="1" customWidth="1"/>
    <col min="8194" max="8194" width="16.140625" style="1" bestFit="1" customWidth="1"/>
    <col min="8195" max="8198" width="16.5703125" style="1" bestFit="1" customWidth="1"/>
    <col min="8199" max="8199" width="16.5703125" style="1" customWidth="1"/>
    <col min="8200" max="8201" width="16.5703125" style="1" bestFit="1" customWidth="1"/>
    <col min="8202" max="8202" width="16.5703125" style="1" customWidth="1"/>
    <col min="8203" max="8203" width="16.5703125" style="1" bestFit="1" customWidth="1"/>
    <col min="8204" max="8204" width="15.28515625" style="1" bestFit="1" customWidth="1"/>
    <col min="8205" max="8205" width="12.28515625" style="1" bestFit="1" customWidth="1"/>
    <col min="8206" max="8206" width="13.28515625" style="1" customWidth="1"/>
    <col min="8207" max="8207" width="6.7109375" style="1" customWidth="1"/>
    <col min="8208" max="8210" width="16.5703125" style="1" bestFit="1" customWidth="1"/>
    <col min="8211" max="8213" width="6.7109375" style="1" customWidth="1"/>
    <col min="8214" max="8215" width="16.5703125" style="1" bestFit="1" customWidth="1"/>
    <col min="8216" max="8216" width="6.7109375" style="1" customWidth="1"/>
    <col min="8217" max="8447" width="9.140625" style="1"/>
    <col min="8448" max="8448" width="72" style="1" customWidth="1"/>
    <col min="8449" max="8449" width="16.7109375" style="1" customWidth="1"/>
    <col min="8450" max="8450" width="16.140625" style="1" bestFit="1" customWidth="1"/>
    <col min="8451" max="8454" width="16.5703125" style="1" bestFit="1" customWidth="1"/>
    <col min="8455" max="8455" width="16.5703125" style="1" customWidth="1"/>
    <col min="8456" max="8457" width="16.5703125" style="1" bestFit="1" customWidth="1"/>
    <col min="8458" max="8458" width="16.5703125" style="1" customWidth="1"/>
    <col min="8459" max="8459" width="16.5703125" style="1" bestFit="1" customWidth="1"/>
    <col min="8460" max="8460" width="15.28515625" style="1" bestFit="1" customWidth="1"/>
    <col min="8461" max="8461" width="12.28515625" style="1" bestFit="1" customWidth="1"/>
    <col min="8462" max="8462" width="13.28515625" style="1" customWidth="1"/>
    <col min="8463" max="8463" width="6.7109375" style="1" customWidth="1"/>
    <col min="8464" max="8466" width="16.5703125" style="1" bestFit="1" customWidth="1"/>
    <col min="8467" max="8469" width="6.7109375" style="1" customWidth="1"/>
    <col min="8470" max="8471" width="16.5703125" style="1" bestFit="1" customWidth="1"/>
    <col min="8472" max="8472" width="6.7109375" style="1" customWidth="1"/>
    <col min="8473" max="8703" width="9.140625" style="1"/>
    <col min="8704" max="8704" width="72" style="1" customWidth="1"/>
    <col min="8705" max="8705" width="16.7109375" style="1" customWidth="1"/>
    <col min="8706" max="8706" width="16.140625" style="1" bestFit="1" customWidth="1"/>
    <col min="8707" max="8710" width="16.5703125" style="1" bestFit="1" customWidth="1"/>
    <col min="8711" max="8711" width="16.5703125" style="1" customWidth="1"/>
    <col min="8712" max="8713" width="16.5703125" style="1" bestFit="1" customWidth="1"/>
    <col min="8714" max="8714" width="16.5703125" style="1" customWidth="1"/>
    <col min="8715" max="8715" width="16.5703125" style="1" bestFit="1" customWidth="1"/>
    <col min="8716" max="8716" width="15.28515625" style="1" bestFit="1" customWidth="1"/>
    <col min="8717" max="8717" width="12.28515625" style="1" bestFit="1" customWidth="1"/>
    <col min="8718" max="8718" width="13.28515625" style="1" customWidth="1"/>
    <col min="8719" max="8719" width="6.7109375" style="1" customWidth="1"/>
    <col min="8720" max="8722" width="16.5703125" style="1" bestFit="1" customWidth="1"/>
    <col min="8723" max="8725" width="6.7109375" style="1" customWidth="1"/>
    <col min="8726" max="8727" width="16.5703125" style="1" bestFit="1" customWidth="1"/>
    <col min="8728" max="8728" width="6.7109375" style="1" customWidth="1"/>
    <col min="8729" max="8959" width="9.140625" style="1"/>
    <col min="8960" max="8960" width="72" style="1" customWidth="1"/>
    <col min="8961" max="8961" width="16.7109375" style="1" customWidth="1"/>
    <col min="8962" max="8962" width="16.140625" style="1" bestFit="1" customWidth="1"/>
    <col min="8963" max="8966" width="16.5703125" style="1" bestFit="1" customWidth="1"/>
    <col min="8967" max="8967" width="16.5703125" style="1" customWidth="1"/>
    <col min="8968" max="8969" width="16.5703125" style="1" bestFit="1" customWidth="1"/>
    <col min="8970" max="8970" width="16.5703125" style="1" customWidth="1"/>
    <col min="8971" max="8971" width="16.5703125" style="1" bestFit="1" customWidth="1"/>
    <col min="8972" max="8972" width="15.28515625" style="1" bestFit="1" customWidth="1"/>
    <col min="8973" max="8973" width="12.28515625" style="1" bestFit="1" customWidth="1"/>
    <col min="8974" max="8974" width="13.28515625" style="1" customWidth="1"/>
    <col min="8975" max="8975" width="6.7109375" style="1" customWidth="1"/>
    <col min="8976" max="8978" width="16.5703125" style="1" bestFit="1" customWidth="1"/>
    <col min="8979" max="8981" width="6.7109375" style="1" customWidth="1"/>
    <col min="8982" max="8983" width="16.5703125" style="1" bestFit="1" customWidth="1"/>
    <col min="8984" max="8984" width="6.7109375" style="1" customWidth="1"/>
    <col min="8985" max="9215" width="9.140625" style="1"/>
    <col min="9216" max="9216" width="72" style="1" customWidth="1"/>
    <col min="9217" max="9217" width="16.7109375" style="1" customWidth="1"/>
    <col min="9218" max="9218" width="16.140625" style="1" bestFit="1" customWidth="1"/>
    <col min="9219" max="9222" width="16.5703125" style="1" bestFit="1" customWidth="1"/>
    <col min="9223" max="9223" width="16.5703125" style="1" customWidth="1"/>
    <col min="9224" max="9225" width="16.5703125" style="1" bestFit="1" customWidth="1"/>
    <col min="9226" max="9226" width="16.5703125" style="1" customWidth="1"/>
    <col min="9227" max="9227" width="16.5703125" style="1" bestFit="1" customWidth="1"/>
    <col min="9228" max="9228" width="15.28515625" style="1" bestFit="1" customWidth="1"/>
    <col min="9229" max="9229" width="12.28515625" style="1" bestFit="1" customWidth="1"/>
    <col min="9230" max="9230" width="13.28515625" style="1" customWidth="1"/>
    <col min="9231" max="9231" width="6.7109375" style="1" customWidth="1"/>
    <col min="9232" max="9234" width="16.5703125" style="1" bestFit="1" customWidth="1"/>
    <col min="9235" max="9237" width="6.7109375" style="1" customWidth="1"/>
    <col min="9238" max="9239" width="16.5703125" style="1" bestFit="1" customWidth="1"/>
    <col min="9240" max="9240" width="6.7109375" style="1" customWidth="1"/>
    <col min="9241" max="9471" width="9.140625" style="1"/>
    <col min="9472" max="9472" width="72" style="1" customWidth="1"/>
    <col min="9473" max="9473" width="16.7109375" style="1" customWidth="1"/>
    <col min="9474" max="9474" width="16.140625" style="1" bestFit="1" customWidth="1"/>
    <col min="9475" max="9478" width="16.5703125" style="1" bestFit="1" customWidth="1"/>
    <col min="9479" max="9479" width="16.5703125" style="1" customWidth="1"/>
    <col min="9480" max="9481" width="16.5703125" style="1" bestFit="1" customWidth="1"/>
    <col min="9482" max="9482" width="16.5703125" style="1" customWidth="1"/>
    <col min="9483" max="9483" width="16.5703125" style="1" bestFit="1" customWidth="1"/>
    <col min="9484" max="9484" width="15.28515625" style="1" bestFit="1" customWidth="1"/>
    <col min="9485" max="9485" width="12.28515625" style="1" bestFit="1" customWidth="1"/>
    <col min="9486" max="9486" width="13.28515625" style="1" customWidth="1"/>
    <col min="9487" max="9487" width="6.7109375" style="1" customWidth="1"/>
    <col min="9488" max="9490" width="16.5703125" style="1" bestFit="1" customWidth="1"/>
    <col min="9491" max="9493" width="6.7109375" style="1" customWidth="1"/>
    <col min="9494" max="9495" width="16.5703125" style="1" bestFit="1" customWidth="1"/>
    <col min="9496" max="9496" width="6.7109375" style="1" customWidth="1"/>
    <col min="9497" max="9727" width="9.140625" style="1"/>
    <col min="9728" max="9728" width="72" style="1" customWidth="1"/>
    <col min="9729" max="9729" width="16.7109375" style="1" customWidth="1"/>
    <col min="9730" max="9730" width="16.140625" style="1" bestFit="1" customWidth="1"/>
    <col min="9731" max="9734" width="16.5703125" style="1" bestFit="1" customWidth="1"/>
    <col min="9735" max="9735" width="16.5703125" style="1" customWidth="1"/>
    <col min="9736" max="9737" width="16.5703125" style="1" bestFit="1" customWidth="1"/>
    <col min="9738" max="9738" width="16.5703125" style="1" customWidth="1"/>
    <col min="9739" max="9739" width="16.5703125" style="1" bestFit="1" customWidth="1"/>
    <col min="9740" max="9740" width="15.28515625" style="1" bestFit="1" customWidth="1"/>
    <col min="9741" max="9741" width="12.28515625" style="1" bestFit="1" customWidth="1"/>
    <col min="9742" max="9742" width="13.28515625" style="1" customWidth="1"/>
    <col min="9743" max="9743" width="6.7109375" style="1" customWidth="1"/>
    <col min="9744" max="9746" width="16.5703125" style="1" bestFit="1" customWidth="1"/>
    <col min="9747" max="9749" width="6.7109375" style="1" customWidth="1"/>
    <col min="9750" max="9751" width="16.5703125" style="1" bestFit="1" customWidth="1"/>
    <col min="9752" max="9752" width="6.7109375" style="1" customWidth="1"/>
    <col min="9753" max="9983" width="9.140625" style="1"/>
    <col min="9984" max="9984" width="72" style="1" customWidth="1"/>
    <col min="9985" max="9985" width="16.7109375" style="1" customWidth="1"/>
    <col min="9986" max="9986" width="16.140625" style="1" bestFit="1" customWidth="1"/>
    <col min="9987" max="9990" width="16.5703125" style="1" bestFit="1" customWidth="1"/>
    <col min="9991" max="9991" width="16.5703125" style="1" customWidth="1"/>
    <col min="9992" max="9993" width="16.5703125" style="1" bestFit="1" customWidth="1"/>
    <col min="9994" max="9994" width="16.5703125" style="1" customWidth="1"/>
    <col min="9995" max="9995" width="16.5703125" style="1" bestFit="1" customWidth="1"/>
    <col min="9996" max="9996" width="15.28515625" style="1" bestFit="1" customWidth="1"/>
    <col min="9997" max="9997" width="12.28515625" style="1" bestFit="1" customWidth="1"/>
    <col min="9998" max="9998" width="13.28515625" style="1" customWidth="1"/>
    <col min="9999" max="9999" width="6.7109375" style="1" customWidth="1"/>
    <col min="10000" max="10002" width="16.5703125" style="1" bestFit="1" customWidth="1"/>
    <col min="10003" max="10005" width="6.7109375" style="1" customWidth="1"/>
    <col min="10006" max="10007" width="16.5703125" style="1" bestFit="1" customWidth="1"/>
    <col min="10008" max="10008" width="6.7109375" style="1" customWidth="1"/>
    <col min="10009" max="10239" width="9.140625" style="1"/>
    <col min="10240" max="10240" width="72" style="1" customWidth="1"/>
    <col min="10241" max="10241" width="16.7109375" style="1" customWidth="1"/>
    <col min="10242" max="10242" width="16.140625" style="1" bestFit="1" customWidth="1"/>
    <col min="10243" max="10246" width="16.5703125" style="1" bestFit="1" customWidth="1"/>
    <col min="10247" max="10247" width="16.5703125" style="1" customWidth="1"/>
    <col min="10248" max="10249" width="16.5703125" style="1" bestFit="1" customWidth="1"/>
    <col min="10250" max="10250" width="16.5703125" style="1" customWidth="1"/>
    <col min="10251" max="10251" width="16.5703125" style="1" bestFit="1" customWidth="1"/>
    <col min="10252" max="10252" width="15.28515625" style="1" bestFit="1" customWidth="1"/>
    <col min="10253" max="10253" width="12.28515625" style="1" bestFit="1" customWidth="1"/>
    <col min="10254" max="10254" width="13.28515625" style="1" customWidth="1"/>
    <col min="10255" max="10255" width="6.7109375" style="1" customWidth="1"/>
    <col min="10256" max="10258" width="16.5703125" style="1" bestFit="1" customWidth="1"/>
    <col min="10259" max="10261" width="6.7109375" style="1" customWidth="1"/>
    <col min="10262" max="10263" width="16.5703125" style="1" bestFit="1" customWidth="1"/>
    <col min="10264" max="10264" width="6.7109375" style="1" customWidth="1"/>
    <col min="10265" max="10495" width="9.140625" style="1"/>
    <col min="10496" max="10496" width="72" style="1" customWidth="1"/>
    <col min="10497" max="10497" width="16.7109375" style="1" customWidth="1"/>
    <col min="10498" max="10498" width="16.140625" style="1" bestFit="1" customWidth="1"/>
    <col min="10499" max="10502" width="16.5703125" style="1" bestFit="1" customWidth="1"/>
    <col min="10503" max="10503" width="16.5703125" style="1" customWidth="1"/>
    <col min="10504" max="10505" width="16.5703125" style="1" bestFit="1" customWidth="1"/>
    <col min="10506" max="10506" width="16.5703125" style="1" customWidth="1"/>
    <col min="10507" max="10507" width="16.5703125" style="1" bestFit="1" customWidth="1"/>
    <col min="10508" max="10508" width="15.28515625" style="1" bestFit="1" customWidth="1"/>
    <col min="10509" max="10509" width="12.28515625" style="1" bestFit="1" customWidth="1"/>
    <col min="10510" max="10510" width="13.28515625" style="1" customWidth="1"/>
    <col min="10511" max="10511" width="6.7109375" style="1" customWidth="1"/>
    <col min="10512" max="10514" width="16.5703125" style="1" bestFit="1" customWidth="1"/>
    <col min="10515" max="10517" width="6.7109375" style="1" customWidth="1"/>
    <col min="10518" max="10519" width="16.5703125" style="1" bestFit="1" customWidth="1"/>
    <col min="10520" max="10520" width="6.7109375" style="1" customWidth="1"/>
    <col min="10521" max="10751" width="9.140625" style="1"/>
    <col min="10752" max="10752" width="72" style="1" customWidth="1"/>
    <col min="10753" max="10753" width="16.7109375" style="1" customWidth="1"/>
    <col min="10754" max="10754" width="16.140625" style="1" bestFit="1" customWidth="1"/>
    <col min="10755" max="10758" width="16.5703125" style="1" bestFit="1" customWidth="1"/>
    <col min="10759" max="10759" width="16.5703125" style="1" customWidth="1"/>
    <col min="10760" max="10761" width="16.5703125" style="1" bestFit="1" customWidth="1"/>
    <col min="10762" max="10762" width="16.5703125" style="1" customWidth="1"/>
    <col min="10763" max="10763" width="16.5703125" style="1" bestFit="1" customWidth="1"/>
    <col min="10764" max="10764" width="15.28515625" style="1" bestFit="1" customWidth="1"/>
    <col min="10765" max="10765" width="12.28515625" style="1" bestFit="1" customWidth="1"/>
    <col min="10766" max="10766" width="13.28515625" style="1" customWidth="1"/>
    <col min="10767" max="10767" width="6.7109375" style="1" customWidth="1"/>
    <col min="10768" max="10770" width="16.5703125" style="1" bestFit="1" customWidth="1"/>
    <col min="10771" max="10773" width="6.7109375" style="1" customWidth="1"/>
    <col min="10774" max="10775" width="16.5703125" style="1" bestFit="1" customWidth="1"/>
    <col min="10776" max="10776" width="6.7109375" style="1" customWidth="1"/>
    <col min="10777" max="11007" width="9.140625" style="1"/>
    <col min="11008" max="11008" width="72" style="1" customWidth="1"/>
    <col min="11009" max="11009" width="16.7109375" style="1" customWidth="1"/>
    <col min="11010" max="11010" width="16.140625" style="1" bestFit="1" customWidth="1"/>
    <col min="11011" max="11014" width="16.5703125" style="1" bestFit="1" customWidth="1"/>
    <col min="11015" max="11015" width="16.5703125" style="1" customWidth="1"/>
    <col min="11016" max="11017" width="16.5703125" style="1" bestFit="1" customWidth="1"/>
    <col min="11018" max="11018" width="16.5703125" style="1" customWidth="1"/>
    <col min="11019" max="11019" width="16.5703125" style="1" bestFit="1" customWidth="1"/>
    <col min="11020" max="11020" width="15.28515625" style="1" bestFit="1" customWidth="1"/>
    <col min="11021" max="11021" width="12.28515625" style="1" bestFit="1" customWidth="1"/>
    <col min="11022" max="11022" width="13.28515625" style="1" customWidth="1"/>
    <col min="11023" max="11023" width="6.7109375" style="1" customWidth="1"/>
    <col min="11024" max="11026" width="16.5703125" style="1" bestFit="1" customWidth="1"/>
    <col min="11027" max="11029" width="6.7109375" style="1" customWidth="1"/>
    <col min="11030" max="11031" width="16.5703125" style="1" bestFit="1" customWidth="1"/>
    <col min="11032" max="11032" width="6.7109375" style="1" customWidth="1"/>
    <col min="11033" max="11263" width="9.140625" style="1"/>
    <col min="11264" max="11264" width="72" style="1" customWidth="1"/>
    <col min="11265" max="11265" width="16.7109375" style="1" customWidth="1"/>
    <col min="11266" max="11266" width="16.140625" style="1" bestFit="1" customWidth="1"/>
    <col min="11267" max="11270" width="16.5703125" style="1" bestFit="1" customWidth="1"/>
    <col min="11271" max="11271" width="16.5703125" style="1" customWidth="1"/>
    <col min="11272" max="11273" width="16.5703125" style="1" bestFit="1" customWidth="1"/>
    <col min="11274" max="11274" width="16.5703125" style="1" customWidth="1"/>
    <col min="11275" max="11275" width="16.5703125" style="1" bestFit="1" customWidth="1"/>
    <col min="11276" max="11276" width="15.28515625" style="1" bestFit="1" customWidth="1"/>
    <col min="11277" max="11277" width="12.28515625" style="1" bestFit="1" customWidth="1"/>
    <col min="11278" max="11278" width="13.28515625" style="1" customWidth="1"/>
    <col min="11279" max="11279" width="6.7109375" style="1" customWidth="1"/>
    <col min="11280" max="11282" width="16.5703125" style="1" bestFit="1" customWidth="1"/>
    <col min="11283" max="11285" width="6.7109375" style="1" customWidth="1"/>
    <col min="11286" max="11287" width="16.5703125" style="1" bestFit="1" customWidth="1"/>
    <col min="11288" max="11288" width="6.7109375" style="1" customWidth="1"/>
    <col min="11289" max="11519" width="9.140625" style="1"/>
    <col min="11520" max="11520" width="72" style="1" customWidth="1"/>
    <col min="11521" max="11521" width="16.7109375" style="1" customWidth="1"/>
    <col min="11522" max="11522" width="16.140625" style="1" bestFit="1" customWidth="1"/>
    <col min="11523" max="11526" width="16.5703125" style="1" bestFit="1" customWidth="1"/>
    <col min="11527" max="11527" width="16.5703125" style="1" customWidth="1"/>
    <col min="11528" max="11529" width="16.5703125" style="1" bestFit="1" customWidth="1"/>
    <col min="11530" max="11530" width="16.5703125" style="1" customWidth="1"/>
    <col min="11531" max="11531" width="16.5703125" style="1" bestFit="1" customWidth="1"/>
    <col min="11532" max="11532" width="15.28515625" style="1" bestFit="1" customWidth="1"/>
    <col min="11533" max="11533" width="12.28515625" style="1" bestFit="1" customWidth="1"/>
    <col min="11534" max="11534" width="13.28515625" style="1" customWidth="1"/>
    <col min="11535" max="11535" width="6.7109375" style="1" customWidth="1"/>
    <col min="11536" max="11538" width="16.5703125" style="1" bestFit="1" customWidth="1"/>
    <col min="11539" max="11541" width="6.7109375" style="1" customWidth="1"/>
    <col min="11542" max="11543" width="16.5703125" style="1" bestFit="1" customWidth="1"/>
    <col min="11544" max="11544" width="6.7109375" style="1" customWidth="1"/>
    <col min="11545" max="11775" width="9.140625" style="1"/>
    <col min="11776" max="11776" width="72" style="1" customWidth="1"/>
    <col min="11777" max="11777" width="16.7109375" style="1" customWidth="1"/>
    <col min="11778" max="11778" width="16.140625" style="1" bestFit="1" customWidth="1"/>
    <col min="11779" max="11782" width="16.5703125" style="1" bestFit="1" customWidth="1"/>
    <col min="11783" max="11783" width="16.5703125" style="1" customWidth="1"/>
    <col min="11784" max="11785" width="16.5703125" style="1" bestFit="1" customWidth="1"/>
    <col min="11786" max="11786" width="16.5703125" style="1" customWidth="1"/>
    <col min="11787" max="11787" width="16.5703125" style="1" bestFit="1" customWidth="1"/>
    <col min="11788" max="11788" width="15.28515625" style="1" bestFit="1" customWidth="1"/>
    <col min="11789" max="11789" width="12.28515625" style="1" bestFit="1" customWidth="1"/>
    <col min="11790" max="11790" width="13.28515625" style="1" customWidth="1"/>
    <col min="11791" max="11791" width="6.7109375" style="1" customWidth="1"/>
    <col min="11792" max="11794" width="16.5703125" style="1" bestFit="1" customWidth="1"/>
    <col min="11795" max="11797" width="6.7109375" style="1" customWidth="1"/>
    <col min="11798" max="11799" width="16.5703125" style="1" bestFit="1" customWidth="1"/>
    <col min="11800" max="11800" width="6.7109375" style="1" customWidth="1"/>
    <col min="11801" max="12031" width="9.140625" style="1"/>
    <col min="12032" max="12032" width="72" style="1" customWidth="1"/>
    <col min="12033" max="12033" width="16.7109375" style="1" customWidth="1"/>
    <col min="12034" max="12034" width="16.140625" style="1" bestFit="1" customWidth="1"/>
    <col min="12035" max="12038" width="16.5703125" style="1" bestFit="1" customWidth="1"/>
    <col min="12039" max="12039" width="16.5703125" style="1" customWidth="1"/>
    <col min="12040" max="12041" width="16.5703125" style="1" bestFit="1" customWidth="1"/>
    <col min="12042" max="12042" width="16.5703125" style="1" customWidth="1"/>
    <col min="12043" max="12043" width="16.5703125" style="1" bestFit="1" customWidth="1"/>
    <col min="12044" max="12044" width="15.28515625" style="1" bestFit="1" customWidth="1"/>
    <col min="12045" max="12045" width="12.28515625" style="1" bestFit="1" customWidth="1"/>
    <col min="12046" max="12046" width="13.28515625" style="1" customWidth="1"/>
    <col min="12047" max="12047" width="6.7109375" style="1" customWidth="1"/>
    <col min="12048" max="12050" width="16.5703125" style="1" bestFit="1" customWidth="1"/>
    <col min="12051" max="12053" width="6.7109375" style="1" customWidth="1"/>
    <col min="12054" max="12055" width="16.5703125" style="1" bestFit="1" customWidth="1"/>
    <col min="12056" max="12056" width="6.7109375" style="1" customWidth="1"/>
    <col min="12057" max="12287" width="9.140625" style="1"/>
    <col min="12288" max="12288" width="72" style="1" customWidth="1"/>
    <col min="12289" max="12289" width="16.7109375" style="1" customWidth="1"/>
    <col min="12290" max="12290" width="16.140625" style="1" bestFit="1" customWidth="1"/>
    <col min="12291" max="12294" width="16.5703125" style="1" bestFit="1" customWidth="1"/>
    <col min="12295" max="12295" width="16.5703125" style="1" customWidth="1"/>
    <col min="12296" max="12297" width="16.5703125" style="1" bestFit="1" customWidth="1"/>
    <col min="12298" max="12298" width="16.5703125" style="1" customWidth="1"/>
    <col min="12299" max="12299" width="16.5703125" style="1" bestFit="1" customWidth="1"/>
    <col min="12300" max="12300" width="15.28515625" style="1" bestFit="1" customWidth="1"/>
    <col min="12301" max="12301" width="12.28515625" style="1" bestFit="1" customWidth="1"/>
    <col min="12302" max="12302" width="13.28515625" style="1" customWidth="1"/>
    <col min="12303" max="12303" width="6.7109375" style="1" customWidth="1"/>
    <col min="12304" max="12306" width="16.5703125" style="1" bestFit="1" customWidth="1"/>
    <col min="12307" max="12309" width="6.7109375" style="1" customWidth="1"/>
    <col min="12310" max="12311" width="16.5703125" style="1" bestFit="1" customWidth="1"/>
    <col min="12312" max="12312" width="6.7109375" style="1" customWidth="1"/>
    <col min="12313" max="12543" width="9.140625" style="1"/>
    <col min="12544" max="12544" width="72" style="1" customWidth="1"/>
    <col min="12545" max="12545" width="16.7109375" style="1" customWidth="1"/>
    <col min="12546" max="12546" width="16.140625" style="1" bestFit="1" customWidth="1"/>
    <col min="12547" max="12550" width="16.5703125" style="1" bestFit="1" customWidth="1"/>
    <col min="12551" max="12551" width="16.5703125" style="1" customWidth="1"/>
    <col min="12552" max="12553" width="16.5703125" style="1" bestFit="1" customWidth="1"/>
    <col min="12554" max="12554" width="16.5703125" style="1" customWidth="1"/>
    <col min="12555" max="12555" width="16.5703125" style="1" bestFit="1" customWidth="1"/>
    <col min="12556" max="12556" width="15.28515625" style="1" bestFit="1" customWidth="1"/>
    <col min="12557" max="12557" width="12.28515625" style="1" bestFit="1" customWidth="1"/>
    <col min="12558" max="12558" width="13.28515625" style="1" customWidth="1"/>
    <col min="12559" max="12559" width="6.7109375" style="1" customWidth="1"/>
    <col min="12560" max="12562" width="16.5703125" style="1" bestFit="1" customWidth="1"/>
    <col min="12563" max="12565" width="6.7109375" style="1" customWidth="1"/>
    <col min="12566" max="12567" width="16.5703125" style="1" bestFit="1" customWidth="1"/>
    <col min="12568" max="12568" width="6.7109375" style="1" customWidth="1"/>
    <col min="12569" max="12799" width="9.140625" style="1"/>
    <col min="12800" max="12800" width="72" style="1" customWidth="1"/>
    <col min="12801" max="12801" width="16.7109375" style="1" customWidth="1"/>
    <col min="12802" max="12802" width="16.140625" style="1" bestFit="1" customWidth="1"/>
    <col min="12803" max="12806" width="16.5703125" style="1" bestFit="1" customWidth="1"/>
    <col min="12807" max="12807" width="16.5703125" style="1" customWidth="1"/>
    <col min="12808" max="12809" width="16.5703125" style="1" bestFit="1" customWidth="1"/>
    <col min="12810" max="12810" width="16.5703125" style="1" customWidth="1"/>
    <col min="12811" max="12811" width="16.5703125" style="1" bestFit="1" customWidth="1"/>
    <col min="12812" max="12812" width="15.28515625" style="1" bestFit="1" customWidth="1"/>
    <col min="12813" max="12813" width="12.28515625" style="1" bestFit="1" customWidth="1"/>
    <col min="12814" max="12814" width="13.28515625" style="1" customWidth="1"/>
    <col min="12815" max="12815" width="6.7109375" style="1" customWidth="1"/>
    <col min="12816" max="12818" width="16.5703125" style="1" bestFit="1" customWidth="1"/>
    <col min="12819" max="12821" width="6.7109375" style="1" customWidth="1"/>
    <col min="12822" max="12823" width="16.5703125" style="1" bestFit="1" customWidth="1"/>
    <col min="12824" max="12824" width="6.7109375" style="1" customWidth="1"/>
    <col min="12825" max="13055" width="9.140625" style="1"/>
    <col min="13056" max="13056" width="72" style="1" customWidth="1"/>
    <col min="13057" max="13057" width="16.7109375" style="1" customWidth="1"/>
    <col min="13058" max="13058" width="16.140625" style="1" bestFit="1" customWidth="1"/>
    <col min="13059" max="13062" width="16.5703125" style="1" bestFit="1" customWidth="1"/>
    <col min="13063" max="13063" width="16.5703125" style="1" customWidth="1"/>
    <col min="13064" max="13065" width="16.5703125" style="1" bestFit="1" customWidth="1"/>
    <col min="13066" max="13066" width="16.5703125" style="1" customWidth="1"/>
    <col min="13067" max="13067" width="16.5703125" style="1" bestFit="1" customWidth="1"/>
    <col min="13068" max="13068" width="15.28515625" style="1" bestFit="1" customWidth="1"/>
    <col min="13069" max="13069" width="12.28515625" style="1" bestFit="1" customWidth="1"/>
    <col min="13070" max="13070" width="13.28515625" style="1" customWidth="1"/>
    <col min="13071" max="13071" width="6.7109375" style="1" customWidth="1"/>
    <col min="13072" max="13074" width="16.5703125" style="1" bestFit="1" customWidth="1"/>
    <col min="13075" max="13077" width="6.7109375" style="1" customWidth="1"/>
    <col min="13078" max="13079" width="16.5703125" style="1" bestFit="1" customWidth="1"/>
    <col min="13080" max="13080" width="6.7109375" style="1" customWidth="1"/>
    <col min="13081" max="13311" width="9.140625" style="1"/>
    <col min="13312" max="13312" width="72" style="1" customWidth="1"/>
    <col min="13313" max="13313" width="16.7109375" style="1" customWidth="1"/>
    <col min="13314" max="13314" width="16.140625" style="1" bestFit="1" customWidth="1"/>
    <col min="13315" max="13318" width="16.5703125" style="1" bestFit="1" customWidth="1"/>
    <col min="13319" max="13319" width="16.5703125" style="1" customWidth="1"/>
    <col min="13320" max="13321" width="16.5703125" style="1" bestFit="1" customWidth="1"/>
    <col min="13322" max="13322" width="16.5703125" style="1" customWidth="1"/>
    <col min="13323" max="13323" width="16.5703125" style="1" bestFit="1" customWidth="1"/>
    <col min="13324" max="13324" width="15.28515625" style="1" bestFit="1" customWidth="1"/>
    <col min="13325" max="13325" width="12.28515625" style="1" bestFit="1" customWidth="1"/>
    <col min="13326" max="13326" width="13.28515625" style="1" customWidth="1"/>
    <col min="13327" max="13327" width="6.7109375" style="1" customWidth="1"/>
    <col min="13328" max="13330" width="16.5703125" style="1" bestFit="1" customWidth="1"/>
    <col min="13331" max="13333" width="6.7109375" style="1" customWidth="1"/>
    <col min="13334" max="13335" width="16.5703125" style="1" bestFit="1" customWidth="1"/>
    <col min="13336" max="13336" width="6.7109375" style="1" customWidth="1"/>
    <col min="13337" max="13567" width="9.140625" style="1"/>
    <col min="13568" max="13568" width="72" style="1" customWidth="1"/>
    <col min="13569" max="13569" width="16.7109375" style="1" customWidth="1"/>
    <col min="13570" max="13570" width="16.140625" style="1" bestFit="1" customWidth="1"/>
    <col min="13571" max="13574" width="16.5703125" style="1" bestFit="1" customWidth="1"/>
    <col min="13575" max="13575" width="16.5703125" style="1" customWidth="1"/>
    <col min="13576" max="13577" width="16.5703125" style="1" bestFit="1" customWidth="1"/>
    <col min="13578" max="13578" width="16.5703125" style="1" customWidth="1"/>
    <col min="13579" max="13579" width="16.5703125" style="1" bestFit="1" customWidth="1"/>
    <col min="13580" max="13580" width="15.28515625" style="1" bestFit="1" customWidth="1"/>
    <col min="13581" max="13581" width="12.28515625" style="1" bestFit="1" customWidth="1"/>
    <col min="13582" max="13582" width="13.28515625" style="1" customWidth="1"/>
    <col min="13583" max="13583" width="6.7109375" style="1" customWidth="1"/>
    <col min="13584" max="13586" width="16.5703125" style="1" bestFit="1" customWidth="1"/>
    <col min="13587" max="13589" width="6.7109375" style="1" customWidth="1"/>
    <col min="13590" max="13591" width="16.5703125" style="1" bestFit="1" customWidth="1"/>
    <col min="13592" max="13592" width="6.7109375" style="1" customWidth="1"/>
    <col min="13593" max="13823" width="9.140625" style="1"/>
    <col min="13824" max="13824" width="72" style="1" customWidth="1"/>
    <col min="13825" max="13825" width="16.7109375" style="1" customWidth="1"/>
    <col min="13826" max="13826" width="16.140625" style="1" bestFit="1" customWidth="1"/>
    <col min="13827" max="13830" width="16.5703125" style="1" bestFit="1" customWidth="1"/>
    <col min="13831" max="13831" width="16.5703125" style="1" customWidth="1"/>
    <col min="13832" max="13833" width="16.5703125" style="1" bestFit="1" customWidth="1"/>
    <col min="13834" max="13834" width="16.5703125" style="1" customWidth="1"/>
    <col min="13835" max="13835" width="16.5703125" style="1" bestFit="1" customWidth="1"/>
    <col min="13836" max="13836" width="15.28515625" style="1" bestFit="1" customWidth="1"/>
    <col min="13837" max="13837" width="12.28515625" style="1" bestFit="1" customWidth="1"/>
    <col min="13838" max="13838" width="13.28515625" style="1" customWidth="1"/>
    <col min="13839" max="13839" width="6.7109375" style="1" customWidth="1"/>
    <col min="13840" max="13842" width="16.5703125" style="1" bestFit="1" customWidth="1"/>
    <col min="13843" max="13845" width="6.7109375" style="1" customWidth="1"/>
    <col min="13846" max="13847" width="16.5703125" style="1" bestFit="1" customWidth="1"/>
    <col min="13848" max="13848" width="6.7109375" style="1" customWidth="1"/>
    <col min="13849" max="14079" width="9.140625" style="1"/>
    <col min="14080" max="14080" width="72" style="1" customWidth="1"/>
    <col min="14081" max="14081" width="16.7109375" style="1" customWidth="1"/>
    <col min="14082" max="14082" width="16.140625" style="1" bestFit="1" customWidth="1"/>
    <col min="14083" max="14086" width="16.5703125" style="1" bestFit="1" customWidth="1"/>
    <col min="14087" max="14087" width="16.5703125" style="1" customWidth="1"/>
    <col min="14088" max="14089" width="16.5703125" style="1" bestFit="1" customWidth="1"/>
    <col min="14090" max="14090" width="16.5703125" style="1" customWidth="1"/>
    <col min="14091" max="14091" width="16.5703125" style="1" bestFit="1" customWidth="1"/>
    <col min="14092" max="14092" width="15.28515625" style="1" bestFit="1" customWidth="1"/>
    <col min="14093" max="14093" width="12.28515625" style="1" bestFit="1" customWidth="1"/>
    <col min="14094" max="14094" width="13.28515625" style="1" customWidth="1"/>
    <col min="14095" max="14095" width="6.7109375" style="1" customWidth="1"/>
    <col min="14096" max="14098" width="16.5703125" style="1" bestFit="1" customWidth="1"/>
    <col min="14099" max="14101" width="6.7109375" style="1" customWidth="1"/>
    <col min="14102" max="14103" width="16.5703125" style="1" bestFit="1" customWidth="1"/>
    <col min="14104" max="14104" width="6.7109375" style="1" customWidth="1"/>
    <col min="14105" max="14335" width="9.140625" style="1"/>
    <col min="14336" max="14336" width="72" style="1" customWidth="1"/>
    <col min="14337" max="14337" width="16.7109375" style="1" customWidth="1"/>
    <col min="14338" max="14338" width="16.140625" style="1" bestFit="1" customWidth="1"/>
    <col min="14339" max="14342" width="16.5703125" style="1" bestFit="1" customWidth="1"/>
    <col min="14343" max="14343" width="16.5703125" style="1" customWidth="1"/>
    <col min="14344" max="14345" width="16.5703125" style="1" bestFit="1" customWidth="1"/>
    <col min="14346" max="14346" width="16.5703125" style="1" customWidth="1"/>
    <col min="14347" max="14347" width="16.5703125" style="1" bestFit="1" customWidth="1"/>
    <col min="14348" max="14348" width="15.28515625" style="1" bestFit="1" customWidth="1"/>
    <col min="14349" max="14349" width="12.28515625" style="1" bestFit="1" customWidth="1"/>
    <col min="14350" max="14350" width="13.28515625" style="1" customWidth="1"/>
    <col min="14351" max="14351" width="6.7109375" style="1" customWidth="1"/>
    <col min="14352" max="14354" width="16.5703125" style="1" bestFit="1" customWidth="1"/>
    <col min="14355" max="14357" width="6.7109375" style="1" customWidth="1"/>
    <col min="14358" max="14359" width="16.5703125" style="1" bestFit="1" customWidth="1"/>
    <col min="14360" max="14360" width="6.7109375" style="1" customWidth="1"/>
    <col min="14361" max="14591" width="9.140625" style="1"/>
    <col min="14592" max="14592" width="72" style="1" customWidth="1"/>
    <col min="14593" max="14593" width="16.7109375" style="1" customWidth="1"/>
    <col min="14594" max="14594" width="16.140625" style="1" bestFit="1" customWidth="1"/>
    <col min="14595" max="14598" width="16.5703125" style="1" bestFit="1" customWidth="1"/>
    <col min="14599" max="14599" width="16.5703125" style="1" customWidth="1"/>
    <col min="14600" max="14601" width="16.5703125" style="1" bestFit="1" customWidth="1"/>
    <col min="14602" max="14602" width="16.5703125" style="1" customWidth="1"/>
    <col min="14603" max="14603" width="16.5703125" style="1" bestFit="1" customWidth="1"/>
    <col min="14604" max="14604" width="15.28515625" style="1" bestFit="1" customWidth="1"/>
    <col min="14605" max="14605" width="12.28515625" style="1" bestFit="1" customWidth="1"/>
    <col min="14606" max="14606" width="13.28515625" style="1" customWidth="1"/>
    <col min="14607" max="14607" width="6.7109375" style="1" customWidth="1"/>
    <col min="14608" max="14610" width="16.5703125" style="1" bestFit="1" customWidth="1"/>
    <col min="14611" max="14613" width="6.7109375" style="1" customWidth="1"/>
    <col min="14614" max="14615" width="16.5703125" style="1" bestFit="1" customWidth="1"/>
    <col min="14616" max="14616" width="6.7109375" style="1" customWidth="1"/>
    <col min="14617" max="14847" width="9.140625" style="1"/>
    <col min="14848" max="14848" width="72" style="1" customWidth="1"/>
    <col min="14849" max="14849" width="16.7109375" style="1" customWidth="1"/>
    <col min="14850" max="14850" width="16.140625" style="1" bestFit="1" customWidth="1"/>
    <col min="14851" max="14854" width="16.5703125" style="1" bestFit="1" customWidth="1"/>
    <col min="14855" max="14855" width="16.5703125" style="1" customWidth="1"/>
    <col min="14856" max="14857" width="16.5703125" style="1" bestFit="1" customWidth="1"/>
    <col min="14858" max="14858" width="16.5703125" style="1" customWidth="1"/>
    <col min="14859" max="14859" width="16.5703125" style="1" bestFit="1" customWidth="1"/>
    <col min="14860" max="14860" width="15.28515625" style="1" bestFit="1" customWidth="1"/>
    <col min="14861" max="14861" width="12.28515625" style="1" bestFit="1" customWidth="1"/>
    <col min="14862" max="14862" width="13.28515625" style="1" customWidth="1"/>
    <col min="14863" max="14863" width="6.7109375" style="1" customWidth="1"/>
    <col min="14864" max="14866" width="16.5703125" style="1" bestFit="1" customWidth="1"/>
    <col min="14867" max="14869" width="6.7109375" style="1" customWidth="1"/>
    <col min="14870" max="14871" width="16.5703125" style="1" bestFit="1" customWidth="1"/>
    <col min="14872" max="14872" width="6.7109375" style="1" customWidth="1"/>
    <col min="14873" max="15103" width="9.140625" style="1"/>
    <col min="15104" max="15104" width="72" style="1" customWidth="1"/>
    <col min="15105" max="15105" width="16.7109375" style="1" customWidth="1"/>
    <col min="15106" max="15106" width="16.140625" style="1" bestFit="1" customWidth="1"/>
    <col min="15107" max="15110" width="16.5703125" style="1" bestFit="1" customWidth="1"/>
    <col min="15111" max="15111" width="16.5703125" style="1" customWidth="1"/>
    <col min="15112" max="15113" width="16.5703125" style="1" bestFit="1" customWidth="1"/>
    <col min="15114" max="15114" width="16.5703125" style="1" customWidth="1"/>
    <col min="15115" max="15115" width="16.5703125" style="1" bestFit="1" customWidth="1"/>
    <col min="15116" max="15116" width="15.28515625" style="1" bestFit="1" customWidth="1"/>
    <col min="15117" max="15117" width="12.28515625" style="1" bestFit="1" customWidth="1"/>
    <col min="15118" max="15118" width="13.28515625" style="1" customWidth="1"/>
    <col min="15119" max="15119" width="6.7109375" style="1" customWidth="1"/>
    <col min="15120" max="15122" width="16.5703125" style="1" bestFit="1" customWidth="1"/>
    <col min="15123" max="15125" width="6.7109375" style="1" customWidth="1"/>
    <col min="15126" max="15127" width="16.5703125" style="1" bestFit="1" customWidth="1"/>
    <col min="15128" max="15128" width="6.7109375" style="1" customWidth="1"/>
    <col min="15129" max="15359" width="9.140625" style="1"/>
    <col min="15360" max="15360" width="72" style="1" customWidth="1"/>
    <col min="15361" max="15361" width="16.7109375" style="1" customWidth="1"/>
    <col min="15362" max="15362" width="16.140625" style="1" bestFit="1" customWidth="1"/>
    <col min="15363" max="15366" width="16.5703125" style="1" bestFit="1" customWidth="1"/>
    <col min="15367" max="15367" width="16.5703125" style="1" customWidth="1"/>
    <col min="15368" max="15369" width="16.5703125" style="1" bestFit="1" customWidth="1"/>
    <col min="15370" max="15370" width="16.5703125" style="1" customWidth="1"/>
    <col min="15371" max="15371" width="16.5703125" style="1" bestFit="1" customWidth="1"/>
    <col min="15372" max="15372" width="15.28515625" style="1" bestFit="1" customWidth="1"/>
    <col min="15373" max="15373" width="12.28515625" style="1" bestFit="1" customWidth="1"/>
    <col min="15374" max="15374" width="13.28515625" style="1" customWidth="1"/>
    <col min="15375" max="15375" width="6.7109375" style="1" customWidth="1"/>
    <col min="15376" max="15378" width="16.5703125" style="1" bestFit="1" customWidth="1"/>
    <col min="15379" max="15381" width="6.7109375" style="1" customWidth="1"/>
    <col min="15382" max="15383" width="16.5703125" style="1" bestFit="1" customWidth="1"/>
    <col min="15384" max="15384" width="6.7109375" style="1" customWidth="1"/>
    <col min="15385" max="15615" width="9.140625" style="1"/>
    <col min="15616" max="15616" width="72" style="1" customWidth="1"/>
    <col min="15617" max="15617" width="16.7109375" style="1" customWidth="1"/>
    <col min="15618" max="15618" width="16.140625" style="1" bestFit="1" customWidth="1"/>
    <col min="15619" max="15622" width="16.5703125" style="1" bestFit="1" customWidth="1"/>
    <col min="15623" max="15623" width="16.5703125" style="1" customWidth="1"/>
    <col min="15624" max="15625" width="16.5703125" style="1" bestFit="1" customWidth="1"/>
    <col min="15626" max="15626" width="16.5703125" style="1" customWidth="1"/>
    <col min="15627" max="15627" width="16.5703125" style="1" bestFit="1" customWidth="1"/>
    <col min="15628" max="15628" width="15.28515625" style="1" bestFit="1" customWidth="1"/>
    <col min="15629" max="15629" width="12.28515625" style="1" bestFit="1" customWidth="1"/>
    <col min="15630" max="15630" width="13.28515625" style="1" customWidth="1"/>
    <col min="15631" max="15631" width="6.7109375" style="1" customWidth="1"/>
    <col min="15632" max="15634" width="16.5703125" style="1" bestFit="1" customWidth="1"/>
    <col min="15635" max="15637" width="6.7109375" style="1" customWidth="1"/>
    <col min="15638" max="15639" width="16.5703125" style="1" bestFit="1" customWidth="1"/>
    <col min="15640" max="15640" width="6.7109375" style="1" customWidth="1"/>
    <col min="15641" max="15871" width="9.140625" style="1"/>
    <col min="15872" max="15872" width="72" style="1" customWidth="1"/>
    <col min="15873" max="15873" width="16.7109375" style="1" customWidth="1"/>
    <col min="15874" max="15874" width="16.140625" style="1" bestFit="1" customWidth="1"/>
    <col min="15875" max="15878" width="16.5703125" style="1" bestFit="1" customWidth="1"/>
    <col min="15879" max="15879" width="16.5703125" style="1" customWidth="1"/>
    <col min="15880" max="15881" width="16.5703125" style="1" bestFit="1" customWidth="1"/>
    <col min="15882" max="15882" width="16.5703125" style="1" customWidth="1"/>
    <col min="15883" max="15883" width="16.5703125" style="1" bestFit="1" customWidth="1"/>
    <col min="15884" max="15884" width="15.28515625" style="1" bestFit="1" customWidth="1"/>
    <col min="15885" max="15885" width="12.28515625" style="1" bestFit="1" customWidth="1"/>
    <col min="15886" max="15886" width="13.28515625" style="1" customWidth="1"/>
    <col min="15887" max="15887" width="6.7109375" style="1" customWidth="1"/>
    <col min="15888" max="15890" width="16.5703125" style="1" bestFit="1" customWidth="1"/>
    <col min="15891" max="15893" width="6.7109375" style="1" customWidth="1"/>
    <col min="15894" max="15895" width="16.5703125" style="1" bestFit="1" customWidth="1"/>
    <col min="15896" max="15896" width="6.7109375" style="1" customWidth="1"/>
    <col min="15897" max="16127" width="9.140625" style="1"/>
    <col min="16128" max="16128" width="72" style="1" customWidth="1"/>
    <col min="16129" max="16129" width="16.7109375" style="1" customWidth="1"/>
    <col min="16130" max="16130" width="16.140625" style="1" bestFit="1" customWidth="1"/>
    <col min="16131" max="16134" width="16.5703125" style="1" bestFit="1" customWidth="1"/>
    <col min="16135" max="16135" width="16.5703125" style="1" customWidth="1"/>
    <col min="16136" max="16137" width="16.5703125" style="1" bestFit="1" customWidth="1"/>
    <col min="16138" max="16138" width="16.5703125" style="1" customWidth="1"/>
    <col min="16139" max="16139" width="16.5703125" style="1" bestFit="1" customWidth="1"/>
    <col min="16140" max="16140" width="15.28515625" style="1" bestFit="1" customWidth="1"/>
    <col min="16141" max="16141" width="12.28515625" style="1" bestFit="1" customWidth="1"/>
    <col min="16142" max="16142" width="13.28515625" style="1" customWidth="1"/>
    <col min="16143" max="16143" width="6.7109375" style="1" customWidth="1"/>
    <col min="16144" max="16146" width="16.5703125" style="1" bestFit="1" customWidth="1"/>
    <col min="16147" max="16149" width="6.7109375" style="1" customWidth="1"/>
    <col min="16150" max="16151" width="16.5703125" style="1" bestFit="1" customWidth="1"/>
    <col min="16152" max="16152" width="6.7109375" style="1" customWidth="1"/>
    <col min="16153" max="16384" width="9.140625" style="1"/>
  </cols>
  <sheetData>
    <row r="1" spans="2:24" ht="15.75" x14ac:dyDescent="0.25">
      <c r="B1" s="131" t="s">
        <v>562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2:24" ht="15.75" x14ac:dyDescent="0.25">
      <c r="B2" s="131" t="s">
        <v>563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24" s="2" customFormat="1" ht="15.75" x14ac:dyDescent="0.25">
      <c r="B3" s="132" t="s">
        <v>570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S3" s="130" t="s">
        <v>302</v>
      </c>
      <c r="T3" s="130"/>
      <c r="U3" s="130"/>
      <c r="W3" s="130" t="s">
        <v>302</v>
      </c>
      <c r="X3" s="130"/>
    </row>
    <row r="4" spans="2:24" s="2" customFormat="1" ht="47.25" x14ac:dyDescent="0.25">
      <c r="B4" s="84" t="s">
        <v>303</v>
      </c>
      <c r="C4" s="84" t="s">
        <v>432</v>
      </c>
      <c r="D4" s="84" t="s">
        <v>431</v>
      </c>
      <c r="E4" s="84" t="s">
        <v>1</v>
      </c>
      <c r="F4" s="84" t="s">
        <v>304</v>
      </c>
      <c r="G4" s="84" t="s">
        <v>305</v>
      </c>
      <c r="H4" s="84" t="s">
        <v>306</v>
      </c>
      <c r="I4" s="84" t="s">
        <v>307</v>
      </c>
      <c r="J4" s="84" t="s">
        <v>554</v>
      </c>
      <c r="K4" s="84">
        <v>35</v>
      </c>
      <c r="L4" s="84">
        <v>43</v>
      </c>
      <c r="M4" s="84" t="s">
        <v>308</v>
      </c>
      <c r="N4" s="84" t="s">
        <v>309</v>
      </c>
      <c r="O4" s="84" t="s">
        <v>310</v>
      </c>
      <c r="P4" s="84" t="s">
        <v>311</v>
      </c>
      <c r="Q4" s="84" t="s">
        <v>312</v>
      </c>
      <c r="R4" s="4" t="s">
        <v>313</v>
      </c>
      <c r="S4" s="4" t="s">
        <v>314</v>
      </c>
      <c r="T4" s="4" t="s">
        <v>315</v>
      </c>
      <c r="U4" s="4" t="s">
        <v>316</v>
      </c>
      <c r="V4" s="4" t="s">
        <v>313</v>
      </c>
      <c r="W4" s="4" t="s">
        <v>317</v>
      </c>
      <c r="X4" s="4" t="s">
        <v>318</v>
      </c>
    </row>
    <row r="5" spans="2:24" s="2" customFormat="1" x14ac:dyDescent="0.25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s="2" customFormat="1" x14ac:dyDescent="0.25">
      <c r="B6" s="3" t="s">
        <v>319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s="2" customFormat="1" x14ac:dyDescent="0.25">
      <c r="B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2:24" x14ac:dyDescent="0.25">
      <c r="B8" s="6" t="str">
        <f>'Alloc Amt'!B8</f>
        <v>Ave. No Cust</v>
      </c>
      <c r="C8" s="6" t="str">
        <f>'Alloc Amt'!C8</f>
        <v>CUST_1</v>
      </c>
      <c r="D8" s="6">
        <f>'Alloc Amt'!D8</f>
        <v>1</v>
      </c>
      <c r="E8" s="125">
        <f>SUM(F8:Q8)</f>
        <v>0.99999999999999989</v>
      </c>
      <c r="F8" s="125">
        <f>'Alloc Amt'!F8/'Alloc Amt'!$E8</f>
        <v>0.8794841440665806</v>
      </c>
      <c r="G8" s="125">
        <f>'Alloc Amt'!G8/'Alloc Amt'!$E8</f>
        <v>0.10575226000860956</v>
      </c>
      <c r="H8" s="125">
        <f>'Alloc Amt'!H8/'Alloc Amt'!$E8</f>
        <v>6.830248242215526E-3</v>
      </c>
      <c r="I8" s="125">
        <f>'Alloc Amt'!I8/'Alloc Amt'!$E8</f>
        <v>6.9773281675993687E-4</v>
      </c>
      <c r="J8" s="125">
        <f>'Alloc Amt'!J8/'Alloc Amt'!$E8</f>
        <v>4.2599368632515426E-4</v>
      </c>
      <c r="K8" s="125">
        <f>'Alloc Amt'!K8/'Alloc Amt'!$E8</f>
        <v>8.9682881331611423E-7</v>
      </c>
      <c r="L8" s="125">
        <f>'Alloc Amt'!L8/'Alloc Amt'!$E8</f>
        <v>1.4169895250394605E-4</v>
      </c>
      <c r="M8" s="125">
        <f>'Alloc Amt'!M8/'Alloc Amt'!$E8</f>
        <v>1.4169895250394605E-4</v>
      </c>
      <c r="N8" s="125">
        <f>'Alloc Amt'!N8/'Alloc Amt'!$E8</f>
        <v>2.2420720332902856E-5</v>
      </c>
      <c r="O8" s="125">
        <f>'Alloc Amt'!O8/'Alloc Amt'!$E8</f>
        <v>1.4349261013057828E-5</v>
      </c>
      <c r="P8" s="125">
        <f>'Alloc Amt'!P8/'Alloc Amt'!$E8</f>
        <v>6.4813818338355575E-3</v>
      </c>
      <c r="Q8" s="125">
        <f>'Alloc Amt'!Q8/'Alloc Amt'!$E8</f>
        <v>7.1746305065289138E-6</v>
      </c>
      <c r="R8" s="159"/>
      <c r="S8" s="7"/>
      <c r="T8" s="7"/>
      <c r="U8" s="7"/>
      <c r="V8" s="7"/>
      <c r="W8" s="7"/>
      <c r="X8" s="7"/>
    </row>
    <row r="9" spans="2:24" x14ac:dyDescent="0.25">
      <c r="B9" s="6" t="str">
        <f>'Alloc Amt'!B9</f>
        <v>Ave No. Cust Incl RES &amp; SEC Only, No Sch 40</v>
      </c>
      <c r="C9" s="6" t="str">
        <f>'Alloc Amt'!C9</f>
        <v>CUST_2</v>
      </c>
      <c r="D9" s="6">
        <f>'Alloc Amt'!D9</f>
        <v>2</v>
      </c>
      <c r="E9" s="125">
        <f t="shared" ref="E9:E72" si="0">SUM(F9:Q9)</f>
        <v>0.99999999999999989</v>
      </c>
      <c r="F9" s="125">
        <f>'Alloc Amt'!F9/'Alloc Amt'!$E9</f>
        <v>0.88589413282359442</v>
      </c>
      <c r="G9" s="125">
        <f>'Alloc Amt'!G9/'Alloc Amt'!$E9</f>
        <v>0.10652301955243673</v>
      </c>
      <c r="H9" s="125">
        <f>'Alloc Amt'!H9/'Alloc Amt'!$E9</f>
        <v>6.8800294858406535E-3</v>
      </c>
      <c r="I9" s="125">
        <f>'Alloc Amt'!I9/'Alloc Amt'!$E9</f>
        <v>7.0281813812815498E-4</v>
      </c>
      <c r="J9" s="125">
        <f>'Alloc Amt'!J9/'Alloc Amt'!$E9</f>
        <v>0</v>
      </c>
      <c r="K9" s="125">
        <f>'Alloc Amt'!K9/'Alloc Amt'!$E9</f>
        <v>0</v>
      </c>
      <c r="L9" s="125">
        <f>'Alloc Amt'!L9/'Alloc Amt'!$E9</f>
        <v>0</v>
      </c>
      <c r="M9" s="125">
        <f>'Alloc Amt'!M9/'Alloc Amt'!$E9</f>
        <v>0</v>
      </c>
      <c r="N9" s="125">
        <f>'Alloc Amt'!N9/'Alloc Amt'!$E9</f>
        <v>0</v>
      </c>
      <c r="O9" s="125">
        <f>'Alloc Amt'!O9/'Alloc Amt'!$E9</f>
        <v>0</v>
      </c>
      <c r="P9" s="125">
        <f>'Alloc Amt'!P9/'Alloc Amt'!$E9</f>
        <v>0</v>
      </c>
      <c r="Q9" s="125">
        <f>'Alloc Amt'!Q9/'Alloc Amt'!$E9</f>
        <v>0</v>
      </c>
      <c r="R9" s="159"/>
      <c r="S9" s="7"/>
      <c r="T9" s="7"/>
      <c r="U9" s="7"/>
      <c r="V9" s="7"/>
      <c r="W9" s="7"/>
      <c r="X9" s="7"/>
    </row>
    <row r="10" spans="2:24" x14ac:dyDescent="0.25">
      <c r="B10" s="6" t="str">
        <f>'Alloc Amt'!B10</f>
        <v>Wtd. Ave. No. Cust. A/C 903 Customer Records Direct Assignment (Needs Proforma Adjustment)</v>
      </c>
      <c r="C10" s="6" t="str">
        <f>'Alloc Amt'!C10</f>
        <v>CUST_3</v>
      </c>
      <c r="D10" s="6">
        <f>'Alloc Amt'!D10</f>
        <v>3</v>
      </c>
      <c r="E10" s="125">
        <f t="shared" si="0"/>
        <v>0.99999999999999989</v>
      </c>
      <c r="F10" s="125">
        <f>'Alloc Amt'!F10/'Alloc Amt'!$E10</f>
        <v>0.86059902770567032</v>
      </c>
      <c r="G10" s="125">
        <f>'Alloc Amt'!G10/'Alloc Amt'!$E10</f>
        <v>0.1030159786713615</v>
      </c>
      <c r="H10" s="125">
        <f>'Alloc Amt'!H10/'Alloc Amt'!$E10</f>
        <v>8.5723928660649401E-3</v>
      </c>
      <c r="I10" s="125">
        <f>'Alloc Amt'!I10/'Alloc Amt'!$E10</f>
        <v>4.8011645092444896E-3</v>
      </c>
      <c r="J10" s="125">
        <f>'Alloc Amt'!J10/'Alloc Amt'!$E10</f>
        <v>1.6760111554002541E-3</v>
      </c>
      <c r="K10" s="125">
        <f>'Alloc Amt'!K10/'Alloc Amt'!$E10</f>
        <v>6.6219086378396233E-7</v>
      </c>
      <c r="L10" s="125">
        <f>'Alloc Amt'!L10/'Alloc Amt'!$E10</f>
        <v>2.200519972926063E-4</v>
      </c>
      <c r="M10" s="125">
        <f>'Alloc Amt'!M10/'Alloc Amt'!$E10</f>
        <v>3.1021829176614358E-3</v>
      </c>
      <c r="N10" s="125">
        <f>'Alloc Amt'!N10/'Alloc Amt'!$E10</f>
        <v>1.8912192230472675E-3</v>
      </c>
      <c r="O10" s="125">
        <f>'Alloc Amt'!O10/'Alloc Amt'!$E10</f>
        <v>1.1974362072856728E-2</v>
      </c>
      <c r="P10" s="125">
        <f>'Alloc Amt'!P10/'Alloc Amt'!$E10</f>
        <v>4.1459666983088396E-3</v>
      </c>
      <c r="Q10" s="125">
        <f>'Alloc Amt'!Q10/'Alloc Amt'!$E10</f>
        <v>9.7999222778922465E-7</v>
      </c>
      <c r="R10" s="159"/>
      <c r="S10" s="7"/>
      <c r="T10" s="7"/>
      <c r="U10" s="7"/>
      <c r="V10" s="7"/>
      <c r="W10" s="7"/>
      <c r="X10" s="7"/>
    </row>
    <row r="11" spans="2:24" x14ac:dyDescent="0.25">
      <c r="B11" s="6" t="str">
        <f>'Alloc Amt'!B11</f>
        <v>Meter Counts A/C 902</v>
      </c>
      <c r="C11" s="6" t="str">
        <f>'Alloc Amt'!C11</f>
        <v>CUST_4</v>
      </c>
      <c r="D11" s="6">
        <f>'Alloc Amt'!D11</f>
        <v>4</v>
      </c>
      <c r="E11" s="125">
        <f t="shared" si="0"/>
        <v>1</v>
      </c>
      <c r="F11" s="125">
        <f>'Alloc Amt'!F11/'Alloc Amt'!$E11</f>
        <v>0.878741383613311</v>
      </c>
      <c r="G11" s="125">
        <f>'Alloc Amt'!G11/'Alloc Amt'!$E11</f>
        <v>0.11268880476085023</v>
      </c>
      <c r="H11" s="125">
        <f>'Alloc Amt'!H11/'Alloc Amt'!$E11</f>
        <v>7.0240467929993285E-3</v>
      </c>
      <c r="I11" s="125">
        <f>'Alloc Amt'!I11/'Alloc Amt'!$E11</f>
        <v>7.162014432996938E-4</v>
      </c>
      <c r="J11" s="125">
        <f>'Alloc Amt'!J11/'Alloc Amt'!$E11</f>
        <v>4.3411473986509051E-4</v>
      </c>
      <c r="K11" s="125">
        <f>'Alloc Amt'!K11/'Alloc Amt'!$E11</f>
        <v>8.7877477705483907E-7</v>
      </c>
      <c r="L11" s="125">
        <f>'Alloc Amt'!L11/'Alloc Amt'!$E11</f>
        <v>1.4411906343699359E-4</v>
      </c>
      <c r="M11" s="125">
        <f>'Alloc Amt'!M11/'Alloc Amt'!$E11</f>
        <v>1.6696720764041941E-4</v>
      </c>
      <c r="N11" s="125">
        <f>'Alloc Amt'!N11/'Alloc Amt'!$E11</f>
        <v>3.2514666751029043E-5</v>
      </c>
      <c r="O11" s="125">
        <f>'Alloc Amt'!O11/'Alloc Amt'!$E11</f>
        <v>4.3059964075687116E-5</v>
      </c>
      <c r="P11" s="125">
        <f>'Alloc Amt'!P11/'Alloc Amt'!$E11</f>
        <v>0</v>
      </c>
      <c r="Q11" s="125">
        <f>'Alloc Amt'!Q11/'Alloc Amt'!$E11</f>
        <v>7.9089729934935515E-6</v>
      </c>
      <c r="R11" s="159"/>
      <c r="S11" s="7"/>
      <c r="T11" s="7"/>
      <c r="U11" s="7"/>
      <c r="V11" s="7"/>
      <c r="W11" s="7"/>
      <c r="X11" s="7"/>
    </row>
    <row r="12" spans="2:24" x14ac:dyDescent="0.25">
      <c r="B12" s="6" t="str">
        <f>'Alloc Amt'!B12</f>
        <v>Direct Assignment Schedule 40</v>
      </c>
      <c r="C12" s="6" t="str">
        <f>'Alloc Amt'!C12</f>
        <v>DIR_40</v>
      </c>
      <c r="D12" s="6">
        <f>'Alloc Amt'!D12</f>
        <v>5</v>
      </c>
      <c r="E12" s="125">
        <f t="shared" si="0"/>
        <v>1</v>
      </c>
      <c r="F12" s="125">
        <f>'Alloc Amt'!F12/'Alloc Amt'!$E12</f>
        <v>0</v>
      </c>
      <c r="G12" s="125">
        <f>'Alloc Amt'!G12/'Alloc Amt'!$E12</f>
        <v>0</v>
      </c>
      <c r="H12" s="125">
        <f>'Alloc Amt'!H12/'Alloc Amt'!$E12</f>
        <v>0</v>
      </c>
      <c r="I12" s="125">
        <f>'Alloc Amt'!I12/'Alloc Amt'!$E12</f>
        <v>0</v>
      </c>
      <c r="J12" s="125">
        <f>'Alloc Amt'!J12/'Alloc Amt'!$E12</f>
        <v>0</v>
      </c>
      <c r="K12" s="125">
        <f>'Alloc Amt'!K12/'Alloc Amt'!$E12</f>
        <v>0</v>
      </c>
      <c r="L12" s="125">
        <f>'Alloc Amt'!L12/'Alloc Amt'!$E12</f>
        <v>0</v>
      </c>
      <c r="M12" s="125">
        <f>'Alloc Amt'!M12/'Alloc Amt'!$E12</f>
        <v>1</v>
      </c>
      <c r="N12" s="125">
        <f>'Alloc Amt'!N12/'Alloc Amt'!$E12</f>
        <v>0</v>
      </c>
      <c r="O12" s="125">
        <f>'Alloc Amt'!O12/'Alloc Amt'!$E12</f>
        <v>0</v>
      </c>
      <c r="P12" s="125">
        <f>'Alloc Amt'!P12/'Alloc Amt'!$E12</f>
        <v>0</v>
      </c>
      <c r="Q12" s="125">
        <f>'Alloc Amt'!Q12/'Alloc Amt'!$E12</f>
        <v>0</v>
      </c>
      <c r="R12" s="159"/>
      <c r="S12" s="7"/>
      <c r="T12" s="7"/>
      <c r="U12" s="7"/>
      <c r="V12" s="7"/>
      <c r="W12" s="7"/>
      <c r="X12" s="7"/>
    </row>
    <row r="13" spans="2:24" x14ac:dyDescent="0.25">
      <c r="B13" s="6" t="str">
        <f>'Alloc Amt'!B13</f>
        <v>Schedule 449 / 459 Retail Revenue</v>
      </c>
      <c r="C13" s="6" t="str">
        <f>'Alloc Amt'!C13</f>
        <v>DIR_449</v>
      </c>
      <c r="D13" s="6">
        <f>'Alloc Amt'!D13</f>
        <v>6</v>
      </c>
      <c r="E13" s="125">
        <f t="shared" si="0"/>
        <v>1</v>
      </c>
      <c r="F13" s="125">
        <f>'Alloc Amt'!F13/'Alloc Amt'!$E13</f>
        <v>0</v>
      </c>
      <c r="G13" s="125">
        <f>'Alloc Amt'!G13/'Alloc Amt'!$E13</f>
        <v>0</v>
      </c>
      <c r="H13" s="125">
        <f>'Alloc Amt'!H13/'Alloc Amt'!$E13</f>
        <v>0</v>
      </c>
      <c r="I13" s="125">
        <f>'Alloc Amt'!I13/'Alloc Amt'!$E13</f>
        <v>0</v>
      </c>
      <c r="J13" s="125">
        <f>'Alloc Amt'!J13/'Alloc Amt'!$E13</f>
        <v>0</v>
      </c>
      <c r="K13" s="125">
        <f>'Alloc Amt'!K13/'Alloc Amt'!$E13</f>
        <v>0</v>
      </c>
      <c r="L13" s="125">
        <f>'Alloc Amt'!L13/'Alloc Amt'!$E13</f>
        <v>0</v>
      </c>
      <c r="M13" s="125">
        <f>'Alloc Amt'!M13/'Alloc Amt'!$E13</f>
        <v>0</v>
      </c>
      <c r="N13" s="125">
        <f>'Alloc Amt'!N13/'Alloc Amt'!$E13</f>
        <v>0</v>
      </c>
      <c r="O13" s="125">
        <f>'Alloc Amt'!O13/'Alloc Amt'!$E13</f>
        <v>1</v>
      </c>
      <c r="P13" s="125">
        <f>'Alloc Amt'!P13/'Alloc Amt'!$E13</f>
        <v>0</v>
      </c>
      <c r="Q13" s="125">
        <f>'Alloc Amt'!Q13/'Alloc Amt'!$E13</f>
        <v>0</v>
      </c>
      <c r="R13" s="159"/>
      <c r="S13" s="7"/>
      <c r="T13" s="7"/>
      <c r="U13" s="7"/>
      <c r="V13" s="7"/>
      <c r="W13" s="7"/>
      <c r="X13" s="7"/>
    </row>
    <row r="14" spans="2:24" x14ac:dyDescent="0.25">
      <c r="B14" s="6" t="str">
        <f>'Alloc Amt'!B14</f>
        <v>Transportation OATT Revenue</v>
      </c>
      <c r="C14" s="6" t="str">
        <f>'Alloc Amt'!C14</f>
        <v>DIR_449_OATT</v>
      </c>
      <c r="D14" s="6">
        <f>'Alloc Amt'!D14</f>
        <v>7</v>
      </c>
      <c r="E14" s="125">
        <f t="shared" si="0"/>
        <v>1</v>
      </c>
      <c r="F14" s="125">
        <f>'Alloc Amt'!F14/'Alloc Amt'!$E14</f>
        <v>0</v>
      </c>
      <c r="G14" s="125">
        <f>'Alloc Amt'!G14/'Alloc Amt'!$E14</f>
        <v>0</v>
      </c>
      <c r="H14" s="125">
        <f>'Alloc Amt'!H14/'Alloc Amt'!$E14</f>
        <v>0</v>
      </c>
      <c r="I14" s="125">
        <f>'Alloc Amt'!I14/'Alloc Amt'!$E14</f>
        <v>0</v>
      </c>
      <c r="J14" s="125">
        <f>'Alloc Amt'!J14/'Alloc Amt'!$E14</f>
        <v>0</v>
      </c>
      <c r="K14" s="125">
        <f>'Alloc Amt'!K14/'Alloc Amt'!$E14</f>
        <v>0</v>
      </c>
      <c r="L14" s="125">
        <f>'Alloc Amt'!L14/'Alloc Amt'!$E14</f>
        <v>0</v>
      </c>
      <c r="M14" s="125">
        <f>'Alloc Amt'!M14/'Alloc Amt'!$E14</f>
        <v>0</v>
      </c>
      <c r="N14" s="125">
        <f>'Alloc Amt'!N14/'Alloc Amt'!$E14</f>
        <v>0</v>
      </c>
      <c r="O14" s="125">
        <f>'Alloc Amt'!O14/'Alloc Amt'!$E14</f>
        <v>1</v>
      </c>
      <c r="P14" s="125">
        <f>'Alloc Amt'!P14/'Alloc Amt'!$E14</f>
        <v>0</v>
      </c>
      <c r="Q14" s="125">
        <f>'Alloc Amt'!Q14/'Alloc Amt'!$E14</f>
        <v>0</v>
      </c>
      <c r="R14" s="159"/>
      <c r="S14" s="7"/>
      <c r="T14" s="7"/>
      <c r="U14" s="7"/>
      <c r="V14" s="7"/>
      <c r="W14" s="7"/>
      <c r="X14" s="7"/>
    </row>
    <row r="15" spans="2:24" x14ac:dyDescent="0.25">
      <c r="B15" s="6" t="str">
        <f>'Alloc Amt'!B15</f>
        <v>Small Firm Resale Allocation Only</v>
      </c>
      <c r="C15" s="6" t="str">
        <f>'Alloc Amt'!C15</f>
        <v>DIR_RESALE_SMALL</v>
      </c>
      <c r="D15" s="6">
        <f>'Alloc Amt'!D15</f>
        <v>8</v>
      </c>
      <c r="E15" s="125">
        <f t="shared" si="0"/>
        <v>1</v>
      </c>
      <c r="F15" s="125">
        <f>'Alloc Amt'!F15/'Alloc Amt'!$E15</f>
        <v>0</v>
      </c>
      <c r="G15" s="125">
        <f>'Alloc Amt'!G15/'Alloc Amt'!$E15</f>
        <v>0</v>
      </c>
      <c r="H15" s="125">
        <f>'Alloc Amt'!H15/'Alloc Amt'!$E15</f>
        <v>0</v>
      </c>
      <c r="I15" s="125">
        <f>'Alloc Amt'!I15/'Alloc Amt'!$E15</f>
        <v>0</v>
      </c>
      <c r="J15" s="125">
        <f>'Alloc Amt'!J15/'Alloc Amt'!$E15</f>
        <v>0</v>
      </c>
      <c r="K15" s="125">
        <f>'Alloc Amt'!K15/'Alloc Amt'!$E15</f>
        <v>0</v>
      </c>
      <c r="L15" s="125">
        <f>'Alloc Amt'!L15/'Alloc Amt'!$E15</f>
        <v>0</v>
      </c>
      <c r="M15" s="125">
        <f>'Alloc Amt'!M15/'Alloc Amt'!$E15</f>
        <v>0</v>
      </c>
      <c r="N15" s="125">
        <f>'Alloc Amt'!N15/'Alloc Amt'!$E15</f>
        <v>0</v>
      </c>
      <c r="O15" s="125">
        <f>'Alloc Amt'!O15/'Alloc Amt'!$E15</f>
        <v>0</v>
      </c>
      <c r="P15" s="125">
        <f>'Alloc Amt'!P15/'Alloc Amt'!$E15</f>
        <v>0</v>
      </c>
      <c r="Q15" s="125">
        <f>'Alloc Amt'!Q15/'Alloc Amt'!$E15</f>
        <v>1</v>
      </c>
      <c r="R15" s="159"/>
      <c r="S15" s="7"/>
      <c r="T15" s="7"/>
      <c r="U15" s="7"/>
      <c r="V15" s="7"/>
      <c r="W15" s="7"/>
      <c r="X15" s="7"/>
    </row>
    <row r="16" spans="2:24" x14ac:dyDescent="0.25">
      <c r="B16" s="6" t="str">
        <f>'Alloc Amt'!B16</f>
        <v>Customer Deposits</v>
      </c>
      <c r="C16" s="6" t="str">
        <f>'Alloc Amt'!C16</f>
        <v>DIR235.00</v>
      </c>
      <c r="D16" s="6">
        <f>'Alloc Amt'!D16</f>
        <v>9</v>
      </c>
      <c r="E16" s="125">
        <f t="shared" si="0"/>
        <v>1</v>
      </c>
      <c r="F16" s="125">
        <f>'Alloc Amt'!F16/'Alloc Amt'!$E16</f>
        <v>0.87236121576363324</v>
      </c>
      <c r="G16" s="125">
        <f>'Alloc Amt'!G16/'Alloc Amt'!$E16</f>
        <v>7.6723449522767523E-2</v>
      </c>
      <c r="H16" s="125">
        <f>'Alloc Amt'!H16/'Alloc Amt'!$E16</f>
        <v>3.3598073794129907E-2</v>
      </c>
      <c r="I16" s="125">
        <f>'Alloc Amt'!I16/'Alloc Amt'!$E16</f>
        <v>1.4828821316221204E-2</v>
      </c>
      <c r="J16" s="125">
        <f>'Alloc Amt'!J16/'Alloc Amt'!$E16</f>
        <v>1.233162390285302E-3</v>
      </c>
      <c r="K16" s="125">
        <f>'Alloc Amt'!K16/'Alloc Amt'!$E16</f>
        <v>0</v>
      </c>
      <c r="L16" s="125">
        <f>'Alloc Amt'!L16/'Alloc Amt'!$E16</f>
        <v>0</v>
      </c>
      <c r="M16" s="125">
        <f>'Alloc Amt'!M16/'Alloc Amt'!$E16</f>
        <v>1.2399972153619982E-5</v>
      </c>
      <c r="N16" s="125">
        <f>'Alloc Amt'!N16/'Alloc Amt'!$E16</f>
        <v>0</v>
      </c>
      <c r="O16" s="125">
        <f>'Alloc Amt'!O16/'Alloc Amt'!$E16</f>
        <v>0</v>
      </c>
      <c r="P16" s="125">
        <f>'Alloc Amt'!P16/'Alloc Amt'!$E16</f>
        <v>1.2428772408092739E-3</v>
      </c>
      <c r="Q16" s="125">
        <f>'Alloc Amt'!Q16/'Alloc Amt'!$E16</f>
        <v>0</v>
      </c>
      <c r="R16" s="159"/>
      <c r="S16" s="7"/>
      <c r="T16" s="7"/>
      <c r="U16" s="7"/>
      <c r="V16" s="7"/>
      <c r="W16" s="7"/>
      <c r="X16" s="7"/>
    </row>
    <row r="17" spans="2:24" x14ac:dyDescent="0.25">
      <c r="B17" s="6" t="str">
        <f>'Alloc Amt'!B17</f>
        <v>Customer Advances</v>
      </c>
      <c r="C17" s="6" t="str">
        <f>'Alloc Amt'!C17</f>
        <v>DIR252.00</v>
      </c>
      <c r="D17" s="6">
        <f>'Alloc Amt'!D17</f>
        <v>10</v>
      </c>
      <c r="E17" s="125">
        <f t="shared" si="0"/>
        <v>1</v>
      </c>
      <c r="F17" s="125">
        <f>'Alloc Amt'!F17/'Alloc Amt'!$E17</f>
        <v>0.386930567259474</v>
      </c>
      <c r="G17" s="125">
        <f>'Alloc Amt'!G17/'Alloc Amt'!$E17</f>
        <v>0.57224925141572025</v>
      </c>
      <c r="H17" s="125">
        <f>'Alloc Amt'!H17/'Alloc Amt'!$E17</f>
        <v>3.7010880048061481E-2</v>
      </c>
      <c r="I17" s="125">
        <f>'Alloc Amt'!I17/'Alloc Amt'!$E17</f>
        <v>3.8093012767442327E-3</v>
      </c>
      <c r="J17" s="125">
        <f>'Alloc Amt'!J17/'Alloc Amt'!$E17</f>
        <v>0</v>
      </c>
      <c r="K17" s="125">
        <f>'Alloc Amt'!K17/'Alloc Amt'!$E17</f>
        <v>0</v>
      </c>
      <c r="L17" s="125">
        <f>'Alloc Amt'!L17/'Alloc Amt'!$E17</f>
        <v>0</v>
      </c>
      <c r="M17" s="125">
        <f>'Alloc Amt'!M17/'Alloc Amt'!$E17</f>
        <v>0</v>
      </c>
      <c r="N17" s="125">
        <f>'Alloc Amt'!N17/'Alloc Amt'!$E17</f>
        <v>0</v>
      </c>
      <c r="O17" s="125">
        <f>'Alloc Amt'!O17/'Alloc Amt'!$E17</f>
        <v>0</v>
      </c>
      <c r="P17" s="125">
        <f>'Alloc Amt'!P17/'Alloc Amt'!$E17</f>
        <v>0</v>
      </c>
      <c r="Q17" s="125">
        <f>'Alloc Amt'!Q17/'Alloc Amt'!$E17</f>
        <v>0</v>
      </c>
      <c r="R17" s="159"/>
      <c r="S17" s="7"/>
      <c r="T17" s="7"/>
      <c r="U17" s="7"/>
      <c r="V17" s="7"/>
      <c r="W17" s="7"/>
      <c r="X17" s="7"/>
    </row>
    <row r="18" spans="2:24" x14ac:dyDescent="0.25">
      <c r="B18" s="6" t="str">
        <f>'Alloc Amt'!B18</f>
        <v>Line Transformers - Customer Related</v>
      </c>
      <c r="C18" s="6" t="str">
        <f>'Alloc Amt'!C18</f>
        <v>DIR368.03C</v>
      </c>
      <c r="D18" s="6">
        <f>'Alloc Amt'!D18</f>
        <v>11</v>
      </c>
      <c r="E18" s="125">
        <f t="shared" si="0"/>
        <v>1</v>
      </c>
      <c r="F18" s="125">
        <f>'Alloc Amt'!F18/'Alloc Amt'!$E18</f>
        <v>0</v>
      </c>
      <c r="G18" s="125">
        <f>'Alloc Amt'!G18/'Alloc Amt'!$E18</f>
        <v>0</v>
      </c>
      <c r="H18" s="125">
        <f>'Alloc Amt'!H18/'Alloc Amt'!$E18</f>
        <v>0</v>
      </c>
      <c r="I18" s="125">
        <f>'Alloc Amt'!I18/'Alloc Amt'!$E18</f>
        <v>0</v>
      </c>
      <c r="J18" s="125">
        <f>'Alloc Amt'!J18/'Alloc Amt'!$E18</f>
        <v>0.252533005788799</v>
      </c>
      <c r="K18" s="125">
        <f>'Alloc Amt'!K18/'Alloc Amt'!$E18</f>
        <v>0</v>
      </c>
      <c r="L18" s="125">
        <f>'Alloc Amt'!L18/'Alloc Amt'!$E18</f>
        <v>1.4665641398391188E-2</v>
      </c>
      <c r="M18" s="125">
        <f>'Alloc Amt'!M18/'Alloc Amt'!$E18</f>
        <v>0.72678072931424575</v>
      </c>
      <c r="N18" s="125">
        <f>'Alloc Amt'!N18/'Alloc Amt'!$E18</f>
        <v>0</v>
      </c>
      <c r="O18" s="125">
        <f>'Alloc Amt'!O18/'Alloc Amt'!$E18</f>
        <v>0</v>
      </c>
      <c r="P18" s="125">
        <f>'Alloc Amt'!P18/'Alloc Amt'!$E18</f>
        <v>0</v>
      </c>
      <c r="Q18" s="125">
        <f>'Alloc Amt'!Q18/'Alloc Amt'!$E18</f>
        <v>6.0206234985641059E-3</v>
      </c>
      <c r="R18" s="159"/>
      <c r="S18" s="7"/>
      <c r="T18" s="7"/>
      <c r="U18" s="7"/>
      <c r="V18" s="7"/>
      <c r="W18" s="7"/>
      <c r="X18" s="7"/>
    </row>
    <row r="19" spans="2:24" x14ac:dyDescent="0.25">
      <c r="B19" s="6" t="str">
        <f>'Alloc Amt'!B19</f>
        <v>Str. &amp; Signal Systems</v>
      </c>
      <c r="C19" s="6" t="str">
        <f>'Alloc Amt'!C19</f>
        <v>DIR373.00</v>
      </c>
      <c r="D19" s="6">
        <f>'Alloc Amt'!D19</f>
        <v>12</v>
      </c>
      <c r="E19" s="125">
        <f t="shared" si="0"/>
        <v>1</v>
      </c>
      <c r="F19" s="125">
        <f>'Alloc Amt'!F19/'Alloc Amt'!$E19</f>
        <v>0</v>
      </c>
      <c r="G19" s="125">
        <f>'Alloc Amt'!G19/'Alloc Amt'!$E19</f>
        <v>0</v>
      </c>
      <c r="H19" s="125">
        <f>'Alloc Amt'!H19/'Alloc Amt'!$E19</f>
        <v>0</v>
      </c>
      <c r="I19" s="125">
        <f>'Alloc Amt'!I19/'Alloc Amt'!$E19</f>
        <v>0</v>
      </c>
      <c r="J19" s="125">
        <f>'Alloc Amt'!J19/'Alloc Amt'!$E19</f>
        <v>0</v>
      </c>
      <c r="K19" s="125">
        <f>'Alloc Amt'!K19/'Alloc Amt'!$E19</f>
        <v>0</v>
      </c>
      <c r="L19" s="125">
        <f>'Alloc Amt'!L19/'Alloc Amt'!$E19</f>
        <v>0</v>
      </c>
      <c r="M19" s="125">
        <f>'Alloc Amt'!M19/'Alloc Amt'!$E19</f>
        <v>0</v>
      </c>
      <c r="N19" s="125">
        <f>'Alloc Amt'!N19/'Alloc Amt'!$E19</f>
        <v>0</v>
      </c>
      <c r="O19" s="125">
        <f>'Alloc Amt'!O19/'Alloc Amt'!$E19</f>
        <v>0</v>
      </c>
      <c r="P19" s="125">
        <f>'Alloc Amt'!P19/'Alloc Amt'!$E19</f>
        <v>1</v>
      </c>
      <c r="Q19" s="125">
        <f>'Alloc Amt'!Q19/'Alloc Amt'!$E19</f>
        <v>0</v>
      </c>
      <c r="R19" s="159"/>
      <c r="S19" s="7"/>
      <c r="T19" s="7"/>
      <c r="U19" s="7"/>
      <c r="V19" s="7"/>
      <c r="W19" s="7"/>
      <c r="X19" s="7"/>
    </row>
    <row r="20" spans="2:24" x14ac:dyDescent="0.25">
      <c r="B20" s="6" t="str">
        <f>'Alloc Amt'!B20</f>
        <v>Late Payment Interest Rev</v>
      </c>
      <c r="C20" s="6" t="str">
        <f>'Alloc Amt'!C20</f>
        <v>DIR450.01</v>
      </c>
      <c r="D20" s="6">
        <f>'Alloc Amt'!D20</f>
        <v>13</v>
      </c>
      <c r="E20" s="125">
        <f t="shared" si="0"/>
        <v>1.0000000000000002</v>
      </c>
      <c r="F20" s="125">
        <f>'Alloc Amt'!F20/'Alloc Amt'!$E20</f>
        <v>0.78488838431857766</v>
      </c>
      <c r="G20" s="125">
        <f>'Alloc Amt'!G20/'Alloc Amt'!$E20</f>
        <v>0.12843247058086463</v>
      </c>
      <c r="H20" s="125">
        <f>'Alloc Amt'!H20/'Alloc Amt'!$E20</f>
        <v>3.0539008571290233E-2</v>
      </c>
      <c r="I20" s="125">
        <f>'Alloc Amt'!I20/'Alloc Amt'!$E20</f>
        <v>1.0229810162920641E-2</v>
      </c>
      <c r="J20" s="125">
        <f>'Alloc Amt'!J20/'Alloc Amt'!$E20</f>
        <v>1.4036725202949359E-2</v>
      </c>
      <c r="K20" s="125">
        <f>'Alloc Amt'!K20/'Alloc Amt'!$E20</f>
        <v>0</v>
      </c>
      <c r="L20" s="125">
        <f>'Alloc Amt'!L20/'Alloc Amt'!$E20</f>
        <v>2.5931703745711446E-3</v>
      </c>
      <c r="M20" s="125">
        <f>'Alloc Amt'!M20/'Alloc Amt'!$E20</f>
        <v>-1.6681485956524553E-4</v>
      </c>
      <c r="N20" s="125">
        <f>'Alloc Amt'!N20/'Alloc Amt'!$E20</f>
        <v>3.4794002042230618E-3</v>
      </c>
      <c r="O20" s="125">
        <f>'Alloc Amt'!O20/'Alloc Amt'!$E20</f>
        <v>-5.9112878984022877E-6</v>
      </c>
      <c r="P20" s="125">
        <f>'Alloc Amt'!P20/'Alloc Amt'!$E20</f>
        <v>2.5952733749155226E-2</v>
      </c>
      <c r="Q20" s="125">
        <f>'Alloc Amt'!Q20/'Alloc Amt'!$E20</f>
        <v>2.102298291183569E-5</v>
      </c>
      <c r="R20" s="159"/>
      <c r="S20" s="7"/>
      <c r="T20" s="7"/>
      <c r="U20" s="7"/>
      <c r="V20" s="7"/>
      <c r="W20" s="7"/>
      <c r="X20" s="7"/>
    </row>
    <row r="21" spans="2:24" x14ac:dyDescent="0.25">
      <c r="B21" s="6" t="str">
        <f>'Alloc Amt'!B21</f>
        <v>Direct Assign Disconnect Call - A/C 450.02</v>
      </c>
      <c r="C21" s="6" t="str">
        <f>'Alloc Amt'!C21</f>
        <v>DIR450.02</v>
      </c>
      <c r="D21" s="6">
        <f>'Alloc Amt'!D21</f>
        <v>14</v>
      </c>
      <c r="E21" s="125">
        <f t="shared" si="0"/>
        <v>1.0000000000000002</v>
      </c>
      <c r="F21" s="125">
        <f>'Alloc Amt'!F21/'Alloc Amt'!$E21</f>
        <v>0.96617231797462588</v>
      </c>
      <c r="G21" s="125">
        <f>'Alloc Amt'!G21/'Alloc Amt'!$E21</f>
        <v>3.3432923026539177E-2</v>
      </c>
      <c r="H21" s="125">
        <f>'Alloc Amt'!H21/'Alloc Amt'!$E21</f>
        <v>1.3320048221493301E-4</v>
      </c>
      <c r="I21" s="125">
        <f>'Alloc Amt'!I21/'Alloc Amt'!$E21</f>
        <v>0</v>
      </c>
      <c r="J21" s="125">
        <f>'Alloc Amt'!J21/'Alloc Amt'!$E21</f>
        <v>0</v>
      </c>
      <c r="K21" s="125">
        <f>'Alloc Amt'!K21/'Alloc Amt'!$E21</f>
        <v>0</v>
      </c>
      <c r="L21" s="125">
        <f>'Alloc Amt'!L21/'Alloc Amt'!$E21</f>
        <v>0</v>
      </c>
      <c r="M21" s="125">
        <f>'Alloc Amt'!M21/'Alloc Amt'!$E21</f>
        <v>0</v>
      </c>
      <c r="N21" s="125">
        <f>'Alloc Amt'!N21/'Alloc Amt'!$E21</f>
        <v>0</v>
      </c>
      <c r="O21" s="125">
        <f>'Alloc Amt'!O21/'Alloc Amt'!$E21</f>
        <v>0</v>
      </c>
      <c r="P21" s="125">
        <f>'Alloc Amt'!P21/'Alloc Amt'!$E21</f>
        <v>2.6155851662025938E-4</v>
      </c>
      <c r="Q21" s="125">
        <f>'Alloc Amt'!Q21/'Alloc Amt'!$E21</f>
        <v>0</v>
      </c>
      <c r="R21" s="159"/>
      <c r="S21" s="7"/>
      <c r="T21" s="7"/>
      <c r="U21" s="7"/>
      <c r="V21" s="7"/>
      <c r="W21" s="7"/>
      <c r="X21" s="7"/>
    </row>
    <row r="22" spans="2:24" x14ac:dyDescent="0.25">
      <c r="B22" s="6" t="str">
        <f>'Alloc Amt'!B22</f>
        <v>Connect/Reconnect Revenue</v>
      </c>
      <c r="C22" s="6" t="str">
        <f>'Alloc Amt'!C22</f>
        <v>DIR451.02</v>
      </c>
      <c r="D22" s="6">
        <f>'Alloc Amt'!D22</f>
        <v>15</v>
      </c>
      <c r="E22" s="125">
        <f t="shared" si="0"/>
        <v>0.99999999999999989</v>
      </c>
      <c r="F22" s="125">
        <f>'Alloc Amt'!F22/'Alloc Amt'!$E22</f>
        <v>0.97587076693427399</v>
      </c>
      <c r="G22" s="125">
        <f>'Alloc Amt'!G22/'Alloc Amt'!$E22</f>
        <v>2.3708946307238358E-2</v>
      </c>
      <c r="H22" s="125">
        <f>'Alloc Amt'!H22/'Alloc Amt'!$E22</f>
        <v>4.2028675848752249E-4</v>
      </c>
      <c r="I22" s="125">
        <f>'Alloc Amt'!I22/'Alloc Amt'!$E22</f>
        <v>0</v>
      </c>
      <c r="J22" s="125">
        <f>'Alloc Amt'!J22/'Alloc Amt'!$E22</f>
        <v>0</v>
      </c>
      <c r="K22" s="125">
        <f>'Alloc Amt'!K22/'Alloc Amt'!$E22</f>
        <v>0</v>
      </c>
      <c r="L22" s="125">
        <f>'Alloc Amt'!L22/'Alloc Amt'!$E22</f>
        <v>0</v>
      </c>
      <c r="M22" s="125">
        <f>'Alloc Amt'!M22/'Alloc Amt'!$E22</f>
        <v>0</v>
      </c>
      <c r="N22" s="125">
        <f>'Alloc Amt'!N22/'Alloc Amt'!$E22</f>
        <v>0</v>
      </c>
      <c r="O22" s="125">
        <f>'Alloc Amt'!O22/'Alloc Amt'!$E22</f>
        <v>0</v>
      </c>
      <c r="P22" s="125">
        <f>'Alloc Amt'!P22/'Alloc Amt'!$E22</f>
        <v>0</v>
      </c>
      <c r="Q22" s="125">
        <f>'Alloc Amt'!Q22/'Alloc Amt'!$E22</f>
        <v>0</v>
      </c>
      <c r="R22" s="159"/>
      <c r="S22" s="7"/>
      <c r="T22" s="7"/>
      <c r="U22" s="7"/>
      <c r="V22" s="7"/>
      <c r="W22" s="7"/>
      <c r="X22" s="7"/>
    </row>
    <row r="23" spans="2:24" x14ac:dyDescent="0.25">
      <c r="B23" s="6" t="str">
        <f>'Alloc Amt'!B23</f>
        <v>Billing Initiation Charge</v>
      </c>
      <c r="C23" s="6" t="str">
        <f>'Alloc Amt'!C23</f>
        <v>DIR451.05</v>
      </c>
      <c r="D23" s="6">
        <f>'Alloc Amt'!D23</f>
        <v>16</v>
      </c>
      <c r="E23" s="125">
        <f t="shared" si="0"/>
        <v>0.99999999999999989</v>
      </c>
      <c r="F23" s="125">
        <f>'Alloc Amt'!F23/'Alloc Amt'!$E23</f>
        <v>0.91588908322946017</v>
      </c>
      <c r="G23" s="125">
        <f>'Alloc Amt'!G23/'Alloc Amt'!$E23</f>
        <v>8.1694590819096885E-2</v>
      </c>
      <c r="H23" s="125">
        <f>'Alloc Amt'!H23/'Alloc Amt'!$E23</f>
        <v>1.9943430379136214E-3</v>
      </c>
      <c r="I23" s="125">
        <f>'Alloc Amt'!I23/'Alloc Amt'!$E23</f>
        <v>2.5979122521953242E-4</v>
      </c>
      <c r="J23" s="125">
        <f>'Alloc Amt'!J23/'Alloc Amt'!$E23</f>
        <v>5.6904784825780525E-5</v>
      </c>
      <c r="K23" s="125">
        <f>'Alloc Amt'!K23/'Alloc Amt'!$E23</f>
        <v>0</v>
      </c>
      <c r="L23" s="125">
        <f>'Alloc Amt'!L23/'Alloc Amt'!$E23</f>
        <v>4.2482815277044867E-6</v>
      </c>
      <c r="M23" s="125">
        <f>'Alloc Amt'!M23/'Alloc Amt'!$E23</f>
        <v>9.7057897329568088E-5</v>
      </c>
      <c r="N23" s="125">
        <f>'Alloc Amt'!N23/'Alloc Amt'!$E23</f>
        <v>3.9807246265740961E-6</v>
      </c>
      <c r="O23" s="125">
        <f>'Alloc Amt'!O23/'Alloc Amt'!$E23</f>
        <v>0</v>
      </c>
      <c r="P23" s="125">
        <f>'Alloc Amt'!P23/'Alloc Amt'!$E23</f>
        <v>0</v>
      </c>
      <c r="Q23" s="125">
        <f>'Alloc Amt'!Q23/'Alloc Amt'!$E23</f>
        <v>0</v>
      </c>
      <c r="R23" s="159"/>
      <c r="S23" s="7"/>
      <c r="T23" s="7"/>
      <c r="U23" s="7"/>
      <c r="V23" s="7"/>
      <c r="W23" s="7"/>
      <c r="X23" s="7"/>
    </row>
    <row r="24" spans="2:24" x14ac:dyDescent="0.25">
      <c r="B24" s="6" t="str">
        <f>'Alloc Amt'!B24</f>
        <v>NSF Check Charge Revenue</v>
      </c>
      <c r="C24" s="6" t="str">
        <f>'Alloc Amt'!C24</f>
        <v>DIR451.06</v>
      </c>
      <c r="D24" s="6">
        <f>'Alloc Amt'!D24</f>
        <v>17</v>
      </c>
      <c r="E24" s="125">
        <f t="shared" si="0"/>
        <v>1.0000000000000004</v>
      </c>
      <c r="F24" s="125">
        <f>'Alloc Amt'!F24/'Alloc Amt'!$E24</f>
        <v>-0.88887529315794878</v>
      </c>
      <c r="G24" s="125">
        <f>'Alloc Amt'!G24/'Alloc Amt'!$E24</f>
        <v>1.9602120934026721</v>
      </c>
      <c r="H24" s="125">
        <f>'Alloc Amt'!H24/'Alloc Amt'!$E24</f>
        <v>-5.4002243295605185E-2</v>
      </c>
      <c r="I24" s="125">
        <f>'Alloc Amt'!I24/'Alloc Amt'!$E24</f>
        <v>-1.733455694911798E-2</v>
      </c>
      <c r="J24" s="125">
        <f>'Alloc Amt'!J24/'Alloc Amt'!$E24</f>
        <v>0</v>
      </c>
      <c r="K24" s="125">
        <f>'Alloc Amt'!K24/'Alloc Amt'!$E24</f>
        <v>0</v>
      </c>
      <c r="L24" s="125">
        <f>'Alloc Amt'!L24/'Alloc Amt'!$E24</f>
        <v>0</v>
      </c>
      <c r="M24" s="125">
        <f>'Alloc Amt'!M24/'Alloc Amt'!$E24</f>
        <v>0</v>
      </c>
      <c r="N24" s="125">
        <f>'Alloc Amt'!N24/'Alloc Amt'!$E24</f>
        <v>0</v>
      </c>
      <c r="O24" s="125">
        <f>'Alloc Amt'!O24/'Alloc Amt'!$E24</f>
        <v>0</v>
      </c>
      <c r="P24" s="125">
        <f>'Alloc Amt'!P24/'Alloc Amt'!$E24</f>
        <v>0</v>
      </c>
      <c r="Q24" s="125">
        <f>'Alloc Amt'!Q24/'Alloc Amt'!$E24</f>
        <v>0</v>
      </c>
      <c r="R24" s="159"/>
      <c r="S24" s="7"/>
      <c r="T24" s="7"/>
      <c r="U24" s="7"/>
      <c r="V24" s="7"/>
      <c r="W24" s="7"/>
      <c r="X24" s="7"/>
    </row>
    <row r="25" spans="2:24" x14ac:dyDescent="0.25">
      <c r="B25" s="6" t="str">
        <f>'Alloc Amt'!B25</f>
        <v>Direct Assign 904 Uncollectibles</v>
      </c>
      <c r="C25" s="6" t="str">
        <f>'Alloc Amt'!C25</f>
        <v>DIR904.00</v>
      </c>
      <c r="D25" s="6">
        <f>'Alloc Amt'!D25</f>
        <v>18</v>
      </c>
      <c r="E25" s="125">
        <f t="shared" si="0"/>
        <v>0.99999999999999989</v>
      </c>
      <c r="F25" s="125">
        <f>'Alloc Amt'!F25/'Alloc Amt'!$E25</f>
        <v>0.8891505580192306</v>
      </c>
      <c r="G25" s="125">
        <f>'Alloc Amt'!G25/'Alloc Amt'!$E25</f>
        <v>7.0753466766378753E-2</v>
      </c>
      <c r="H25" s="125">
        <f>'Alloc Amt'!H25/'Alloc Amt'!$E25</f>
        <v>2.1983879713718579E-2</v>
      </c>
      <c r="I25" s="125">
        <f>'Alloc Amt'!I25/'Alloc Amt'!$E25</f>
        <v>1.55786016290759E-2</v>
      </c>
      <c r="J25" s="125">
        <f>'Alloc Amt'!J25/'Alloc Amt'!$E25</f>
        <v>1.0290264859527129E-4</v>
      </c>
      <c r="K25" s="125">
        <f>'Alloc Amt'!K25/'Alloc Amt'!$E25</f>
        <v>0</v>
      </c>
      <c r="L25" s="125">
        <f>'Alloc Amt'!L25/'Alloc Amt'!$E25</f>
        <v>0</v>
      </c>
      <c r="M25" s="125">
        <f>'Alloc Amt'!M25/'Alloc Amt'!$E25</f>
        <v>0</v>
      </c>
      <c r="N25" s="125">
        <f>'Alloc Amt'!N25/'Alloc Amt'!$E25</f>
        <v>0</v>
      </c>
      <c r="O25" s="125">
        <f>'Alloc Amt'!O25/'Alloc Amt'!$E25</f>
        <v>0</v>
      </c>
      <c r="P25" s="125">
        <f>'Alloc Amt'!P25/'Alloc Amt'!$E25</f>
        <v>2.4305912230008263E-3</v>
      </c>
      <c r="Q25" s="125">
        <f>'Alloc Amt'!Q25/'Alloc Amt'!$E25</f>
        <v>0</v>
      </c>
      <c r="R25" s="159"/>
      <c r="S25" s="7"/>
      <c r="T25" s="7"/>
      <c r="U25" s="7"/>
      <c r="V25" s="7"/>
      <c r="W25" s="7"/>
      <c r="X25" s="7"/>
    </row>
    <row r="26" spans="2:24" x14ac:dyDescent="0.25">
      <c r="B26" s="6" t="str">
        <f>'Alloc Amt'!B26</f>
        <v>Meter Investment</v>
      </c>
      <c r="C26" s="6" t="str">
        <f>'Alloc Amt'!C26</f>
        <v>METER</v>
      </c>
      <c r="D26" s="6">
        <f>'Alloc Amt'!D26</f>
        <v>19</v>
      </c>
      <c r="E26" s="125">
        <f t="shared" si="0"/>
        <v>1</v>
      </c>
      <c r="F26" s="125">
        <f>'Alloc Amt'!F26/'Alloc Amt'!$E26</f>
        <v>0.65017083726185199</v>
      </c>
      <c r="G26" s="125">
        <f>'Alloc Amt'!G26/'Alloc Amt'!$E26</f>
        <v>0.18423455039321676</v>
      </c>
      <c r="H26" s="125">
        <f>'Alloc Amt'!H26/'Alloc Amt'!$E26</f>
        <v>5.0043614759020409E-2</v>
      </c>
      <c r="I26" s="125">
        <f>'Alloc Amt'!I26/'Alloc Amt'!$E26</f>
        <v>5.6667878432113189E-3</v>
      </c>
      <c r="J26" s="125">
        <f>'Alloc Amt'!J26/'Alloc Amt'!$E26</f>
        <v>7.0326999653849351E-2</v>
      </c>
      <c r="K26" s="125">
        <f>'Alloc Amt'!K26/'Alloc Amt'!$E26</f>
        <v>1.6527322091635006E-4</v>
      </c>
      <c r="L26" s="125">
        <f>'Alloc Amt'!L26/'Alloc Amt'!$E26</f>
        <v>2.4581357779955966E-2</v>
      </c>
      <c r="M26" s="125">
        <f>'Alloc Amt'!M26/'Alloc Amt'!$E26</f>
        <v>5.9486741585833194E-3</v>
      </c>
      <c r="N26" s="125">
        <f>'Alloc Amt'!N26/'Alloc Amt'!$E26</f>
        <v>3.0782353480524266E-3</v>
      </c>
      <c r="O26" s="125">
        <f>'Alloc Amt'!O26/'Alloc Amt'!$E26</f>
        <v>4.322814960327743E-3</v>
      </c>
      <c r="P26" s="125">
        <f>'Alloc Amt'!P26/'Alloc Amt'!$E26</f>
        <v>0</v>
      </c>
      <c r="Q26" s="125">
        <f>'Alloc Amt'!Q26/'Alloc Amt'!$E26</f>
        <v>1.4608546210143638E-3</v>
      </c>
      <c r="R26" s="159"/>
      <c r="S26" s="7"/>
      <c r="T26" s="7"/>
      <c r="U26" s="7"/>
      <c r="V26" s="7"/>
      <c r="W26" s="7"/>
      <c r="X26" s="7"/>
    </row>
    <row r="27" spans="2:24" x14ac:dyDescent="0.25">
      <c r="B27" s="6" t="str">
        <f>'Alloc Amt'!B27</f>
        <v>Dist OH Services (Sec Voltage Only)</v>
      </c>
      <c r="C27" s="6" t="str">
        <f>'Alloc Amt'!C27</f>
        <v>OH_SVC</v>
      </c>
      <c r="D27" s="6">
        <f>'Alloc Amt'!D27</f>
        <v>20</v>
      </c>
      <c r="E27" s="125">
        <f t="shared" si="0"/>
        <v>0.99999999999999989</v>
      </c>
      <c r="F27" s="125">
        <f>'Alloc Amt'!F27/'Alloc Amt'!$E27</f>
        <v>0.86745968532344786</v>
      </c>
      <c r="G27" s="125">
        <f>'Alloc Amt'!G27/'Alloc Amt'!$E27</f>
        <v>0.12794001245605024</v>
      </c>
      <c r="H27" s="125">
        <f>'Alloc Amt'!H27/'Alloc Amt'!$E27</f>
        <v>4.530826243061707E-3</v>
      </c>
      <c r="I27" s="125">
        <f>'Alloc Amt'!I27/'Alloc Amt'!$E27</f>
        <v>6.9475977440157616E-5</v>
      </c>
      <c r="J27" s="125">
        <f>'Alloc Amt'!J27/'Alloc Amt'!$E27</f>
        <v>0</v>
      </c>
      <c r="K27" s="125">
        <f>'Alloc Amt'!K27/'Alloc Amt'!$E27</f>
        <v>0</v>
      </c>
      <c r="L27" s="125">
        <f>'Alloc Amt'!L27/'Alloc Amt'!$E27</f>
        <v>0</v>
      </c>
      <c r="M27" s="125">
        <f>'Alloc Amt'!M27/'Alloc Amt'!$E27</f>
        <v>0</v>
      </c>
      <c r="N27" s="125">
        <f>'Alloc Amt'!N27/'Alloc Amt'!$E27</f>
        <v>0</v>
      </c>
      <c r="O27" s="125">
        <f>'Alloc Amt'!O27/'Alloc Amt'!$E27</f>
        <v>0</v>
      </c>
      <c r="P27" s="125">
        <f>'Alloc Amt'!P27/'Alloc Amt'!$E27</f>
        <v>0</v>
      </c>
      <c r="Q27" s="125">
        <f>'Alloc Amt'!Q27/'Alloc Amt'!$E27</f>
        <v>0</v>
      </c>
      <c r="R27" s="159"/>
      <c r="S27" s="7"/>
      <c r="T27" s="7"/>
      <c r="U27" s="7"/>
      <c r="V27" s="7"/>
      <c r="W27" s="7"/>
      <c r="X27" s="7"/>
    </row>
    <row r="28" spans="2:24" x14ac:dyDescent="0.25">
      <c r="B28" s="6" t="str">
        <f>'Alloc Amt'!B28</f>
        <v>Allocate Overhead Transformers</v>
      </c>
      <c r="C28" s="6" t="str">
        <f>'Alloc Amt'!C28</f>
        <v>OH_TFMRC</v>
      </c>
      <c r="D28" s="6">
        <f>'Alloc Amt'!D28</f>
        <v>21</v>
      </c>
      <c r="E28" s="125">
        <f t="shared" si="0"/>
        <v>1</v>
      </c>
      <c r="F28" s="125">
        <f>'Alloc Amt'!F28/'Alloc Amt'!$E28</f>
        <v>0.7303429587007737</v>
      </c>
      <c r="G28" s="125">
        <f>'Alloc Amt'!G28/'Alloc Amt'!$E28</f>
        <v>0.11447772228662677</v>
      </c>
      <c r="H28" s="125">
        <f>'Alloc Amt'!H28/'Alloc Amt'!$E28</f>
        <v>1.4681822696456839E-2</v>
      </c>
      <c r="I28" s="125">
        <f>'Alloc Amt'!I28/'Alloc Amt'!$E28</f>
        <v>1.8637852716737259E-4</v>
      </c>
      <c r="J28" s="125">
        <f>'Alloc Amt'!J28/'Alloc Amt'!$E28</f>
        <v>0</v>
      </c>
      <c r="K28" s="125">
        <f>'Alloc Amt'!K28/'Alloc Amt'!$E28</f>
        <v>0</v>
      </c>
      <c r="L28" s="125">
        <f>'Alloc Amt'!L28/'Alloc Amt'!$E28</f>
        <v>0</v>
      </c>
      <c r="M28" s="125">
        <f>'Alloc Amt'!M28/'Alloc Amt'!$E28</f>
        <v>0</v>
      </c>
      <c r="N28" s="125">
        <f>'Alloc Amt'!N28/'Alloc Amt'!$E28</f>
        <v>0</v>
      </c>
      <c r="O28" s="125">
        <f>'Alloc Amt'!O28/'Alloc Amt'!$E28</f>
        <v>0</v>
      </c>
      <c r="P28" s="125">
        <f>'Alloc Amt'!P28/'Alloc Amt'!$E28</f>
        <v>0.14031111778897534</v>
      </c>
      <c r="Q28" s="125">
        <f>'Alloc Amt'!Q28/'Alloc Amt'!$E28</f>
        <v>0</v>
      </c>
      <c r="R28" s="159"/>
      <c r="S28" s="7"/>
      <c r="T28" s="7"/>
      <c r="U28" s="7"/>
      <c r="V28" s="7"/>
      <c r="W28" s="7"/>
      <c r="X28" s="7"/>
    </row>
    <row r="29" spans="2:24" x14ac:dyDescent="0.25">
      <c r="B29" s="6" t="str">
        <f>'Alloc Amt'!B29</f>
        <v>Proforma Revenue</v>
      </c>
      <c r="C29" s="6" t="str">
        <f>'Alloc Amt'!C29</f>
        <v>PROFORMA</v>
      </c>
      <c r="D29" s="6">
        <f>'Alloc Amt'!D29</f>
        <v>22</v>
      </c>
      <c r="E29" s="125">
        <f t="shared" si="0"/>
        <v>1</v>
      </c>
      <c r="F29" s="125">
        <f>'Alloc Amt'!F29/'Alloc Amt'!$E29</f>
        <v>0.54322667010947834</v>
      </c>
      <c r="G29" s="125">
        <f>'Alloc Amt'!G29/'Alloc Amt'!$E29</f>
        <v>0.13595304236387315</v>
      </c>
      <c r="H29" s="125">
        <f>'Alloc Amt'!H29/'Alloc Amt'!$E29</f>
        <v>0.12881200534268167</v>
      </c>
      <c r="I29" s="125">
        <f>'Alloc Amt'!I29/'Alloc Amt'!$E29</f>
        <v>7.7328477897030637E-2</v>
      </c>
      <c r="J29" s="125">
        <f>'Alloc Amt'!J29/'Alloc Amt'!$E29</f>
        <v>5.1639671809050179E-2</v>
      </c>
      <c r="K29" s="125">
        <f>'Alloc Amt'!K29/'Alloc Amt'!$E29</f>
        <v>1.2641383286066631E-4</v>
      </c>
      <c r="L29" s="125">
        <f>'Alloc Amt'!L29/'Alloc Amt'!$E29</f>
        <v>5.2649899204180693E-3</v>
      </c>
      <c r="M29" s="125">
        <f>'Alloc Amt'!M29/'Alloc Amt'!$E29</f>
        <v>2.4362891515197469E-2</v>
      </c>
      <c r="N29" s="125">
        <f>'Alloc Amt'!N29/'Alloc Amt'!$E29</f>
        <v>2.055514162911486E-2</v>
      </c>
      <c r="O29" s="125">
        <f>'Alloc Amt'!O29/'Alloc Amt'!$E29</f>
        <v>3.8264658550345837E-3</v>
      </c>
      <c r="P29" s="125">
        <f>'Alloc Amt'!P29/'Alloc Amt'!$E29</f>
        <v>8.7430947926420196E-3</v>
      </c>
      <c r="Q29" s="125">
        <f>'Alloc Amt'!Q29/'Alloc Amt'!$E29</f>
        <v>1.6113493261843954E-4</v>
      </c>
      <c r="R29" s="159"/>
      <c r="S29" s="7"/>
      <c r="T29" s="7"/>
      <c r="U29" s="7"/>
      <c r="V29" s="7"/>
      <c r="W29" s="7"/>
      <c r="X29" s="7"/>
    </row>
    <row r="30" spans="2:24" x14ac:dyDescent="0.25">
      <c r="B30" s="6" t="str">
        <f>'Alloc Amt'!B30</f>
        <v>Proforma Retail Revenue - No Transportation</v>
      </c>
      <c r="C30" s="6" t="str">
        <f>'Alloc Amt'!C30</f>
        <v>PROFORMA_RETAIL</v>
      </c>
      <c r="D30" s="6">
        <f>'Alloc Amt'!D30</f>
        <v>23</v>
      </c>
      <c r="E30" s="125">
        <f t="shared" si="0"/>
        <v>1</v>
      </c>
      <c r="F30" s="125">
        <f>'Alloc Amt'!F30/'Alloc Amt'!$E30</f>
        <v>0.54540151361475564</v>
      </c>
      <c r="G30" s="125">
        <f>'Alloc Amt'!G30/'Alloc Amt'!$E30</f>
        <v>0.13649733926142457</v>
      </c>
      <c r="H30" s="125">
        <f>'Alloc Amt'!H30/'Alloc Amt'!$E30</f>
        <v>0.12932771263143616</v>
      </c>
      <c r="I30" s="125">
        <f>'Alloc Amt'!I30/'Alloc Amt'!$E30</f>
        <v>7.7638067516210135E-2</v>
      </c>
      <c r="J30" s="125">
        <f>'Alloc Amt'!J30/'Alloc Amt'!$E30</f>
        <v>5.1846414612797154E-2</v>
      </c>
      <c r="K30" s="125">
        <f>'Alloc Amt'!K30/'Alloc Amt'!$E30</f>
        <v>1.2691993890902884E-4</v>
      </c>
      <c r="L30" s="125">
        <f>'Alloc Amt'!L30/'Alloc Amt'!$E30</f>
        <v>5.2860686519381255E-3</v>
      </c>
      <c r="M30" s="125">
        <f>'Alloc Amt'!M30/'Alloc Amt'!$E30</f>
        <v>2.446042994491213E-2</v>
      </c>
      <c r="N30" s="125">
        <f>'Alloc Amt'!N30/'Alloc Amt'!$E30</f>
        <v>2.0637435483102415E-2</v>
      </c>
      <c r="O30" s="125">
        <f>'Alloc Amt'!O30/'Alloc Amt'!$E30</f>
        <v>0</v>
      </c>
      <c r="P30" s="125">
        <f>'Alloc Amt'!P30/'Alloc Amt'!$E30</f>
        <v>8.7780983445147013E-3</v>
      </c>
      <c r="Q30" s="125">
        <f>'Alloc Amt'!Q30/'Alloc Amt'!$E30</f>
        <v>0</v>
      </c>
      <c r="R30" s="159"/>
      <c r="S30" s="7"/>
      <c r="T30" s="7"/>
      <c r="U30" s="7"/>
      <c r="V30" s="7"/>
      <c r="W30" s="7"/>
      <c r="X30" s="7"/>
    </row>
    <row r="31" spans="2:24" x14ac:dyDescent="0.25">
      <c r="B31" s="6" t="str">
        <f>'Alloc Amt'!B31</f>
        <v>Residential Allocation Only</v>
      </c>
      <c r="C31" s="6" t="str">
        <f>'Alloc Amt'!C31</f>
        <v>RESID</v>
      </c>
      <c r="D31" s="6">
        <f>'Alloc Amt'!D31</f>
        <v>24</v>
      </c>
      <c r="E31" s="125">
        <f t="shared" si="0"/>
        <v>1</v>
      </c>
      <c r="F31" s="125">
        <f>'Alloc Amt'!F31/'Alloc Amt'!$E31</f>
        <v>1</v>
      </c>
      <c r="G31" s="125">
        <f>'Alloc Amt'!G31/'Alloc Amt'!$E31</f>
        <v>0</v>
      </c>
      <c r="H31" s="125">
        <f>'Alloc Amt'!H31/'Alloc Amt'!$E31</f>
        <v>0</v>
      </c>
      <c r="I31" s="125">
        <f>'Alloc Amt'!I31/'Alloc Amt'!$E31</f>
        <v>0</v>
      </c>
      <c r="J31" s="125">
        <f>'Alloc Amt'!J31/'Alloc Amt'!$E31</f>
        <v>0</v>
      </c>
      <c r="K31" s="125">
        <f>'Alloc Amt'!K31/'Alloc Amt'!$E31</f>
        <v>0</v>
      </c>
      <c r="L31" s="125">
        <f>'Alloc Amt'!L31/'Alloc Amt'!$E31</f>
        <v>0</v>
      </c>
      <c r="M31" s="125">
        <f>'Alloc Amt'!M31/'Alloc Amt'!$E31</f>
        <v>0</v>
      </c>
      <c r="N31" s="125">
        <f>'Alloc Amt'!N31/'Alloc Amt'!$E31</f>
        <v>0</v>
      </c>
      <c r="O31" s="125">
        <f>'Alloc Amt'!O31/'Alloc Amt'!$E31</f>
        <v>0</v>
      </c>
      <c r="P31" s="125">
        <f>'Alloc Amt'!P31/'Alloc Amt'!$E31</f>
        <v>0</v>
      </c>
      <c r="Q31" s="125">
        <f>'Alloc Amt'!Q31/'Alloc Amt'!$E31</f>
        <v>0</v>
      </c>
      <c r="R31" s="159"/>
      <c r="S31" s="7"/>
      <c r="T31" s="7"/>
      <c r="U31" s="7"/>
      <c r="V31" s="7"/>
      <c r="W31" s="7"/>
      <c r="X31" s="7"/>
    </row>
    <row r="32" spans="2:24" x14ac:dyDescent="0.25">
      <c r="B32" s="6" t="str">
        <f>'Alloc Amt'!B32</f>
        <v>Allocate Underground Transformers</v>
      </c>
      <c r="C32" s="6" t="str">
        <f>'Alloc Amt'!C32</f>
        <v>UG_TFMRC</v>
      </c>
      <c r="D32" s="6">
        <f>'Alloc Amt'!D32</f>
        <v>25</v>
      </c>
      <c r="E32" s="125">
        <f t="shared" si="0"/>
        <v>1</v>
      </c>
      <c r="F32" s="125">
        <f>'Alloc Amt'!F32/'Alloc Amt'!$E32</f>
        <v>0.7355320996358401</v>
      </c>
      <c r="G32" s="125">
        <f>'Alloc Amt'!G32/'Alloc Amt'!$E32</f>
        <v>0.14493820090527729</v>
      </c>
      <c r="H32" s="125">
        <f>'Alloc Amt'!H32/'Alloc Amt'!$E32</f>
        <v>8.7743433698652465E-2</v>
      </c>
      <c r="I32" s="125">
        <f>'Alloc Amt'!I32/'Alloc Amt'!$E32</f>
        <v>2.9422589225516247E-2</v>
      </c>
      <c r="J32" s="125">
        <f>'Alloc Amt'!J32/'Alloc Amt'!$E32</f>
        <v>0</v>
      </c>
      <c r="K32" s="125">
        <f>'Alloc Amt'!K32/'Alloc Amt'!$E32</f>
        <v>0</v>
      </c>
      <c r="L32" s="125">
        <f>'Alloc Amt'!L32/'Alloc Amt'!$E32</f>
        <v>0</v>
      </c>
      <c r="M32" s="125">
        <f>'Alloc Amt'!M32/'Alloc Amt'!$E32</f>
        <v>0</v>
      </c>
      <c r="N32" s="125">
        <f>'Alloc Amt'!N32/'Alloc Amt'!$E32</f>
        <v>0</v>
      </c>
      <c r="O32" s="125">
        <f>'Alloc Amt'!O32/'Alloc Amt'!$E32</f>
        <v>0</v>
      </c>
      <c r="P32" s="125">
        <f>'Alloc Amt'!P32/'Alloc Amt'!$E32</f>
        <v>2.3045907603834585E-3</v>
      </c>
      <c r="Q32" s="125">
        <f>'Alloc Amt'!Q32/'Alloc Amt'!$E32</f>
        <v>5.9085774330539027E-5</v>
      </c>
      <c r="R32" s="159"/>
      <c r="S32" s="7"/>
      <c r="T32" s="7"/>
      <c r="U32" s="7"/>
      <c r="V32" s="7"/>
      <c r="W32" s="7"/>
      <c r="X32" s="7"/>
    </row>
    <row r="33" spans="2:24" x14ac:dyDescent="0.25">
      <c r="B33" s="6" t="str">
        <f>'Alloc Amt'!B33</f>
        <v>Top 75 CP Hours (not used)</v>
      </c>
      <c r="C33" s="6" t="str">
        <f>'Alloc Amt'!C33</f>
        <v>DEM_1</v>
      </c>
      <c r="D33" s="6">
        <f>'Alloc Amt'!D33</f>
        <v>26</v>
      </c>
      <c r="E33" s="125">
        <f t="shared" si="0"/>
        <v>0.99999999999999989</v>
      </c>
      <c r="F33" s="125">
        <f>'Alloc Amt'!F33/'Alloc Amt'!$E33</f>
        <v>0.59054453470709478</v>
      </c>
      <c r="G33" s="125">
        <f>'Alloc Amt'!G33/'Alloc Amt'!$E33</f>
        <v>0.1090236794512251</v>
      </c>
      <c r="H33" s="125">
        <f>'Alloc Amt'!H33/'Alloc Amt'!$E33</f>
        <v>9.8308250016838405E-2</v>
      </c>
      <c r="I33" s="125">
        <f>'Alloc Amt'!I33/'Alloc Amt'!$E33</f>
        <v>5.7462005350809392E-2</v>
      </c>
      <c r="J33" s="125">
        <f>'Alloc Amt'!J33/'Alloc Amt'!$E33</f>
        <v>3.8578806163441691E-2</v>
      </c>
      <c r="K33" s="125">
        <f>'Alloc Amt'!K33/'Alloc Amt'!$E33</f>
        <v>1.0295037634579526E-6</v>
      </c>
      <c r="L33" s="125">
        <f>'Alloc Amt'!L33/'Alloc Amt'!$E33</f>
        <v>6.4963881994430667E-3</v>
      </c>
      <c r="M33" s="125">
        <f>'Alloc Amt'!M33/'Alloc Amt'!$E33</f>
        <v>2.0983961523717759E-2</v>
      </c>
      <c r="N33" s="125">
        <f>'Alloc Amt'!N33/'Alloc Amt'!$E33</f>
        <v>1.7208056543194291E-2</v>
      </c>
      <c r="O33" s="125">
        <f>'Alloc Amt'!O33/'Alloc Amt'!$E33</f>
        <v>5.7862678020930085E-2</v>
      </c>
      <c r="P33" s="125">
        <f>'Alloc Amt'!P33/'Alloc Amt'!$E33</f>
        <v>3.1781838349294877E-3</v>
      </c>
      <c r="Q33" s="125">
        <f>'Alloc Amt'!Q33/'Alloc Amt'!$E33</f>
        <v>3.5242668461242012E-4</v>
      </c>
      <c r="R33" s="159"/>
      <c r="S33" s="7"/>
      <c r="T33" s="7"/>
      <c r="U33" s="7"/>
      <c r="V33" s="7"/>
      <c r="W33" s="7"/>
      <c r="X33" s="7"/>
    </row>
    <row r="34" spans="2:24" x14ac:dyDescent="0.25">
      <c r="B34" s="6" t="str">
        <f>'Alloc Amt'!B34</f>
        <v>Top 75 CP Hours Excl. Interruptible (not used)</v>
      </c>
      <c r="C34" s="6" t="str">
        <f>'Alloc Amt'!C34</f>
        <v>DEM_1A</v>
      </c>
      <c r="D34" s="6">
        <f>'Alloc Amt'!D34</f>
        <v>27</v>
      </c>
      <c r="E34" s="125">
        <f t="shared" si="0"/>
        <v>1</v>
      </c>
      <c r="F34" s="125">
        <f>'Alloc Amt'!F34/'Alloc Amt'!$E34</f>
        <v>0.59512615902592947</v>
      </c>
      <c r="G34" s="125">
        <f>'Alloc Amt'!G34/'Alloc Amt'!$E34</f>
        <v>0.10986951835370572</v>
      </c>
      <c r="H34" s="125">
        <f>'Alloc Amt'!H34/'Alloc Amt'!$E34</f>
        <v>9.9070955354959314E-2</v>
      </c>
      <c r="I34" s="125">
        <f>'Alloc Amt'!I34/'Alloc Amt'!$E34</f>
        <v>5.7907813085284247E-2</v>
      </c>
      <c r="J34" s="125">
        <f>'Alloc Amt'!J34/'Alloc Amt'!$E34</f>
        <v>3.8878112288758225E-2</v>
      </c>
      <c r="K34" s="125">
        <f>'Alloc Amt'!K34/'Alloc Amt'!$E34</f>
        <v>1.0374909671348612E-6</v>
      </c>
      <c r="L34" s="125">
        <f>'Alloc Amt'!L34/'Alloc Amt'!$E34</f>
        <v>0</v>
      </c>
      <c r="M34" s="125">
        <f>'Alloc Amt'!M34/'Alloc Amt'!$E34</f>
        <v>2.1146761486755674E-2</v>
      </c>
      <c r="N34" s="125">
        <f>'Alloc Amt'!N34/'Alloc Amt'!$E34</f>
        <v>1.6130046546646987E-2</v>
      </c>
      <c r="O34" s="125">
        <f>'Alloc Amt'!O34/'Alloc Amt'!$E34</f>
        <v>5.8311594295983059E-2</v>
      </c>
      <c r="P34" s="125">
        <f>'Alloc Amt'!P34/'Alloc Amt'!$E34</f>
        <v>3.2028411528658269E-3</v>
      </c>
      <c r="Q34" s="125">
        <f>'Alloc Amt'!Q34/'Alloc Amt'!$E34</f>
        <v>3.551609181442357E-4</v>
      </c>
      <c r="R34" s="159"/>
      <c r="S34" s="7"/>
      <c r="T34" s="7"/>
      <c r="U34" s="7"/>
      <c r="V34" s="7"/>
      <c r="W34" s="7"/>
      <c r="X34" s="7"/>
    </row>
    <row r="35" spans="2:24" x14ac:dyDescent="0.25">
      <c r="B35" s="6" t="str">
        <f>'Alloc Amt'!B35</f>
        <v>Top 75 CP No Interruptibles or Transportation (not used)</v>
      </c>
      <c r="C35" s="6" t="str">
        <f>'Alloc Amt'!C35</f>
        <v>DEM_1B</v>
      </c>
      <c r="D35" s="6">
        <f>'Alloc Amt'!D35</f>
        <v>28</v>
      </c>
      <c r="E35" s="125">
        <f t="shared" si="0"/>
        <v>0.99999999999999978</v>
      </c>
      <c r="F35" s="125">
        <f>'Alloc Amt'!F35/'Alloc Amt'!$E35</f>
        <v>0.6319777916146333</v>
      </c>
      <c r="G35" s="125">
        <f>'Alloc Amt'!G35/'Alloc Amt'!$E35</f>
        <v>0.11667290123590936</v>
      </c>
      <c r="H35" s="125">
        <f>'Alloc Amt'!H35/'Alloc Amt'!$E35</f>
        <v>0.10520566543547147</v>
      </c>
      <c r="I35" s="125">
        <f>'Alloc Amt'!I35/'Alloc Amt'!$E35</f>
        <v>6.1493603122353101E-2</v>
      </c>
      <c r="J35" s="125">
        <f>'Alloc Amt'!J35/'Alloc Amt'!$E35</f>
        <v>4.1285537820434891E-2</v>
      </c>
      <c r="K35" s="125">
        <f>'Alloc Amt'!K35/'Alloc Amt'!$E35</f>
        <v>1.1017348847565149E-6</v>
      </c>
      <c r="L35" s="125">
        <f>'Alloc Amt'!L35/'Alloc Amt'!$E35</f>
        <v>0</v>
      </c>
      <c r="M35" s="125">
        <f>'Alloc Amt'!M35/'Alloc Amt'!$E35</f>
        <v>2.2456219444420274E-2</v>
      </c>
      <c r="N35" s="125">
        <f>'Alloc Amt'!N35/'Alloc Amt'!$E35</f>
        <v>1.7128857538166228E-2</v>
      </c>
      <c r="O35" s="125">
        <f>'Alloc Amt'!O35/'Alloc Amt'!$E35</f>
        <v>0</v>
      </c>
      <c r="P35" s="125">
        <f>'Alloc Amt'!P35/'Alloc Amt'!$E35</f>
        <v>3.4011687236091079E-3</v>
      </c>
      <c r="Q35" s="125">
        <f>'Alloc Amt'!Q35/'Alloc Amt'!$E35</f>
        <v>3.7715333011742181E-4</v>
      </c>
      <c r="R35" s="159"/>
      <c r="S35" s="7"/>
      <c r="T35" s="7"/>
      <c r="U35" s="7"/>
      <c r="V35" s="7"/>
      <c r="W35" s="7"/>
      <c r="X35" s="7"/>
    </row>
    <row r="36" spans="2:24" x14ac:dyDescent="0.25">
      <c r="B36" s="6" t="str">
        <f>'Alloc Amt'!B36</f>
        <v>4 CP Winter Peak - No Interruptibles</v>
      </c>
      <c r="C36" s="6" t="str">
        <f>'Alloc Amt'!C36</f>
        <v>DEM_2A</v>
      </c>
      <c r="D36" s="6">
        <f>'Alloc Amt'!D36</f>
        <v>29</v>
      </c>
      <c r="E36" s="125">
        <f t="shared" si="0"/>
        <v>1</v>
      </c>
      <c r="F36" s="125">
        <f>'Alloc Amt'!F36/'Alloc Amt'!$E36</f>
        <v>0.57390862226922457</v>
      </c>
      <c r="G36" s="125">
        <f>'Alloc Amt'!G36/'Alloc Amt'!$E36</f>
        <v>0.11560496541001039</v>
      </c>
      <c r="H36" s="125">
        <f>'Alloc Amt'!H36/'Alloc Amt'!$E36</f>
        <v>0.10778710238283166</v>
      </c>
      <c r="I36" s="125">
        <f>'Alloc Amt'!I36/'Alloc Amt'!$E36</f>
        <v>6.1215091961067197E-2</v>
      </c>
      <c r="J36" s="125">
        <f>'Alloc Amt'!J36/'Alloc Amt'!$E36</f>
        <v>4.1950901922881367E-2</v>
      </c>
      <c r="K36" s="125">
        <f>'Alloc Amt'!K36/'Alloc Amt'!$E36</f>
        <v>9.658378403436802E-7</v>
      </c>
      <c r="L36" s="125">
        <f>'Alloc Amt'!L36/'Alloc Amt'!$E36</f>
        <v>0</v>
      </c>
      <c r="M36" s="125">
        <f>'Alloc Amt'!M36/'Alloc Amt'!$E36</f>
        <v>2.1694943588694365E-2</v>
      </c>
      <c r="N36" s="125">
        <f>'Alloc Amt'!N36/'Alloc Amt'!$E36</f>
        <v>1.6052810859452493E-2</v>
      </c>
      <c r="O36" s="125">
        <f>'Alloc Amt'!O36/'Alloc Amt'!$E36</f>
        <v>5.8127930134670672E-2</v>
      </c>
      <c r="P36" s="125">
        <f>'Alloc Amt'!P36/'Alloc Amt'!$E36</f>
        <v>3.2909557007779469E-3</v>
      </c>
      <c r="Q36" s="125">
        <f>'Alloc Amt'!Q36/'Alloc Amt'!$E36</f>
        <v>3.6570993254894153E-4</v>
      </c>
      <c r="R36" s="159"/>
      <c r="S36" s="7"/>
      <c r="T36" s="7"/>
      <c r="U36" s="7"/>
      <c r="V36" s="7"/>
      <c r="W36" s="7"/>
      <c r="X36" s="7"/>
    </row>
    <row r="37" spans="2:24" x14ac:dyDescent="0.25">
      <c r="B37" s="6" t="str">
        <f>'Alloc Amt'!B37</f>
        <v>4 CP Winter Peak - No Interruptibles or Transportation</v>
      </c>
      <c r="C37" s="6" t="str">
        <f>'Alloc Amt'!C37</f>
        <v>DEM_2B</v>
      </c>
      <c r="D37" s="6">
        <f>'Alloc Amt'!D37</f>
        <v>30</v>
      </c>
      <c r="E37" s="125">
        <f t="shared" si="0"/>
        <v>0.99999999999999978</v>
      </c>
      <c r="F37" s="125">
        <f>'Alloc Amt'!F37/'Alloc Amt'!$E37</f>
        <v>0.60932757285316164</v>
      </c>
      <c r="G37" s="125">
        <f>'Alloc Amt'!G37/'Alloc Amt'!$E37</f>
        <v>0.1227395621005513</v>
      </c>
      <c r="H37" s="125">
        <f>'Alloc Amt'!H37/'Alloc Amt'!$E37</f>
        <v>0.11443921720520205</v>
      </c>
      <c r="I37" s="125">
        <f>'Alloc Amt'!I37/'Alloc Amt'!$E37</f>
        <v>6.499300055666779E-2</v>
      </c>
      <c r="J37" s="125">
        <f>'Alloc Amt'!J37/'Alloc Amt'!$E37</f>
        <v>4.4539914989601068E-2</v>
      </c>
      <c r="K37" s="125">
        <f>'Alloc Amt'!K37/'Alloc Amt'!$E37</f>
        <v>1.0254448255183715E-6</v>
      </c>
      <c r="L37" s="125">
        <f>'Alloc Amt'!L37/'Alloc Amt'!$E37</f>
        <v>0</v>
      </c>
      <c r="M37" s="125">
        <f>'Alloc Amt'!M37/'Alloc Amt'!$E37</f>
        <v>2.3033853835156562E-2</v>
      </c>
      <c r="N37" s="125">
        <f>'Alloc Amt'!N37/'Alloc Amt'!$E37</f>
        <v>1.7043515115325324E-2</v>
      </c>
      <c r="O37" s="125">
        <f>'Alloc Amt'!O37/'Alloc Amt'!$E37</f>
        <v>0</v>
      </c>
      <c r="P37" s="125">
        <f>'Alloc Amt'!P37/'Alloc Amt'!$E37</f>
        <v>3.4940580637968103E-3</v>
      </c>
      <c r="Q37" s="125">
        <f>'Alloc Amt'!Q37/'Alloc Amt'!$E37</f>
        <v>3.8827983571190452E-4</v>
      </c>
      <c r="R37" s="159"/>
      <c r="S37" s="7"/>
      <c r="T37" s="7"/>
      <c r="U37" s="7"/>
      <c r="V37" s="7"/>
      <c r="W37" s="7"/>
      <c r="X37" s="7"/>
    </row>
    <row r="38" spans="2:24" x14ac:dyDescent="0.25">
      <c r="B38" s="6" t="str">
        <f>'Alloc Amt'!B38</f>
        <v>Direct Assign Substation Ease - Accum Depr</v>
      </c>
      <c r="C38" s="6" t="str">
        <f>'Alloc Amt'!C38</f>
        <v>DIR108.360</v>
      </c>
      <c r="D38" s="6">
        <f>'Alloc Amt'!D38</f>
        <v>31</v>
      </c>
      <c r="E38" s="125">
        <f t="shared" si="0"/>
        <v>1</v>
      </c>
      <c r="F38" s="125">
        <f>'Alloc Amt'!F38/'Alloc Amt'!$E38</f>
        <v>0</v>
      </c>
      <c r="G38" s="125">
        <f>'Alloc Amt'!G38/'Alloc Amt'!$E38</f>
        <v>0</v>
      </c>
      <c r="H38" s="125">
        <f>'Alloc Amt'!H38/'Alloc Amt'!$E38</f>
        <v>0</v>
      </c>
      <c r="I38" s="125">
        <f>'Alloc Amt'!I38/'Alloc Amt'!$E38</f>
        <v>0</v>
      </c>
      <c r="J38" s="125">
        <f>'Alloc Amt'!J38/'Alloc Amt'!$E38</f>
        <v>0</v>
      </c>
      <c r="K38" s="125">
        <f>'Alloc Amt'!K38/'Alloc Amt'!$E38</f>
        <v>0</v>
      </c>
      <c r="L38" s="125">
        <f>'Alloc Amt'!L38/'Alloc Amt'!$E38</f>
        <v>0</v>
      </c>
      <c r="M38" s="125">
        <f>'Alloc Amt'!M38/'Alloc Amt'!$E38</f>
        <v>0</v>
      </c>
      <c r="N38" s="125">
        <f>'Alloc Amt'!N38/'Alloc Amt'!$E38</f>
        <v>1</v>
      </c>
      <c r="O38" s="125">
        <f>'Alloc Amt'!O38/'Alloc Amt'!$E38</f>
        <v>0</v>
      </c>
      <c r="P38" s="125">
        <f>'Alloc Amt'!P38/'Alloc Amt'!$E38</f>
        <v>0</v>
      </c>
      <c r="Q38" s="125">
        <f>'Alloc Amt'!Q38/'Alloc Amt'!$E38</f>
        <v>0</v>
      </c>
      <c r="R38" s="159"/>
      <c r="S38" s="7"/>
      <c r="T38" s="7"/>
      <c r="U38" s="7"/>
      <c r="V38" s="7"/>
      <c r="W38" s="7"/>
      <c r="X38" s="7"/>
    </row>
    <row r="39" spans="2:24" x14ac:dyDescent="0.25">
      <c r="B39" s="6" t="str">
        <f>'Alloc Amt'!B39</f>
        <v>Direct Assign Substation Structures - Accum Depr</v>
      </c>
      <c r="C39" s="6" t="str">
        <f>'Alloc Amt'!C39</f>
        <v>DIR108.361</v>
      </c>
      <c r="D39" s="6">
        <f>'Alloc Amt'!D39</f>
        <v>32</v>
      </c>
      <c r="E39" s="125">
        <f t="shared" si="0"/>
        <v>1</v>
      </c>
      <c r="F39" s="125">
        <f>'Alloc Amt'!F39/'Alloc Amt'!$E39</f>
        <v>0</v>
      </c>
      <c r="G39" s="125">
        <f>'Alloc Amt'!G39/'Alloc Amt'!$E39</f>
        <v>0</v>
      </c>
      <c r="H39" s="125">
        <f>'Alloc Amt'!H39/'Alloc Amt'!$E39</f>
        <v>0</v>
      </c>
      <c r="I39" s="125">
        <f>'Alloc Amt'!I39/'Alloc Amt'!$E39</f>
        <v>0</v>
      </c>
      <c r="J39" s="125">
        <f>'Alloc Amt'!J39/'Alloc Amt'!$E39</f>
        <v>4.3474422709207122E-2</v>
      </c>
      <c r="K39" s="125">
        <f>'Alloc Amt'!K39/'Alloc Amt'!$E39</f>
        <v>0</v>
      </c>
      <c r="L39" s="125">
        <f>'Alloc Amt'!L39/'Alloc Amt'!$E39</f>
        <v>0</v>
      </c>
      <c r="M39" s="125">
        <f>'Alloc Amt'!M39/'Alloc Amt'!$E39</f>
        <v>0.33564980265410982</v>
      </c>
      <c r="N39" s="125">
        <f>'Alloc Amt'!N39/'Alloc Amt'!$E39</f>
        <v>0.23197097979112802</v>
      </c>
      <c r="O39" s="125">
        <f>'Alloc Amt'!O39/'Alloc Amt'!$E39</f>
        <v>0.38890479484555501</v>
      </c>
      <c r="P39" s="125">
        <f>'Alloc Amt'!P39/'Alloc Amt'!$E39</f>
        <v>0</v>
      </c>
      <c r="Q39" s="125">
        <f>'Alloc Amt'!Q39/'Alloc Amt'!$E39</f>
        <v>0</v>
      </c>
      <c r="R39" s="159"/>
      <c r="S39" s="7"/>
      <c r="T39" s="7"/>
      <c r="U39" s="7"/>
      <c r="V39" s="7"/>
      <c r="W39" s="7"/>
      <c r="X39" s="7"/>
    </row>
    <row r="40" spans="2:24" x14ac:dyDescent="0.25">
      <c r="B40" s="6" t="str">
        <f>'Alloc Amt'!B40</f>
        <v>Direct Assign Substation Equipment - Accum Depr</v>
      </c>
      <c r="C40" s="6" t="str">
        <f>'Alloc Amt'!C40</f>
        <v>DIR108.362</v>
      </c>
      <c r="D40" s="6">
        <f>'Alloc Amt'!D40</f>
        <v>33</v>
      </c>
      <c r="E40" s="125">
        <f t="shared" si="0"/>
        <v>1</v>
      </c>
      <c r="F40" s="125">
        <f>'Alloc Amt'!F40/'Alloc Amt'!$E40</f>
        <v>0</v>
      </c>
      <c r="G40" s="125">
        <f>'Alloc Amt'!G40/'Alloc Amt'!$E40</f>
        <v>0</v>
      </c>
      <c r="H40" s="125">
        <f>'Alloc Amt'!H40/'Alloc Amt'!$E40</f>
        <v>0</v>
      </c>
      <c r="I40" s="125">
        <f>'Alloc Amt'!I40/'Alloc Amt'!$E40</f>
        <v>0</v>
      </c>
      <c r="J40" s="125">
        <f>'Alloc Amt'!J40/'Alloc Amt'!$E40</f>
        <v>5.55545207793086E-2</v>
      </c>
      <c r="K40" s="125">
        <f>'Alloc Amt'!K40/'Alloc Amt'!$E40</f>
        <v>0</v>
      </c>
      <c r="L40" s="125">
        <f>'Alloc Amt'!L40/'Alloc Amt'!$E40</f>
        <v>0</v>
      </c>
      <c r="M40" s="125">
        <f>'Alloc Amt'!M40/'Alloc Amt'!$E40</f>
        <v>0.31583983972004964</v>
      </c>
      <c r="N40" s="125">
        <f>'Alloc Amt'!N40/'Alloc Amt'!$E40</f>
        <v>0.33745782326325829</v>
      </c>
      <c r="O40" s="125">
        <f>'Alloc Amt'!O40/'Alloc Amt'!$E40</f>
        <v>0.29114781623738345</v>
      </c>
      <c r="P40" s="125">
        <f>'Alloc Amt'!P40/'Alloc Amt'!$E40</f>
        <v>0</v>
      </c>
      <c r="Q40" s="125">
        <f>'Alloc Amt'!Q40/'Alloc Amt'!$E40</f>
        <v>0</v>
      </c>
      <c r="R40" s="159"/>
      <c r="S40" s="7"/>
      <c r="T40" s="7"/>
      <c r="U40" s="7"/>
      <c r="V40" s="7"/>
      <c r="W40" s="7"/>
      <c r="X40" s="7"/>
    </row>
    <row r="41" spans="2:24" x14ac:dyDescent="0.25">
      <c r="B41" s="6" t="str">
        <f>'Alloc Amt'!B41</f>
        <v>Direct Assign OH Dist Lines - Accum Depr</v>
      </c>
      <c r="C41" s="6" t="str">
        <f>'Alloc Amt'!C41</f>
        <v>DIR108.364</v>
      </c>
      <c r="D41" s="6">
        <f>'Alloc Amt'!D41</f>
        <v>34</v>
      </c>
      <c r="E41" s="125">
        <f t="shared" si="0"/>
        <v>1</v>
      </c>
      <c r="F41" s="125">
        <f>'Alloc Amt'!F41/'Alloc Amt'!$E41</f>
        <v>0</v>
      </c>
      <c r="G41" s="125">
        <f>'Alloc Amt'!G41/'Alloc Amt'!$E41</f>
        <v>0</v>
      </c>
      <c r="H41" s="125">
        <f>'Alloc Amt'!H41/'Alloc Amt'!$E41</f>
        <v>0</v>
      </c>
      <c r="I41" s="125">
        <f>'Alloc Amt'!I41/'Alloc Amt'!$E41</f>
        <v>0</v>
      </c>
      <c r="J41" s="125">
        <f>'Alloc Amt'!J41/'Alloc Amt'!$E41</f>
        <v>0</v>
      </c>
      <c r="K41" s="125">
        <f>'Alloc Amt'!K41/'Alloc Amt'!$E41</f>
        <v>0</v>
      </c>
      <c r="L41" s="125">
        <f>'Alloc Amt'!L41/'Alloc Amt'!$E41</f>
        <v>0</v>
      </c>
      <c r="M41" s="125">
        <f>'Alloc Amt'!M41/'Alloc Amt'!$E41</f>
        <v>1</v>
      </c>
      <c r="N41" s="125">
        <f>'Alloc Amt'!N41/'Alloc Amt'!$E41</f>
        <v>0</v>
      </c>
      <c r="O41" s="125">
        <f>'Alloc Amt'!O41/'Alloc Amt'!$E41</f>
        <v>0</v>
      </c>
      <c r="P41" s="125">
        <f>'Alloc Amt'!P41/'Alloc Amt'!$E41</f>
        <v>0</v>
      </c>
      <c r="Q41" s="125">
        <f>'Alloc Amt'!Q41/'Alloc Amt'!$E41</f>
        <v>0</v>
      </c>
      <c r="R41" s="159"/>
      <c r="S41" s="7"/>
      <c r="T41" s="7"/>
      <c r="U41" s="7"/>
      <c r="V41" s="7"/>
      <c r="W41" s="7"/>
      <c r="X41" s="7"/>
    </row>
    <row r="42" spans="2:24" x14ac:dyDescent="0.25">
      <c r="B42" s="6" t="str">
        <f>'Alloc Amt'!B42</f>
        <v>Direct Assign UG Dist Lines</v>
      </c>
      <c r="C42" s="6" t="str">
        <f>'Alloc Amt'!C42</f>
        <v>DIR108.366</v>
      </c>
      <c r="D42" s="6">
        <f>'Alloc Amt'!D42</f>
        <v>35</v>
      </c>
      <c r="E42" s="125">
        <f t="shared" si="0"/>
        <v>0.99999999999999989</v>
      </c>
      <c r="F42" s="125">
        <f>'Alloc Amt'!F42/'Alloc Amt'!$E42</f>
        <v>0</v>
      </c>
      <c r="G42" s="125">
        <f>'Alloc Amt'!G42/'Alloc Amt'!$E42</f>
        <v>0</v>
      </c>
      <c r="H42" s="125">
        <f>'Alloc Amt'!H42/'Alloc Amt'!$E42</f>
        <v>0</v>
      </c>
      <c r="I42" s="125">
        <f>'Alloc Amt'!I42/'Alloc Amt'!$E42</f>
        <v>0</v>
      </c>
      <c r="J42" s="125">
        <f>'Alloc Amt'!J42/'Alloc Amt'!$E42</f>
        <v>0</v>
      </c>
      <c r="K42" s="125">
        <f>'Alloc Amt'!K42/'Alloc Amt'!$E42</f>
        <v>0</v>
      </c>
      <c r="L42" s="125">
        <f>'Alloc Amt'!L42/'Alloc Amt'!$E42</f>
        <v>0</v>
      </c>
      <c r="M42" s="125">
        <f>'Alloc Amt'!M42/'Alloc Amt'!$E42</f>
        <v>0.91285521070130171</v>
      </c>
      <c r="N42" s="125">
        <f>'Alloc Amt'!N42/'Alloc Amt'!$E42</f>
        <v>8.7144789298698205E-2</v>
      </c>
      <c r="O42" s="125">
        <f>'Alloc Amt'!O42/'Alloc Amt'!$E42</f>
        <v>0</v>
      </c>
      <c r="P42" s="125">
        <f>'Alloc Amt'!P42/'Alloc Amt'!$E42</f>
        <v>0</v>
      </c>
      <c r="Q42" s="125">
        <f>'Alloc Amt'!Q42/'Alloc Amt'!$E42</f>
        <v>0</v>
      </c>
      <c r="R42" s="159"/>
      <c r="S42" s="7"/>
      <c r="T42" s="7"/>
      <c r="U42" s="7"/>
      <c r="V42" s="7"/>
      <c r="W42" s="7"/>
      <c r="X42" s="7"/>
    </row>
    <row r="43" spans="2:24" x14ac:dyDescent="0.25">
      <c r="B43" s="6" t="str">
        <f>'Alloc Amt'!B43</f>
        <v>Direct Assign Substation Land</v>
      </c>
      <c r="C43" s="6" t="str">
        <f>'Alloc Amt'!C43</f>
        <v>DIR360.01</v>
      </c>
      <c r="D43" s="6">
        <f>'Alloc Amt'!D43</f>
        <v>36</v>
      </c>
      <c r="E43" s="125">
        <f t="shared" si="0"/>
        <v>1</v>
      </c>
      <c r="F43" s="125">
        <f>'Alloc Amt'!F43/'Alloc Amt'!$E43</f>
        <v>0</v>
      </c>
      <c r="G43" s="125">
        <f>'Alloc Amt'!G43/'Alloc Amt'!$E43</f>
        <v>0</v>
      </c>
      <c r="H43" s="125">
        <f>'Alloc Amt'!H43/'Alloc Amt'!$E43</f>
        <v>0</v>
      </c>
      <c r="I43" s="125">
        <f>'Alloc Amt'!I43/'Alloc Amt'!$E43</f>
        <v>0</v>
      </c>
      <c r="J43" s="125">
        <f>'Alloc Amt'!J43/'Alloc Amt'!$E43</f>
        <v>0</v>
      </c>
      <c r="K43" s="125">
        <f>'Alloc Amt'!K43/'Alloc Amt'!$E43</f>
        <v>0</v>
      </c>
      <c r="L43" s="125">
        <f>'Alloc Amt'!L43/'Alloc Amt'!$E43</f>
        <v>0</v>
      </c>
      <c r="M43" s="125">
        <f>'Alloc Amt'!M43/'Alloc Amt'!$E43</f>
        <v>0.86109010773689709</v>
      </c>
      <c r="N43" s="125">
        <f>'Alloc Amt'!N43/'Alloc Amt'!$E43</f>
        <v>0.13890989226310285</v>
      </c>
      <c r="O43" s="125">
        <f>'Alloc Amt'!O43/'Alloc Amt'!$E43</f>
        <v>0</v>
      </c>
      <c r="P43" s="125">
        <f>'Alloc Amt'!P43/'Alloc Amt'!$E43</f>
        <v>0</v>
      </c>
      <c r="Q43" s="125">
        <f>'Alloc Amt'!Q43/'Alloc Amt'!$E43</f>
        <v>0</v>
      </c>
      <c r="R43" s="159"/>
      <c r="S43" s="7"/>
      <c r="T43" s="7"/>
      <c r="U43" s="7"/>
      <c r="V43" s="7"/>
      <c r="W43" s="7"/>
      <c r="X43" s="7"/>
    </row>
    <row r="44" spans="2:24" x14ac:dyDescent="0.25">
      <c r="B44" s="6" t="str">
        <f>'Alloc Amt'!B44</f>
        <v>Direct Assign Substation Structures</v>
      </c>
      <c r="C44" s="6" t="str">
        <f>'Alloc Amt'!C44</f>
        <v>DIR361.01</v>
      </c>
      <c r="D44" s="6">
        <f>'Alloc Amt'!D44</f>
        <v>37</v>
      </c>
      <c r="E44" s="125">
        <f t="shared" si="0"/>
        <v>1</v>
      </c>
      <c r="F44" s="125">
        <f>'Alloc Amt'!F44/'Alloc Amt'!$E44</f>
        <v>0</v>
      </c>
      <c r="G44" s="125">
        <f>'Alloc Amt'!G44/'Alloc Amt'!$E44</f>
        <v>0</v>
      </c>
      <c r="H44" s="125">
        <f>'Alloc Amt'!H44/'Alloc Amt'!$E44</f>
        <v>0</v>
      </c>
      <c r="I44" s="125">
        <f>'Alloc Amt'!I44/'Alloc Amt'!$E44</f>
        <v>0</v>
      </c>
      <c r="J44" s="125">
        <f>'Alloc Amt'!J44/'Alloc Amt'!$E44</f>
        <v>0</v>
      </c>
      <c r="K44" s="125">
        <f>'Alloc Amt'!K44/'Alloc Amt'!$E44</f>
        <v>0</v>
      </c>
      <c r="L44" s="125">
        <f>'Alloc Amt'!L44/'Alloc Amt'!$E44</f>
        <v>0</v>
      </c>
      <c r="M44" s="125">
        <f>'Alloc Amt'!M44/'Alloc Amt'!$E44</f>
        <v>0.50633317118826138</v>
      </c>
      <c r="N44" s="125">
        <f>'Alloc Amt'!N44/'Alloc Amt'!$E44</f>
        <v>0.22590470937329563</v>
      </c>
      <c r="O44" s="125">
        <f>'Alloc Amt'!O44/'Alloc Amt'!$E44</f>
        <v>0.26776211943844291</v>
      </c>
      <c r="P44" s="125">
        <f>'Alloc Amt'!P44/'Alloc Amt'!$E44</f>
        <v>0</v>
      </c>
      <c r="Q44" s="125">
        <f>'Alloc Amt'!Q44/'Alloc Amt'!$E44</f>
        <v>0</v>
      </c>
      <c r="R44" s="159"/>
      <c r="S44" s="7"/>
      <c r="T44" s="7"/>
      <c r="U44" s="7"/>
      <c r="V44" s="7"/>
      <c r="W44" s="7"/>
      <c r="X44" s="7"/>
    </row>
    <row r="45" spans="2:24" x14ac:dyDescent="0.25">
      <c r="B45" s="6" t="str">
        <f>'Alloc Amt'!B45</f>
        <v>Direct Assign Substation Equipment</v>
      </c>
      <c r="C45" s="6" t="str">
        <f>'Alloc Amt'!C45</f>
        <v>DIR362.01</v>
      </c>
      <c r="D45" s="6">
        <f>'Alloc Amt'!D45</f>
        <v>38</v>
      </c>
      <c r="E45" s="125">
        <f t="shared" si="0"/>
        <v>0.99999999999999989</v>
      </c>
      <c r="F45" s="125">
        <f>'Alloc Amt'!F45/'Alloc Amt'!$E45</f>
        <v>0</v>
      </c>
      <c r="G45" s="125">
        <f>'Alloc Amt'!G45/'Alloc Amt'!$E45</f>
        <v>0</v>
      </c>
      <c r="H45" s="125">
        <f>'Alloc Amt'!H45/'Alloc Amt'!$E45</f>
        <v>0</v>
      </c>
      <c r="I45" s="125">
        <f>'Alloc Amt'!I45/'Alloc Amt'!$E45</f>
        <v>0</v>
      </c>
      <c r="J45" s="125">
        <f>'Alloc Amt'!J45/'Alloc Amt'!$E45</f>
        <v>2.1140905001406689E-2</v>
      </c>
      <c r="K45" s="125">
        <f>'Alloc Amt'!K45/'Alloc Amt'!$E45</f>
        <v>0</v>
      </c>
      <c r="L45" s="125">
        <f>'Alloc Amt'!L45/'Alloc Amt'!$E45</f>
        <v>0</v>
      </c>
      <c r="M45" s="125">
        <f>'Alloc Amt'!M45/'Alloc Amt'!$E45</f>
        <v>0.40210924273460275</v>
      </c>
      <c r="N45" s="125">
        <f>'Alloc Amt'!N45/'Alloc Amt'!$E45</f>
        <v>0.39425075027318779</v>
      </c>
      <c r="O45" s="125">
        <f>'Alloc Amt'!O45/'Alloc Amt'!$E45</f>
        <v>0.18249910199080269</v>
      </c>
      <c r="P45" s="125">
        <f>'Alloc Amt'!P45/'Alloc Amt'!$E45</f>
        <v>0</v>
      </c>
      <c r="Q45" s="125">
        <f>'Alloc Amt'!Q45/'Alloc Amt'!$E45</f>
        <v>0</v>
      </c>
      <c r="R45" s="159"/>
      <c r="S45" s="7"/>
      <c r="T45" s="7"/>
      <c r="U45" s="7"/>
      <c r="V45" s="7"/>
      <c r="W45" s="7"/>
      <c r="X45" s="7"/>
    </row>
    <row r="46" spans="2:24" x14ac:dyDescent="0.25">
      <c r="B46" s="6" t="str">
        <f>'Alloc Amt'!B46</f>
        <v>Direct Assign OH Dist Lines</v>
      </c>
      <c r="C46" s="6" t="str">
        <f>'Alloc Amt'!C46</f>
        <v>DIR364.01</v>
      </c>
      <c r="D46" s="6">
        <f>'Alloc Amt'!D46</f>
        <v>39</v>
      </c>
      <c r="E46" s="125">
        <f t="shared" si="0"/>
        <v>1</v>
      </c>
      <c r="F46" s="125">
        <f>'Alloc Amt'!F46/'Alloc Amt'!$E46</f>
        <v>0</v>
      </c>
      <c r="G46" s="125">
        <f>'Alloc Amt'!G46/'Alloc Amt'!$E46</f>
        <v>0</v>
      </c>
      <c r="H46" s="125">
        <f>'Alloc Amt'!H46/'Alloc Amt'!$E46</f>
        <v>0</v>
      </c>
      <c r="I46" s="125">
        <f>'Alloc Amt'!I46/'Alloc Amt'!$E46</f>
        <v>0</v>
      </c>
      <c r="J46" s="125">
        <f>'Alloc Amt'!J46/'Alloc Amt'!$E46</f>
        <v>0</v>
      </c>
      <c r="K46" s="125">
        <f>'Alloc Amt'!K46/'Alloc Amt'!$E46</f>
        <v>0</v>
      </c>
      <c r="L46" s="125">
        <f>'Alloc Amt'!L46/'Alloc Amt'!$E46</f>
        <v>0</v>
      </c>
      <c r="M46" s="125">
        <f>'Alloc Amt'!M46/'Alloc Amt'!$E46</f>
        <v>1</v>
      </c>
      <c r="N46" s="125">
        <f>'Alloc Amt'!N46/'Alloc Amt'!$E46</f>
        <v>0</v>
      </c>
      <c r="O46" s="125">
        <f>'Alloc Amt'!O46/'Alloc Amt'!$E46</f>
        <v>0</v>
      </c>
      <c r="P46" s="125">
        <f>'Alloc Amt'!P46/'Alloc Amt'!$E46</f>
        <v>0</v>
      </c>
      <c r="Q46" s="125">
        <f>'Alloc Amt'!Q46/'Alloc Amt'!$E46</f>
        <v>0</v>
      </c>
      <c r="R46" s="159"/>
      <c r="S46" s="7"/>
      <c r="T46" s="7"/>
      <c r="U46" s="7"/>
      <c r="V46" s="7"/>
      <c r="W46" s="7"/>
      <c r="X46" s="7"/>
    </row>
    <row r="47" spans="2:24" x14ac:dyDescent="0.25">
      <c r="B47" s="6" t="str">
        <f>'Alloc Amt'!B47</f>
        <v>Direct Assign UG Dist Lines</v>
      </c>
      <c r="C47" s="6" t="str">
        <f>'Alloc Amt'!C47</f>
        <v>DIR366.01</v>
      </c>
      <c r="D47" s="6">
        <f>'Alloc Amt'!D47</f>
        <v>40</v>
      </c>
      <c r="E47" s="125">
        <f t="shared" si="0"/>
        <v>0.99999999999999978</v>
      </c>
      <c r="F47" s="125">
        <f>'Alloc Amt'!F47/'Alloc Amt'!$E47</f>
        <v>0</v>
      </c>
      <c r="G47" s="125">
        <f>'Alloc Amt'!G47/'Alloc Amt'!$E47</f>
        <v>0</v>
      </c>
      <c r="H47" s="125">
        <f>'Alloc Amt'!H47/'Alloc Amt'!$E47</f>
        <v>0</v>
      </c>
      <c r="I47" s="125">
        <f>'Alloc Amt'!I47/'Alloc Amt'!$E47</f>
        <v>0</v>
      </c>
      <c r="J47" s="125">
        <f>'Alloc Amt'!J47/'Alloc Amt'!$E47</f>
        <v>0</v>
      </c>
      <c r="K47" s="125">
        <f>'Alloc Amt'!K47/'Alloc Amt'!$E47</f>
        <v>0</v>
      </c>
      <c r="L47" s="125">
        <f>'Alloc Amt'!L47/'Alloc Amt'!$E47</f>
        <v>0</v>
      </c>
      <c r="M47" s="125">
        <f>'Alloc Amt'!M47/'Alloc Amt'!$E47</f>
        <v>0.80618490283486066</v>
      </c>
      <c r="N47" s="125">
        <f>'Alloc Amt'!N47/'Alloc Amt'!$E47</f>
        <v>0.19381509716513917</v>
      </c>
      <c r="O47" s="125">
        <f>'Alloc Amt'!O47/'Alloc Amt'!$E47</f>
        <v>0</v>
      </c>
      <c r="P47" s="125">
        <f>'Alloc Amt'!P47/'Alloc Amt'!$E47</f>
        <v>0</v>
      </c>
      <c r="Q47" s="125">
        <f>'Alloc Amt'!Q47/'Alloc Amt'!$E47</f>
        <v>0</v>
      </c>
      <c r="R47" s="159"/>
      <c r="S47" s="7"/>
      <c r="T47" s="7"/>
      <c r="U47" s="7"/>
      <c r="V47" s="7"/>
      <c r="W47" s="7"/>
      <c r="X47" s="7"/>
    </row>
    <row r="48" spans="2:24" x14ac:dyDescent="0.25">
      <c r="B48" s="6" t="str">
        <f>'Alloc Amt'!B48</f>
        <v>Line Transformers</v>
      </c>
      <c r="C48" s="6" t="str">
        <f>'Alloc Amt'!C48</f>
        <v>DIR368.03</v>
      </c>
      <c r="D48" s="6">
        <f>'Alloc Amt'!D48</f>
        <v>41</v>
      </c>
      <c r="E48" s="125">
        <f t="shared" si="0"/>
        <v>1</v>
      </c>
      <c r="F48" s="125">
        <f>'Alloc Amt'!F48/'Alloc Amt'!$E48</f>
        <v>0</v>
      </c>
      <c r="G48" s="125">
        <f>'Alloc Amt'!G48/'Alloc Amt'!$E48</f>
        <v>0</v>
      </c>
      <c r="H48" s="125">
        <f>'Alloc Amt'!H48/'Alloc Amt'!$E48</f>
        <v>0</v>
      </c>
      <c r="I48" s="125">
        <f>'Alloc Amt'!I48/'Alloc Amt'!$E48</f>
        <v>0</v>
      </c>
      <c r="J48" s="125">
        <f>'Alloc Amt'!J48/'Alloc Amt'!$E48</f>
        <v>0.252533005788799</v>
      </c>
      <c r="K48" s="125">
        <f>'Alloc Amt'!K48/'Alloc Amt'!$E48</f>
        <v>0</v>
      </c>
      <c r="L48" s="125">
        <f>'Alloc Amt'!L48/'Alloc Amt'!$E48</f>
        <v>1.4665641398391188E-2</v>
      </c>
      <c r="M48" s="125">
        <f>'Alloc Amt'!M48/'Alloc Amt'!$E48</f>
        <v>0.72678072931424575</v>
      </c>
      <c r="N48" s="125">
        <f>'Alloc Amt'!N48/'Alloc Amt'!$E48</f>
        <v>0</v>
      </c>
      <c r="O48" s="125">
        <f>'Alloc Amt'!O48/'Alloc Amt'!$E48</f>
        <v>0</v>
      </c>
      <c r="P48" s="125">
        <f>'Alloc Amt'!P48/'Alloc Amt'!$E48</f>
        <v>0</v>
      </c>
      <c r="Q48" s="125">
        <f>'Alloc Amt'!Q48/'Alloc Amt'!$E48</f>
        <v>6.0206234985641059E-3</v>
      </c>
      <c r="R48" s="159"/>
      <c r="S48" s="7"/>
      <c r="T48" s="7"/>
      <c r="U48" s="7"/>
      <c r="V48" s="7"/>
      <c r="W48" s="7"/>
      <c r="X48" s="7"/>
    </row>
    <row r="49" spans="2:24" x14ac:dyDescent="0.25">
      <c r="B49" s="6" t="str">
        <f>'Alloc Amt'!B49</f>
        <v>Allocate Substation Land - 12 NCP</v>
      </c>
      <c r="C49" s="6" t="str">
        <f>'Alloc Amt'!C49</f>
        <v>NCP_360</v>
      </c>
      <c r="D49" s="6">
        <f>'Alloc Amt'!D49</f>
        <v>42</v>
      </c>
      <c r="E49" s="125">
        <f t="shared" si="0"/>
        <v>1</v>
      </c>
      <c r="F49" s="125">
        <f>'Alloc Amt'!F49/'Alloc Amt'!$E49</f>
        <v>0.40940547241121222</v>
      </c>
      <c r="G49" s="125">
        <f>'Alloc Amt'!G49/'Alloc Amt'!$E49</f>
        <v>0.16007715671561679</v>
      </c>
      <c r="H49" s="125">
        <f>'Alloc Amt'!H49/'Alloc Amt'!$E49</f>
        <v>0.20137341655772095</v>
      </c>
      <c r="I49" s="125">
        <f>'Alloc Amt'!I49/'Alloc Amt'!$E49</f>
        <v>0.114339142974466</v>
      </c>
      <c r="J49" s="125">
        <f>'Alloc Amt'!J49/'Alloc Amt'!$E49</f>
        <v>0.10845052794618527</v>
      </c>
      <c r="K49" s="125">
        <f>'Alloc Amt'!K49/'Alloc Amt'!$E49</f>
        <v>2.0303186836565064E-5</v>
      </c>
      <c r="L49" s="125">
        <f>'Alloc Amt'!L49/'Alloc Amt'!$E49</f>
        <v>5.441676255668629E-3</v>
      </c>
      <c r="M49" s="125">
        <f>'Alloc Amt'!M49/'Alloc Amt'!$E49</f>
        <v>0</v>
      </c>
      <c r="N49" s="125">
        <f>'Alloc Amt'!N49/'Alloc Amt'!$E49</f>
        <v>0</v>
      </c>
      <c r="O49" s="125">
        <f>'Alloc Amt'!O49/'Alloc Amt'!$E49</f>
        <v>0</v>
      </c>
      <c r="P49" s="125">
        <f>'Alloc Amt'!P49/'Alloc Amt'!$E49</f>
        <v>8.2621304920744076E-4</v>
      </c>
      <c r="Q49" s="125">
        <f>'Alloc Amt'!Q49/'Alloc Amt'!$E49</f>
        <v>6.6090903086134288E-5</v>
      </c>
      <c r="R49" s="159"/>
      <c r="S49" s="7"/>
      <c r="T49" s="7"/>
      <c r="U49" s="7"/>
      <c r="V49" s="7"/>
      <c r="W49" s="7"/>
      <c r="X49" s="7"/>
    </row>
    <row r="50" spans="2:24" x14ac:dyDescent="0.25">
      <c r="B50" s="6" t="str">
        <f>'Alloc Amt'!B50</f>
        <v>Allocate Substation Structures - 12 NCP</v>
      </c>
      <c r="C50" s="6" t="str">
        <f>'Alloc Amt'!C50</f>
        <v>NCP_361</v>
      </c>
      <c r="D50" s="6">
        <f>'Alloc Amt'!D50</f>
        <v>43</v>
      </c>
      <c r="E50" s="125">
        <f t="shared" si="0"/>
        <v>0.99999999999999989</v>
      </c>
      <c r="F50" s="125">
        <f>'Alloc Amt'!F50/'Alloc Amt'!$E50</f>
        <v>0.49601126194172962</v>
      </c>
      <c r="G50" s="125">
        <f>'Alloc Amt'!G50/'Alloc Amt'!$E50</f>
        <v>0.14605593210339615</v>
      </c>
      <c r="H50" s="125">
        <f>'Alloc Amt'!H50/'Alloc Amt'!$E50</f>
        <v>0.17543979015707517</v>
      </c>
      <c r="I50" s="125">
        <f>'Alloc Amt'!I50/'Alloc Amt'!$E50</f>
        <v>0.10941976336883391</v>
      </c>
      <c r="J50" s="125">
        <f>'Alloc Amt'!J50/'Alloc Amt'!$E50</f>
        <v>6.3279435251893265E-2</v>
      </c>
      <c r="K50" s="125">
        <f>'Alloc Amt'!K50/'Alloc Amt'!$E50</f>
        <v>0</v>
      </c>
      <c r="L50" s="125">
        <f>'Alloc Amt'!L50/'Alloc Amt'!$E50</f>
        <v>8.8105704384384941E-3</v>
      </c>
      <c r="M50" s="125">
        <f>'Alloc Amt'!M50/'Alloc Amt'!$E50</f>
        <v>0</v>
      </c>
      <c r="N50" s="125">
        <f>'Alloc Amt'!N50/'Alloc Amt'!$E50</f>
        <v>0</v>
      </c>
      <c r="O50" s="125">
        <f>'Alloc Amt'!O50/'Alloc Amt'!$E50</f>
        <v>0</v>
      </c>
      <c r="P50" s="125">
        <f>'Alloc Amt'!P50/'Alloc Amt'!$E50</f>
        <v>8.7575540193191243E-4</v>
      </c>
      <c r="Q50" s="125">
        <f>'Alloc Amt'!Q50/'Alloc Amt'!$E50</f>
        <v>1.0749133670144383E-4</v>
      </c>
      <c r="R50" s="159"/>
      <c r="S50" s="7"/>
      <c r="T50" s="7"/>
      <c r="U50" s="7"/>
      <c r="V50" s="7"/>
      <c r="W50" s="7"/>
      <c r="X50" s="7"/>
    </row>
    <row r="51" spans="2:24" x14ac:dyDescent="0.25">
      <c r="B51" s="6" t="str">
        <f>'Alloc Amt'!B51</f>
        <v>Allocate Substation Equipment - 12 NCP</v>
      </c>
      <c r="C51" s="6" t="str">
        <f>'Alloc Amt'!C51</f>
        <v>NCP_362</v>
      </c>
      <c r="D51" s="6">
        <f>'Alloc Amt'!D51</f>
        <v>44</v>
      </c>
      <c r="E51" s="125">
        <f t="shared" si="0"/>
        <v>1</v>
      </c>
      <c r="F51" s="125">
        <f>'Alloc Amt'!F51/'Alloc Amt'!$E51</f>
        <v>0.54457524271034785</v>
      </c>
      <c r="G51" s="125">
        <f>'Alloc Amt'!G51/'Alloc Amt'!$E51</f>
        <v>0.14087937800043182</v>
      </c>
      <c r="H51" s="125">
        <f>'Alloc Amt'!H51/'Alloc Amt'!$E51</f>
        <v>0.15173163209487195</v>
      </c>
      <c r="I51" s="125">
        <f>'Alloc Amt'!I51/'Alloc Amt'!$E51</f>
        <v>8.5999559586225016E-2</v>
      </c>
      <c r="J51" s="125">
        <f>'Alloc Amt'!J51/'Alloc Amt'!$E51</f>
        <v>6.6700776305602283E-2</v>
      </c>
      <c r="K51" s="125">
        <f>'Alloc Amt'!K51/'Alloc Amt'!$E51</f>
        <v>2.4369914277479039E-4</v>
      </c>
      <c r="L51" s="125">
        <f>'Alloc Amt'!L51/'Alloc Amt'!$E51</f>
        <v>8.6189607373069084E-3</v>
      </c>
      <c r="M51" s="125">
        <f>'Alloc Amt'!M51/'Alloc Amt'!$E51</f>
        <v>0</v>
      </c>
      <c r="N51" s="125">
        <f>'Alloc Amt'!N51/'Alloc Amt'!$E51</f>
        <v>0</v>
      </c>
      <c r="O51" s="125">
        <f>'Alloc Amt'!O51/'Alloc Amt'!$E51</f>
        <v>0</v>
      </c>
      <c r="P51" s="125">
        <f>'Alloc Amt'!P51/'Alloc Amt'!$E51</f>
        <v>9.6430170852159034E-4</v>
      </c>
      <c r="Q51" s="125">
        <f>'Alloc Amt'!Q51/'Alloc Amt'!$E51</f>
        <v>2.864497139178493E-4</v>
      </c>
      <c r="R51" s="159"/>
      <c r="S51" s="7"/>
      <c r="T51" s="7"/>
      <c r="U51" s="7"/>
      <c r="V51" s="7"/>
      <c r="W51" s="7"/>
      <c r="X51" s="7"/>
    </row>
    <row r="52" spans="2:24" x14ac:dyDescent="0.25">
      <c r="B52" s="6" t="str">
        <f>'Alloc Amt'!B52</f>
        <v>Allocate Overhead Lines - 12 NCP</v>
      </c>
      <c r="C52" s="6" t="str">
        <f>'Alloc Amt'!C52</f>
        <v>OH_NCP</v>
      </c>
      <c r="D52" s="6">
        <f>'Alloc Amt'!D52</f>
        <v>45</v>
      </c>
      <c r="E52" s="125">
        <f t="shared" si="0"/>
        <v>1.0000000000000002</v>
      </c>
      <c r="F52" s="125">
        <f>'Alloc Amt'!F52/'Alloc Amt'!$E52</f>
        <v>0.67931750604630792</v>
      </c>
      <c r="G52" s="125">
        <f>'Alloc Amt'!G52/'Alloc Amt'!$E52</f>
        <v>0.13025747319621001</v>
      </c>
      <c r="H52" s="125">
        <f>'Alloc Amt'!H52/'Alloc Amt'!$E52</f>
        <v>0.10062503643867951</v>
      </c>
      <c r="I52" s="125">
        <f>'Alloc Amt'!I52/'Alloc Amt'!$E52</f>
        <v>4.1929108926018935E-2</v>
      </c>
      <c r="J52" s="125">
        <f>'Alloc Amt'!J52/'Alloc Amt'!$E52</f>
        <v>3.5716942327371139E-2</v>
      </c>
      <c r="K52" s="125">
        <f>'Alloc Amt'!K52/'Alloc Amt'!$E52</f>
        <v>8.0014314118505639E-4</v>
      </c>
      <c r="L52" s="125">
        <f>'Alloc Amt'!L52/'Alloc Amt'!$E52</f>
        <v>9.9897268053983548E-3</v>
      </c>
      <c r="M52" s="125">
        <f>'Alloc Amt'!M52/'Alloc Amt'!$E52</f>
        <v>0</v>
      </c>
      <c r="N52" s="125">
        <f>'Alloc Amt'!N52/'Alloc Amt'!$E52</f>
        <v>0</v>
      </c>
      <c r="O52" s="125">
        <f>'Alloc Amt'!O52/'Alloc Amt'!$E52</f>
        <v>0</v>
      </c>
      <c r="P52" s="125">
        <f>'Alloc Amt'!P52/'Alloc Amt'!$E52</f>
        <v>6.5438842325561773E-4</v>
      </c>
      <c r="Q52" s="125">
        <f>'Alloc Amt'!Q52/'Alloc Amt'!$E52</f>
        <v>7.0967469557368067E-4</v>
      </c>
      <c r="R52" s="159"/>
      <c r="S52" s="7"/>
      <c r="T52" s="7"/>
      <c r="U52" s="7"/>
      <c r="V52" s="7"/>
      <c r="W52" s="7"/>
      <c r="X52" s="7"/>
    </row>
    <row r="53" spans="2:24" x14ac:dyDescent="0.25">
      <c r="B53" s="6" t="str">
        <f>'Alloc Amt'!B53</f>
        <v>Allocate Overhead Transformers</v>
      </c>
      <c r="C53" s="6" t="str">
        <f>'Alloc Amt'!C53</f>
        <v>OH_TFMR</v>
      </c>
      <c r="D53" s="6">
        <f>'Alloc Amt'!D53</f>
        <v>46</v>
      </c>
      <c r="E53" s="125">
        <f t="shared" si="0"/>
        <v>1</v>
      </c>
      <c r="F53" s="125">
        <f>'Alloc Amt'!F53/'Alloc Amt'!$E53</f>
        <v>0.7303429587007737</v>
      </c>
      <c r="G53" s="125">
        <f>'Alloc Amt'!G53/'Alloc Amt'!$E53</f>
        <v>0.11447772228662677</v>
      </c>
      <c r="H53" s="125">
        <f>'Alloc Amt'!H53/'Alloc Amt'!$E53</f>
        <v>1.4681822696456839E-2</v>
      </c>
      <c r="I53" s="125">
        <f>'Alloc Amt'!I53/'Alloc Amt'!$E53</f>
        <v>1.8637852716737259E-4</v>
      </c>
      <c r="J53" s="125">
        <f>'Alloc Amt'!J53/'Alloc Amt'!$E53</f>
        <v>0</v>
      </c>
      <c r="K53" s="125">
        <f>'Alloc Amt'!K53/'Alloc Amt'!$E53</f>
        <v>0</v>
      </c>
      <c r="L53" s="125">
        <f>'Alloc Amt'!L53/'Alloc Amt'!$E53</f>
        <v>0</v>
      </c>
      <c r="M53" s="125">
        <f>'Alloc Amt'!M53/'Alloc Amt'!$E53</f>
        <v>0</v>
      </c>
      <c r="N53" s="125">
        <f>'Alloc Amt'!N53/'Alloc Amt'!$E53</f>
        <v>0</v>
      </c>
      <c r="O53" s="125">
        <f>'Alloc Amt'!O53/'Alloc Amt'!$E53</f>
        <v>0</v>
      </c>
      <c r="P53" s="125">
        <f>'Alloc Amt'!P53/'Alloc Amt'!$E53</f>
        <v>0.14031111778897534</v>
      </c>
      <c r="Q53" s="125">
        <f>'Alloc Amt'!Q53/'Alloc Amt'!$E53</f>
        <v>0</v>
      </c>
      <c r="R53" s="159"/>
      <c r="S53" s="7"/>
      <c r="T53" s="7"/>
      <c r="U53" s="7"/>
      <c r="V53" s="7"/>
      <c r="W53" s="7"/>
      <c r="X53" s="7"/>
    </row>
    <row r="54" spans="2:24" x14ac:dyDescent="0.25">
      <c r="B54" s="6" t="str">
        <f>'Alloc Amt'!B54</f>
        <v>Allocate Underground Lines - 12 CP</v>
      </c>
      <c r="C54" s="6" t="str">
        <f>'Alloc Amt'!C54</f>
        <v>UG_NCP</v>
      </c>
      <c r="D54" s="6">
        <f>'Alloc Amt'!D54</f>
        <v>47</v>
      </c>
      <c r="E54" s="125">
        <f t="shared" si="0"/>
        <v>1.0000000000000002</v>
      </c>
      <c r="F54" s="125">
        <f>'Alloc Amt'!F54/'Alloc Amt'!$E54</f>
        <v>0.66763664754224528</v>
      </c>
      <c r="G54" s="125">
        <f>'Alloc Amt'!G54/'Alloc Amt'!$E54</f>
        <v>0.12354566571435271</v>
      </c>
      <c r="H54" s="125">
        <f>'Alloc Amt'!H54/'Alloc Amt'!$E54</f>
        <v>0.11401776950604361</v>
      </c>
      <c r="I54" s="125">
        <f>'Alloc Amt'!I54/'Alloc Amt'!$E54</f>
        <v>4.8959402478190729E-2</v>
      </c>
      <c r="J54" s="125">
        <f>'Alloc Amt'!J54/'Alloc Amt'!$E54</f>
        <v>3.3327251842029365E-2</v>
      </c>
      <c r="K54" s="125">
        <f>'Alloc Amt'!K54/'Alloc Amt'!$E54</f>
        <v>3.7100494435435462E-4</v>
      </c>
      <c r="L54" s="125">
        <f>'Alloc Amt'!L54/'Alloc Amt'!$E54</f>
        <v>1.1389036396196589E-2</v>
      </c>
      <c r="M54" s="125">
        <f>'Alloc Amt'!M54/'Alloc Amt'!$E54</f>
        <v>0</v>
      </c>
      <c r="N54" s="125">
        <f>'Alloc Amt'!N54/'Alloc Amt'!$E54</f>
        <v>0</v>
      </c>
      <c r="O54" s="125">
        <f>'Alloc Amt'!O54/'Alloc Amt'!$E54</f>
        <v>0</v>
      </c>
      <c r="P54" s="125">
        <f>'Alloc Amt'!P54/'Alloc Amt'!$E54</f>
        <v>4.8923728925848956E-4</v>
      </c>
      <c r="Q54" s="125">
        <f>'Alloc Amt'!Q54/'Alloc Amt'!$E54</f>
        <v>2.6398428732906E-4</v>
      </c>
      <c r="R54" s="159"/>
      <c r="S54" s="7"/>
      <c r="T54" s="7"/>
      <c r="U54" s="7"/>
      <c r="V54" s="7"/>
      <c r="W54" s="7"/>
      <c r="X54" s="7"/>
    </row>
    <row r="55" spans="2:24" x14ac:dyDescent="0.25">
      <c r="B55" s="6" t="str">
        <f>'Alloc Amt'!B55</f>
        <v>Allocate Underground Transformers</v>
      </c>
      <c r="C55" s="6" t="str">
        <f>'Alloc Amt'!C55</f>
        <v>UG_TFMR</v>
      </c>
      <c r="D55" s="6">
        <f>'Alloc Amt'!D55</f>
        <v>48</v>
      </c>
      <c r="E55" s="125">
        <f t="shared" si="0"/>
        <v>1</v>
      </c>
      <c r="F55" s="125">
        <f>'Alloc Amt'!F55/'Alloc Amt'!$E55</f>
        <v>0.7355320996358401</v>
      </c>
      <c r="G55" s="125">
        <f>'Alloc Amt'!G55/'Alloc Amt'!$E55</f>
        <v>0.14493820090527729</v>
      </c>
      <c r="H55" s="125">
        <f>'Alloc Amt'!H55/'Alloc Amt'!$E55</f>
        <v>8.7743433698652465E-2</v>
      </c>
      <c r="I55" s="125">
        <f>'Alloc Amt'!I55/'Alloc Amt'!$E55</f>
        <v>2.9422589225516247E-2</v>
      </c>
      <c r="J55" s="125">
        <f>'Alloc Amt'!J55/'Alloc Amt'!$E55</f>
        <v>0</v>
      </c>
      <c r="K55" s="125">
        <f>'Alloc Amt'!K55/'Alloc Amt'!$E55</f>
        <v>0</v>
      </c>
      <c r="L55" s="125">
        <f>'Alloc Amt'!L55/'Alloc Amt'!$E55</f>
        <v>0</v>
      </c>
      <c r="M55" s="125">
        <f>'Alloc Amt'!M55/'Alloc Amt'!$E55</f>
        <v>0</v>
      </c>
      <c r="N55" s="125">
        <f>'Alloc Amt'!N55/'Alloc Amt'!$E55</f>
        <v>0</v>
      </c>
      <c r="O55" s="125">
        <f>'Alloc Amt'!O55/'Alloc Amt'!$E55</f>
        <v>0</v>
      </c>
      <c r="P55" s="125">
        <f>'Alloc Amt'!P55/'Alloc Amt'!$E55</f>
        <v>2.3045907603834585E-3</v>
      </c>
      <c r="Q55" s="125">
        <f>'Alloc Amt'!Q55/'Alloc Amt'!$E55</f>
        <v>5.9085774330539027E-5</v>
      </c>
      <c r="R55" s="159"/>
      <c r="S55" s="7"/>
      <c r="T55" s="7"/>
      <c r="U55" s="7"/>
      <c r="V55" s="7"/>
      <c r="W55" s="7"/>
      <c r="X55" s="7"/>
    </row>
    <row r="56" spans="2:24" x14ac:dyDescent="0.25">
      <c r="B56" s="6" t="str">
        <f>'Alloc Amt'!B56</f>
        <v>Equip. (Transformer &amp; Substation) Rentals</v>
      </c>
      <c r="C56" s="6" t="str">
        <f>'Alloc Amt'!C56</f>
        <v>DIR454.05</v>
      </c>
      <c r="D56" s="6">
        <f>'Alloc Amt'!D56</f>
        <v>49</v>
      </c>
      <c r="E56" s="125">
        <f t="shared" si="0"/>
        <v>1.0000000000000002</v>
      </c>
      <c r="F56" s="125">
        <f>'Alloc Amt'!F56/'Alloc Amt'!$E56</f>
        <v>0</v>
      </c>
      <c r="G56" s="125">
        <f>'Alloc Amt'!G56/'Alloc Amt'!$E56</f>
        <v>0</v>
      </c>
      <c r="H56" s="125">
        <f>'Alloc Amt'!H56/'Alloc Amt'!$E56</f>
        <v>0</v>
      </c>
      <c r="I56" s="125">
        <f>'Alloc Amt'!I56/'Alloc Amt'!$E56</f>
        <v>0</v>
      </c>
      <c r="J56" s="125">
        <f>'Alloc Amt'!J56/'Alloc Amt'!$E56</f>
        <v>0.15252047115174688</v>
      </c>
      <c r="K56" s="125">
        <f>'Alloc Amt'!K56/'Alloc Amt'!$E56</f>
        <v>0</v>
      </c>
      <c r="L56" s="125">
        <f>'Alloc Amt'!L56/'Alloc Amt'!$E56</f>
        <v>2.8692555375480428E-3</v>
      </c>
      <c r="M56" s="125">
        <f>'Alloc Amt'!M56/'Alloc Amt'!$E56</f>
        <v>1.8120200537630402E-2</v>
      </c>
      <c r="N56" s="125">
        <f>'Alloc Amt'!N56/'Alloc Amt'!$E56</f>
        <v>0.63667414965169566</v>
      </c>
      <c r="O56" s="125">
        <f>'Alloc Amt'!O56/'Alloc Amt'!$E56</f>
        <v>0.18903994303462143</v>
      </c>
      <c r="P56" s="125">
        <f>'Alloc Amt'!P56/'Alloc Amt'!$E56</f>
        <v>0</v>
      </c>
      <c r="Q56" s="125">
        <f>'Alloc Amt'!Q56/'Alloc Amt'!$E56</f>
        <v>7.7598008675775019E-4</v>
      </c>
      <c r="R56" s="159"/>
      <c r="S56" s="7"/>
      <c r="T56" s="7"/>
      <c r="U56" s="7"/>
      <c r="V56" s="7"/>
      <c r="W56" s="7"/>
      <c r="X56" s="7"/>
    </row>
    <row r="57" spans="2:24" x14ac:dyDescent="0.25">
      <c r="B57" s="6" t="str">
        <f>'Alloc Amt'!B57</f>
        <v>BPA Residential Exchange kWh</v>
      </c>
      <c r="C57" s="6" t="str">
        <f>'Alloc Amt'!C57</f>
        <v>BPAX</v>
      </c>
      <c r="D57" s="6">
        <f>'Alloc Amt'!D57</f>
        <v>50</v>
      </c>
      <c r="E57" s="125">
        <f t="shared" si="0"/>
        <v>1.0000000000000002</v>
      </c>
      <c r="F57" s="125">
        <f>'Alloc Amt'!F57/'Alloc Amt'!$E57</f>
        <v>0.95527023080075346</v>
      </c>
      <c r="G57" s="125">
        <f>'Alloc Amt'!G57/'Alloc Amt'!$E57</f>
        <v>2.3950176947135578E-2</v>
      </c>
      <c r="H57" s="125">
        <f>'Alloc Amt'!H57/'Alloc Amt'!$E57</f>
        <v>1.5547633533287933E-2</v>
      </c>
      <c r="I57" s="125">
        <f>'Alloc Amt'!I57/'Alloc Amt'!$E57</f>
        <v>1.6190337313309329E-3</v>
      </c>
      <c r="J57" s="125">
        <f>'Alloc Amt'!J57/'Alloc Amt'!$E57</f>
        <v>3.0104510727716359E-3</v>
      </c>
      <c r="K57" s="125">
        <f>'Alloc Amt'!K57/'Alloc Amt'!$E57</f>
        <v>4.1692230577485684E-4</v>
      </c>
      <c r="L57" s="125">
        <f>'Alloc Amt'!L57/'Alloc Amt'!$E57</f>
        <v>0</v>
      </c>
      <c r="M57" s="125">
        <f>'Alloc Amt'!M57/'Alloc Amt'!$E57</f>
        <v>0</v>
      </c>
      <c r="N57" s="125">
        <f>'Alloc Amt'!N57/'Alloc Amt'!$E57</f>
        <v>0</v>
      </c>
      <c r="O57" s="125">
        <f>'Alloc Amt'!O57/'Alloc Amt'!$E57</f>
        <v>0</v>
      </c>
      <c r="P57" s="125">
        <f>'Alloc Amt'!P57/'Alloc Amt'!$E57</f>
        <v>1.8555160894588536E-4</v>
      </c>
      <c r="Q57" s="125">
        <f>'Alloc Amt'!Q57/'Alloc Amt'!$E57</f>
        <v>0</v>
      </c>
      <c r="R57" s="159"/>
      <c r="S57" s="7"/>
      <c r="T57" s="7"/>
      <c r="U57" s="7"/>
      <c r="V57" s="7"/>
      <c r="W57" s="7"/>
      <c r="X57" s="7"/>
    </row>
    <row r="58" spans="2:24" x14ac:dyDescent="0.25">
      <c r="B58" s="6" t="str">
        <f>'Alloc Amt'!B58</f>
        <v>Annual kWhs</v>
      </c>
      <c r="C58" s="6" t="str">
        <f>'Alloc Amt'!C58</f>
        <v>ENERGY_1</v>
      </c>
      <c r="D58" s="6">
        <f>'Alloc Amt'!D58</f>
        <v>51</v>
      </c>
      <c r="E58" s="125">
        <f t="shared" si="0"/>
        <v>1.0000000000000002</v>
      </c>
      <c r="F58" s="125">
        <f>'Alloc Amt'!F58/'Alloc Amt'!$E58</f>
        <v>0.46468859388342376</v>
      </c>
      <c r="G58" s="125">
        <f>'Alloc Amt'!G58/'Alloc Amt'!$E58</f>
        <v>0.12202171045373814</v>
      </c>
      <c r="H58" s="125">
        <f>'Alloc Amt'!H58/'Alloc Amt'!$E58</f>
        <v>0.12563348413862588</v>
      </c>
      <c r="I58" s="125">
        <f>'Alloc Amt'!I58/'Alloc Amt'!$E58</f>
        <v>8.2881834765981835E-2</v>
      </c>
      <c r="J58" s="125">
        <f>'Alloc Amt'!J58/'Alloc Amt'!$E58</f>
        <v>5.4105529243114493E-2</v>
      </c>
      <c r="K58" s="125">
        <f>'Alloc Amt'!K58/'Alloc Amt'!$E58</f>
        <v>1.8789920614908733E-4</v>
      </c>
      <c r="L58" s="125">
        <f>'Alloc Amt'!L58/'Alloc Amt'!$E58</f>
        <v>5.1111617483568994E-3</v>
      </c>
      <c r="M58" s="125">
        <f>'Alloc Amt'!M58/'Alloc Amt'!$E58</f>
        <v>2.8321484222276278E-2</v>
      </c>
      <c r="N58" s="125">
        <f>'Alloc Amt'!N58/'Alloc Amt'!$E58</f>
        <v>2.5882572156662523E-2</v>
      </c>
      <c r="O58" s="125">
        <f>'Alloc Amt'!O58/'Alloc Amt'!$E58</f>
        <v>8.75357171460584E-2</v>
      </c>
      <c r="P58" s="125">
        <f>'Alloc Amt'!P58/'Alloc Amt'!$E58</f>
        <v>3.3344293589362426E-3</v>
      </c>
      <c r="Q58" s="125">
        <f>'Alloc Amt'!Q58/'Alloc Amt'!$E58</f>
        <v>2.9558367667650046E-4</v>
      </c>
      <c r="R58" s="159"/>
      <c r="S58" s="7"/>
      <c r="T58" s="7"/>
      <c r="U58" s="7"/>
      <c r="V58" s="7"/>
      <c r="W58" s="7"/>
      <c r="X58" s="7"/>
    </row>
    <row r="59" spans="2:24" x14ac:dyDescent="0.25">
      <c r="B59" s="6" t="str">
        <f>'Alloc Amt'!B59</f>
        <v>Energy - No Retail Wheeling</v>
      </c>
      <c r="C59" s="6" t="str">
        <f>'Alloc Amt'!C59</f>
        <v>ENERGY_2</v>
      </c>
      <c r="D59" s="6">
        <f>'Alloc Amt'!D59</f>
        <v>52</v>
      </c>
      <c r="E59" s="125">
        <f t="shared" si="0"/>
        <v>1.0000000000000002</v>
      </c>
      <c r="F59" s="125">
        <f>'Alloc Amt'!F59/'Alloc Amt'!$E59</f>
        <v>0.50926770791510168</v>
      </c>
      <c r="G59" s="125">
        <f>'Alloc Amt'!G59/'Alloc Amt'!$E59</f>
        <v>0.13372765679341139</v>
      </c>
      <c r="H59" s="125">
        <f>'Alloc Amt'!H59/'Alloc Amt'!$E59</f>
        <v>0.13768591987587539</v>
      </c>
      <c r="I59" s="125">
        <f>'Alloc Amt'!I59/'Alloc Amt'!$E59</f>
        <v>9.0832963353644783E-2</v>
      </c>
      <c r="J59" s="125">
        <f>'Alloc Amt'!J59/'Alloc Amt'!$E59</f>
        <v>5.9296051648056874E-2</v>
      </c>
      <c r="K59" s="125">
        <f>'Alloc Amt'!K59/'Alloc Amt'!$E59</f>
        <v>2.0592499857790533E-4</v>
      </c>
      <c r="L59" s="125">
        <f>'Alloc Amt'!L59/'Alloc Amt'!$E59</f>
        <v>5.6014924029361094E-3</v>
      </c>
      <c r="M59" s="125">
        <f>'Alloc Amt'!M59/'Alloc Amt'!$E59</f>
        <v>3.1038457893052353E-2</v>
      </c>
      <c r="N59" s="125">
        <f>'Alloc Amt'!N59/'Alloc Amt'!$E59</f>
        <v>2.8365572924902698E-2</v>
      </c>
      <c r="O59" s="125">
        <f>'Alloc Amt'!O59/'Alloc Amt'!$E59</f>
        <v>0</v>
      </c>
      <c r="P59" s="125">
        <f>'Alloc Amt'!P59/'Alloc Amt'!$E59</f>
        <v>3.6543121978506923E-3</v>
      </c>
      <c r="Q59" s="125">
        <f>'Alloc Amt'!Q59/'Alloc Amt'!$E59</f>
        <v>3.2393999659032641E-4</v>
      </c>
      <c r="R59" s="159"/>
      <c r="S59" s="7"/>
      <c r="T59" s="7"/>
      <c r="U59" s="7"/>
      <c r="V59" s="7"/>
      <c r="W59" s="7"/>
      <c r="X59" s="7"/>
    </row>
    <row r="60" spans="2:24" x14ac:dyDescent="0.25">
      <c r="B60" s="6">
        <f>'Alloc Amt'!B60</f>
        <v>0</v>
      </c>
      <c r="C60" s="6">
        <f>'Alloc Amt'!C60</f>
        <v>0</v>
      </c>
      <c r="D60" s="6">
        <f>'Alloc Amt'!D60</f>
        <v>53</v>
      </c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</row>
    <row r="61" spans="2:24" x14ac:dyDescent="0.25">
      <c r="B61" s="6" t="str">
        <f>'Alloc Amt'!B61</f>
        <v>Total Struct and Improvements</v>
      </c>
      <c r="C61" s="6" t="str">
        <f>'Alloc Amt'!C61</f>
        <v>D360.T</v>
      </c>
      <c r="D61" s="6">
        <f>'Alloc Amt'!D61</f>
        <v>54</v>
      </c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</row>
    <row r="62" spans="2:24" x14ac:dyDescent="0.25">
      <c r="B62" s="6" t="str">
        <f>'Alloc Amt'!B62</f>
        <v>Total Struct and Improvements</v>
      </c>
      <c r="C62" s="6" t="str">
        <f>'Alloc Amt'!C62</f>
        <v>D361.T</v>
      </c>
      <c r="D62" s="6">
        <f>'Alloc Amt'!D62</f>
        <v>55</v>
      </c>
      <c r="E62" s="125">
        <f t="shared" si="0"/>
        <v>0.99999999999999989</v>
      </c>
      <c r="F62" s="125">
        <f>'Alloc Amt'!F62/'Alloc Amt'!$E62</f>
        <v>0.45114938668710913</v>
      </c>
      <c r="G62" s="125">
        <f>'Alloc Amt'!G62/'Alloc Amt'!$E62</f>
        <v>0.13284586308083102</v>
      </c>
      <c r="H62" s="125">
        <f>'Alloc Amt'!H62/'Alloc Amt'!$E62</f>
        <v>0.15957208999657332</v>
      </c>
      <c r="I62" s="125">
        <f>'Alloc Amt'!I62/'Alloc Amt'!$E62</f>
        <v>9.952326272200103E-2</v>
      </c>
      <c r="J62" s="125">
        <f>'Alloc Amt'!J62/'Alloc Amt'!$E62</f>
        <v>5.7556109294857286E-2</v>
      </c>
      <c r="K62" s="125">
        <f>'Alloc Amt'!K62/'Alloc Amt'!$E62</f>
        <v>0</v>
      </c>
      <c r="L62" s="125">
        <f>'Alloc Amt'!L62/'Alloc Amt'!$E62</f>
        <v>8.0136959675162819E-3</v>
      </c>
      <c r="M62" s="125">
        <f>'Alloc Amt'!M62/'Alloc Amt'!$E62</f>
        <v>4.5795443180466917E-2</v>
      </c>
      <c r="N62" s="125">
        <f>'Alloc Amt'!N62/'Alloc Amt'!$E62</f>
        <v>2.043201368384789E-2</v>
      </c>
      <c r="O62" s="125">
        <f>'Alloc Amt'!O62/'Alloc Amt'!$E62</f>
        <v>2.4217818670357917E-2</v>
      </c>
      <c r="P62" s="125">
        <f>'Alloc Amt'!P62/'Alloc Amt'!$E62</f>
        <v>7.9654746330320243E-4</v>
      </c>
      <c r="Q62" s="125">
        <f>'Alloc Amt'!Q62/'Alloc Amt'!$E62</f>
        <v>9.7769253135891458E-5</v>
      </c>
    </row>
    <row r="63" spans="2:24" x14ac:dyDescent="0.25">
      <c r="B63" s="6" t="str">
        <f>'Alloc Amt'!B63</f>
        <v>Total Station Equip</v>
      </c>
      <c r="C63" s="6" t="str">
        <f>'Alloc Amt'!C63</f>
        <v>D362.T</v>
      </c>
      <c r="D63" s="6">
        <f>'Alloc Amt'!D63</f>
        <v>56</v>
      </c>
      <c r="E63" s="125">
        <f t="shared" si="0"/>
        <v>1</v>
      </c>
      <c r="F63" s="125">
        <f>'Alloc Amt'!F63/'Alloc Amt'!$E63</f>
        <v>0.49761087478950272</v>
      </c>
      <c r="G63" s="125">
        <f>'Alloc Amt'!G63/'Alloc Amt'!$E63</f>
        <v>0.12872988896390722</v>
      </c>
      <c r="H63" s="125">
        <f>'Alloc Amt'!H63/'Alloc Amt'!$E63</f>
        <v>0.13864624069979509</v>
      </c>
      <c r="I63" s="125">
        <f>'Alloc Amt'!I63/'Alloc Amt'!$E63</f>
        <v>7.8582926142999693E-2</v>
      </c>
      <c r="J63" s="125">
        <f>'Alloc Amt'!J63/'Alloc Amt'!$E63</f>
        <v>6.2771676356608325E-2</v>
      </c>
      <c r="K63" s="125">
        <f>'Alloc Amt'!K63/'Alloc Amt'!$E63</f>
        <v>2.2268243965345999E-4</v>
      </c>
      <c r="L63" s="125">
        <f>'Alloc Amt'!L63/'Alloc Amt'!$E63</f>
        <v>7.8756584139262273E-3</v>
      </c>
      <c r="M63" s="125">
        <f>'Alloc Amt'!M63/'Alloc Amt'!$E63</f>
        <v>3.4678048025412897E-2</v>
      </c>
      <c r="N63" s="125">
        <f>'Alloc Amt'!N63/'Alloc Amt'!$E63</f>
        <v>3.4000328764022633E-2</v>
      </c>
      <c r="O63" s="125">
        <f>'Alloc Amt'!O63/'Alloc Amt'!$E63</f>
        <v>1.5738789241432117E-2</v>
      </c>
      <c r="P63" s="125">
        <f>'Alloc Amt'!P63/'Alloc Amt'!$E63</f>
        <v>8.8113997681981424E-4</v>
      </c>
      <c r="Q63" s="125">
        <f>'Alloc Amt'!Q63/'Alloc Amt'!$E63</f>
        <v>2.6174618591994847E-4</v>
      </c>
    </row>
    <row r="64" spans="2:24" x14ac:dyDescent="0.25">
      <c r="B64" s="6" t="str">
        <f>'Alloc Amt'!B64</f>
        <v>Total OVHD Lines</v>
      </c>
      <c r="C64" s="6" t="str">
        <f>'Alloc Amt'!C64</f>
        <v>D364.T</v>
      </c>
      <c r="D64" s="6">
        <f>'Alloc Amt'!D64</f>
        <v>57</v>
      </c>
      <c r="E64" s="125">
        <f t="shared" si="0"/>
        <v>1</v>
      </c>
      <c r="F64" s="125">
        <f>'Alloc Amt'!F64/'Alloc Amt'!$E64</f>
        <v>0.67778213368105555</v>
      </c>
      <c r="G64" s="125">
        <f>'Alloc Amt'!G64/'Alloc Amt'!$E64</f>
        <v>0.12996306929386242</v>
      </c>
      <c r="H64" s="125">
        <f>'Alloc Amt'!H64/'Alloc Amt'!$E64</f>
        <v>0.10039760685115179</v>
      </c>
      <c r="I64" s="125">
        <f>'Alloc Amt'!I64/'Alloc Amt'!$E64</f>
        <v>4.1834342054016253E-2</v>
      </c>
      <c r="J64" s="125">
        <f>'Alloc Amt'!J64/'Alloc Amt'!$E64</f>
        <v>3.5636216001709478E-2</v>
      </c>
      <c r="K64" s="125">
        <f>'Alloc Amt'!K64/'Alloc Amt'!$E64</f>
        <v>7.9833468246540422E-4</v>
      </c>
      <c r="L64" s="125">
        <f>'Alloc Amt'!L64/'Alloc Amt'!$E64</f>
        <v>9.9671483345994804E-3</v>
      </c>
      <c r="M64" s="125">
        <f>'Alloc Amt'!M64/'Alloc Amt'!$E64</f>
        <v>2.2601689954794574E-3</v>
      </c>
      <c r="N64" s="125">
        <f>'Alloc Amt'!N64/'Alloc Amt'!$E64</f>
        <v>0</v>
      </c>
      <c r="O64" s="125">
        <f>'Alloc Amt'!O64/'Alloc Amt'!$E64</f>
        <v>0</v>
      </c>
      <c r="P64" s="125">
        <f>'Alloc Amt'!P64/'Alloc Amt'!$E64</f>
        <v>6.5290939483037458E-4</v>
      </c>
      <c r="Q64" s="125">
        <f>'Alloc Amt'!Q64/'Alloc Amt'!$E64</f>
        <v>7.0807071082986859E-4</v>
      </c>
    </row>
    <row r="65" spans="2:17" x14ac:dyDescent="0.25">
      <c r="B65" s="6" t="str">
        <f>'Alloc Amt'!B65</f>
        <v>Total UNGD Lines</v>
      </c>
      <c r="C65" s="6" t="str">
        <f>'Alloc Amt'!C65</f>
        <v>D366.T</v>
      </c>
      <c r="D65" s="6">
        <f>'Alloc Amt'!D65</f>
        <v>58</v>
      </c>
      <c r="E65" s="125">
        <f t="shared" si="0"/>
        <v>0.99999999999999989</v>
      </c>
      <c r="F65" s="125">
        <f>'Alloc Amt'!F65/'Alloc Amt'!$E65</f>
        <v>0.65233382570645737</v>
      </c>
      <c r="G65" s="125">
        <f>'Alloc Amt'!G65/'Alloc Amt'!$E65</f>
        <v>0.12071388990041207</v>
      </c>
      <c r="H65" s="125">
        <f>'Alloc Amt'!H65/'Alloc Amt'!$E65</f>
        <v>0.11140438149133834</v>
      </c>
      <c r="I65" s="125">
        <f>'Alloc Amt'!I65/'Alloc Amt'!$E65</f>
        <v>4.7837209716501482E-2</v>
      </c>
      <c r="J65" s="125">
        <f>'Alloc Amt'!J65/'Alloc Amt'!$E65</f>
        <v>3.256336178432738E-2</v>
      </c>
      <c r="K65" s="125">
        <f>'Alloc Amt'!K65/'Alloc Amt'!$E65</f>
        <v>3.6250118323735898E-4</v>
      </c>
      <c r="L65" s="125">
        <f>'Alloc Amt'!L65/'Alloc Amt'!$E65</f>
        <v>1.1127989619489697E-2</v>
      </c>
      <c r="M65" s="125">
        <f>'Alloc Amt'!M65/'Alloc Amt'!$E65</f>
        <v>1.8478470258035212E-2</v>
      </c>
      <c r="N65" s="125">
        <f>'Alloc Amt'!N65/'Alloc Amt'!$E65</f>
        <v>4.4424132676394784E-3</v>
      </c>
      <c r="O65" s="125">
        <f>'Alloc Amt'!O65/'Alloc Amt'!$E65</f>
        <v>0</v>
      </c>
      <c r="P65" s="125">
        <f>'Alloc Amt'!P65/'Alloc Amt'!$E65</f>
        <v>4.7802353833497881E-4</v>
      </c>
      <c r="Q65" s="125">
        <f>'Alloc Amt'!Q65/'Alloc Amt'!$E65</f>
        <v>2.5793353422658231E-4</v>
      </c>
    </row>
    <row r="66" spans="2:17" x14ac:dyDescent="0.25">
      <c r="B66" s="6" t="str">
        <f>'Alloc Amt'!B66</f>
        <v>Total Transformers</v>
      </c>
      <c r="C66" s="6" t="str">
        <f>'Alloc Amt'!C66</f>
        <v>D368.T</v>
      </c>
      <c r="D66" s="6">
        <f>'Alloc Amt'!D66</f>
        <v>59</v>
      </c>
      <c r="E66" s="125">
        <f t="shared" si="0"/>
        <v>1</v>
      </c>
      <c r="F66" s="125">
        <f>'Alloc Amt'!F66/'Alloc Amt'!$E66</f>
        <v>0.72855559295491423</v>
      </c>
      <c r="G66" s="125">
        <f>'Alloc Amt'!G66/'Alloc Amt'!$E66</f>
        <v>0.13338143014946943</v>
      </c>
      <c r="H66" s="125">
        <f>'Alloc Amt'!H66/'Alloc Amt'!$E66</f>
        <v>6.1854654551762117E-2</v>
      </c>
      <c r="I66" s="125">
        <f>'Alloc Amt'!I66/'Alloc Amt'!$E66</f>
        <v>1.9103054747425817E-2</v>
      </c>
      <c r="J66" s="125">
        <f>'Alloc Amt'!J66/'Alloc Amt'!$E66</f>
        <v>1.7790456926471579E-3</v>
      </c>
      <c r="K66" s="125">
        <f>'Alloc Amt'!K66/'Alloc Amt'!$E66</f>
        <v>0</v>
      </c>
      <c r="L66" s="125">
        <f>'Alloc Amt'!L66/'Alloc Amt'!$E66</f>
        <v>1.03316578671448E-4</v>
      </c>
      <c r="M66" s="125">
        <f>'Alloc Amt'!M66/'Alloc Amt'!$E66</f>
        <v>5.1200282590657632E-3</v>
      </c>
      <c r="N66" s="125">
        <f>'Alloc Amt'!N66/'Alloc Amt'!$E66</f>
        <v>0</v>
      </c>
      <c r="O66" s="125">
        <f>'Alloc Amt'!O66/'Alloc Amt'!$E66</f>
        <v>0</v>
      </c>
      <c r="P66" s="125">
        <f>'Alloc Amt'!P66/'Alloc Amt'!$E66</f>
        <v>5.0022230086521541E-2</v>
      </c>
      <c r="Q66" s="125">
        <f>'Alloc Amt'!Q66/'Alloc Amt'!$E66</f>
        <v>8.0646979522532434E-5</v>
      </c>
    </row>
    <row r="67" spans="2:17" x14ac:dyDescent="0.25">
      <c r="B67" s="6" t="str">
        <f>'Alloc Amt'!B67</f>
        <v>Total Services</v>
      </c>
      <c r="C67" s="6" t="str">
        <f>'Alloc Amt'!C67</f>
        <v>D369.T</v>
      </c>
      <c r="D67" s="6">
        <f>'Alloc Amt'!D67</f>
        <v>60</v>
      </c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</row>
    <row r="68" spans="2:17" x14ac:dyDescent="0.25">
      <c r="B68" s="6" t="str">
        <f>'Alloc Amt'!B68</f>
        <v>Total Meters</v>
      </c>
      <c r="C68" s="6" t="str">
        <f>'Alloc Amt'!C68</f>
        <v>D370.T</v>
      </c>
      <c r="D68" s="6">
        <f>'Alloc Amt'!D68</f>
        <v>61</v>
      </c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</row>
    <row r="69" spans="2:17" x14ac:dyDescent="0.25">
      <c r="B69" s="6" t="str">
        <f>'Alloc Amt'!B69</f>
        <v>Adj Total Prod Trans Dist &amp; Cust Exp</v>
      </c>
      <c r="C69" s="6" t="str">
        <f>'Alloc Amt'!C69</f>
        <v>ADJPTDCE.T</v>
      </c>
      <c r="D69" s="6">
        <f>'Alloc Amt'!D69</f>
        <v>62</v>
      </c>
      <c r="E69" s="125">
        <f t="shared" si="0"/>
        <v>1</v>
      </c>
      <c r="F69" s="125">
        <f>'Alloc Amt'!F69/'Alloc Amt'!$E69</f>
        <v>0.60391315714344651</v>
      </c>
      <c r="G69" s="125">
        <f>'Alloc Amt'!G69/'Alloc Amt'!$E69</f>
        <v>0.12724294460972108</v>
      </c>
      <c r="H69" s="125">
        <f>'Alloc Amt'!H69/'Alloc Amt'!$E69</f>
        <v>0.1019199868024936</v>
      </c>
      <c r="I69" s="125">
        <f>'Alloc Amt'!I69/'Alloc Amt'!$E69</f>
        <v>6.0828160411746039E-2</v>
      </c>
      <c r="J69" s="125">
        <f>'Alloc Amt'!J69/'Alloc Amt'!$E69</f>
        <v>4.2782134994701369E-2</v>
      </c>
      <c r="K69" s="125">
        <f>'Alloc Amt'!K69/'Alloc Amt'!$E69</f>
        <v>2.8455579678400019E-4</v>
      </c>
      <c r="L69" s="125">
        <f>'Alloc Amt'!L69/'Alloc Amt'!$E69</f>
        <v>5.9438099634216736E-3</v>
      </c>
      <c r="M69" s="125">
        <f>'Alloc Amt'!M69/'Alloc Amt'!$E69</f>
        <v>1.9521303404808711E-2</v>
      </c>
      <c r="N69" s="125">
        <f>'Alloc Amt'!N69/'Alloc Amt'!$E69</f>
        <v>1.6627474813933948E-2</v>
      </c>
      <c r="O69" s="125">
        <f>'Alloc Amt'!O69/'Alloc Amt'!$E69</f>
        <v>5.8199823937274704E-3</v>
      </c>
      <c r="P69" s="125">
        <f>'Alloc Amt'!P69/'Alloc Amt'!$E69</f>
        <v>1.4774356297766975E-2</v>
      </c>
      <c r="Q69" s="125">
        <f>'Alloc Amt'!Q69/'Alloc Amt'!$E69</f>
        <v>3.4213336744868368E-4</v>
      </c>
    </row>
    <row r="70" spans="2:17" x14ac:dyDescent="0.25">
      <c r="B70" s="6" t="str">
        <f>'Alloc Amt'!B70</f>
        <v>Cust Accts Exp - Total</v>
      </c>
      <c r="C70" s="6" t="str">
        <f>'Alloc Amt'!C70</f>
        <v>CAE.T</v>
      </c>
      <c r="D70" s="6">
        <f>'Alloc Amt'!D70</f>
        <v>63</v>
      </c>
      <c r="E70" s="125">
        <f t="shared" si="0"/>
        <v>0.99999999999999978</v>
      </c>
      <c r="F70" s="125">
        <f>'Alloc Amt'!F70/'Alloc Amt'!$E70</f>
        <v>0.87233112198206819</v>
      </c>
      <c r="G70" s="125">
        <f>'Alloc Amt'!G70/'Alloc Amt'!$E70</f>
        <v>0.1092394934197997</v>
      </c>
      <c r="H70" s="125">
        <f>'Alloc Amt'!H70/'Alloc Amt'!$E70</f>
        <v>7.5718965045429992E-3</v>
      </c>
      <c r="I70" s="125">
        <f>'Alloc Amt'!I70/'Alloc Amt'!$E70</f>
        <v>2.1614844512290077E-3</v>
      </c>
      <c r="J70" s="125">
        <f>'Alloc Amt'!J70/'Alloc Amt'!$E70</f>
        <v>8.7310804445098753E-4</v>
      </c>
      <c r="K70" s="125">
        <f>'Alloc Amt'!K70/'Alloc Amt'!$E70</f>
        <v>8.0220367440802033E-7</v>
      </c>
      <c r="L70" s="125">
        <f>'Alloc Amt'!L70/'Alloc Amt'!$E70</f>
        <v>1.7094312758114799E-4</v>
      </c>
      <c r="M70" s="125">
        <f>'Alloc Amt'!M70/'Alloc Amt'!$E70</f>
        <v>1.2045517252636828E-3</v>
      </c>
      <c r="N70" s="125">
        <f>'Alloc Amt'!N70/'Alloc Amt'!$E70</f>
        <v>6.8958595982671945E-4</v>
      </c>
      <c r="O70" s="125">
        <f>'Alloc Amt'!O70/'Alloc Amt'!$E70</f>
        <v>4.261048787361537E-3</v>
      </c>
      <c r="P70" s="125">
        <f>'Alloc Amt'!P70/'Alloc Amt'!$E70</f>
        <v>1.4905078563586275E-3</v>
      </c>
      <c r="Q70" s="125">
        <f>'Alloc Amt'!Q70/'Alloc Amt'!$E70</f>
        <v>5.4559378428183443E-6</v>
      </c>
    </row>
    <row r="71" spans="2:17" x14ac:dyDescent="0.25">
      <c r="B71" s="6" t="str">
        <f>'Alloc Amt'!B71</f>
        <v>Cust Accts Exp - Subtotal ID902.00 to ID905.00</v>
      </c>
      <c r="C71" s="6" t="str">
        <f>'Alloc Amt'!C71</f>
        <v>CAES1.T</v>
      </c>
      <c r="D71" s="6">
        <f>'Alloc Amt'!D71</f>
        <v>64</v>
      </c>
      <c r="E71" s="125">
        <f t="shared" si="0"/>
        <v>0.99999999999999989</v>
      </c>
      <c r="F71" s="125">
        <f>'Alloc Amt'!F71/'Alloc Amt'!$E71</f>
        <v>0.8723311219820683</v>
      </c>
      <c r="G71" s="125">
        <f>'Alloc Amt'!G71/'Alloc Amt'!$E71</f>
        <v>0.1092394934197997</v>
      </c>
      <c r="H71" s="125">
        <f>'Alloc Amt'!H71/'Alloc Amt'!$E71</f>
        <v>7.5718965045430001E-3</v>
      </c>
      <c r="I71" s="125">
        <f>'Alloc Amt'!I71/'Alloc Amt'!$E71</f>
        <v>2.1614844512290077E-3</v>
      </c>
      <c r="J71" s="125">
        <f>'Alloc Amt'!J71/'Alloc Amt'!$E71</f>
        <v>8.7310804445098753E-4</v>
      </c>
      <c r="K71" s="125">
        <f>'Alloc Amt'!K71/'Alloc Amt'!$E71</f>
        <v>8.0220367440802033E-7</v>
      </c>
      <c r="L71" s="125">
        <f>'Alloc Amt'!L71/'Alloc Amt'!$E71</f>
        <v>1.7094312758114802E-4</v>
      </c>
      <c r="M71" s="125">
        <f>'Alloc Amt'!M71/'Alloc Amt'!$E71</f>
        <v>1.2045517252636828E-3</v>
      </c>
      <c r="N71" s="125">
        <f>'Alloc Amt'!N71/'Alloc Amt'!$E71</f>
        <v>6.8958595982671945E-4</v>
      </c>
      <c r="O71" s="125">
        <f>'Alloc Amt'!O71/'Alloc Amt'!$E71</f>
        <v>4.2610487873615379E-3</v>
      </c>
      <c r="P71" s="125">
        <f>'Alloc Amt'!P71/'Alloc Amt'!$E71</f>
        <v>1.4905078563586277E-3</v>
      </c>
      <c r="Q71" s="125">
        <f>'Alloc Amt'!Q71/'Alloc Amt'!$E71</f>
        <v>5.4559378428183443E-6</v>
      </c>
    </row>
    <row r="72" spans="2:17" x14ac:dyDescent="0.25">
      <c r="B72" s="6" t="str">
        <f>'Alloc Amt'!B72</f>
        <v>Dist O&amp;M - ID581.00 to ID589.00 Subtotal</v>
      </c>
      <c r="C72" s="6" t="str">
        <f>'Alloc Amt'!C72</f>
        <v>DES1.T</v>
      </c>
      <c r="D72" s="6">
        <f>'Alloc Amt'!D72</f>
        <v>65</v>
      </c>
      <c r="E72" s="125">
        <f t="shared" si="0"/>
        <v>1.0000000000000002</v>
      </c>
      <c r="F72" s="125">
        <f>'Alloc Amt'!F72/'Alloc Amt'!$E72</f>
        <v>0.61060168316680785</v>
      </c>
      <c r="G72" s="125">
        <f>'Alloc Amt'!G72/'Alloc Amt'!$E72</f>
        <v>0.13869946322482804</v>
      </c>
      <c r="H72" s="125">
        <f>'Alloc Amt'!H72/'Alloc Amt'!$E72</f>
        <v>8.7457841863258362E-2</v>
      </c>
      <c r="I72" s="125">
        <f>'Alloc Amt'!I72/'Alloc Amt'!$E72</f>
        <v>3.4622537399346363E-2</v>
      </c>
      <c r="J72" s="125">
        <f>'Alloc Amt'!J72/'Alloc Amt'!$E72</f>
        <v>4.7455310807962475E-2</v>
      </c>
      <c r="K72" s="125">
        <f>'Alloc Amt'!K72/'Alloc Amt'!$E72</f>
        <v>3.9607504698807854E-4</v>
      </c>
      <c r="L72" s="125">
        <f>'Alloc Amt'!L72/'Alloc Amt'!$E72</f>
        <v>1.4057363148571912E-2</v>
      </c>
      <c r="M72" s="125">
        <f>'Alloc Amt'!M72/'Alloc Amt'!$E72</f>
        <v>1.0979487168724279E-2</v>
      </c>
      <c r="N72" s="125">
        <f>'Alloc Amt'!N72/'Alloc Amt'!$E72</f>
        <v>6.1638016508317895E-3</v>
      </c>
      <c r="O72" s="125">
        <f>'Alloc Amt'!O72/'Alloc Amt'!$E72</f>
        <v>3.2875071968698722E-3</v>
      </c>
      <c r="P72" s="125">
        <f>'Alloc Amt'!P72/'Alloc Amt'!$E72</f>
        <v>4.5526160082768503E-2</v>
      </c>
      <c r="Q72" s="125">
        <f>'Alloc Amt'!Q72/'Alloc Amt'!$E72</f>
        <v>7.5276924304251648E-4</v>
      </c>
    </row>
    <row r="73" spans="2:17" x14ac:dyDescent="0.25">
      <c r="B73" s="6" t="str">
        <f>'Alloc Amt'!B73</f>
        <v>Dist O&amp;M - ID591.00 to ID597.00 Subtotal</v>
      </c>
      <c r="C73" s="6" t="str">
        <f>'Alloc Amt'!C73</f>
        <v>DES2.T</v>
      </c>
      <c r="D73" s="6">
        <f>'Alloc Amt'!D73</f>
        <v>66</v>
      </c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</row>
    <row r="74" spans="2:17" x14ac:dyDescent="0.25">
      <c r="B74" s="6" t="str">
        <f>'Alloc Amt'!B74</f>
        <v>Dist O&amp;M - ID582.00 to ID587.00 Subtotal</v>
      </c>
      <c r="C74" s="6" t="str">
        <f>'Alloc Amt'!C74</f>
        <v>DES3.T</v>
      </c>
      <c r="D74" s="6">
        <f>'Alloc Amt'!D74</f>
        <v>67</v>
      </c>
      <c r="E74" s="125">
        <f t="shared" ref="E73:E126" si="1">SUM(F74:Q74)</f>
        <v>1.0000000000000002</v>
      </c>
      <c r="F74" s="125">
        <f>'Alloc Amt'!F74/'Alloc Amt'!$E74</f>
        <v>0.61060168316680785</v>
      </c>
      <c r="G74" s="125">
        <f>'Alloc Amt'!G74/'Alloc Amt'!$E74</f>
        <v>0.13869946322482807</v>
      </c>
      <c r="H74" s="125">
        <f>'Alloc Amt'!H74/'Alloc Amt'!$E74</f>
        <v>8.7457841863258376E-2</v>
      </c>
      <c r="I74" s="125">
        <f>'Alloc Amt'!I74/'Alloc Amt'!$E74</f>
        <v>3.4622537399346363E-2</v>
      </c>
      <c r="J74" s="125">
        <f>'Alloc Amt'!J74/'Alloc Amt'!$E74</f>
        <v>4.7455310807962482E-2</v>
      </c>
      <c r="K74" s="125">
        <f>'Alloc Amt'!K74/'Alloc Amt'!$E74</f>
        <v>3.9607504698807849E-4</v>
      </c>
      <c r="L74" s="125">
        <f>'Alloc Amt'!L74/'Alloc Amt'!$E74</f>
        <v>1.4057363148571912E-2</v>
      </c>
      <c r="M74" s="125">
        <f>'Alloc Amt'!M74/'Alloc Amt'!$E74</f>
        <v>1.0979487168724279E-2</v>
      </c>
      <c r="N74" s="125">
        <f>'Alloc Amt'!N74/'Alloc Amt'!$E74</f>
        <v>6.1638016508317895E-3</v>
      </c>
      <c r="O74" s="125">
        <f>'Alloc Amt'!O74/'Alloc Amt'!$E74</f>
        <v>3.2875071968698722E-3</v>
      </c>
      <c r="P74" s="125">
        <f>'Alloc Amt'!P74/'Alloc Amt'!$E74</f>
        <v>4.5526160082768503E-2</v>
      </c>
      <c r="Q74" s="125">
        <f>'Alloc Amt'!Q74/'Alloc Amt'!$E74</f>
        <v>7.5276924304251637E-4</v>
      </c>
    </row>
    <row r="75" spans="2:17" x14ac:dyDescent="0.25">
      <c r="B75" s="6" t="str">
        <f>'Alloc Amt'!B75</f>
        <v>Total Distribution Plant</v>
      </c>
      <c r="C75" s="6" t="str">
        <f>'Alloc Amt'!C75</f>
        <v>DP.T</v>
      </c>
      <c r="D75" s="6">
        <f>'Alloc Amt'!D75</f>
        <v>68</v>
      </c>
      <c r="E75" s="125">
        <f t="shared" si="1"/>
        <v>1</v>
      </c>
      <c r="F75" s="125">
        <f>'Alloc Amt'!F75/'Alloc Amt'!$E75</f>
        <v>0.65137711172961332</v>
      </c>
      <c r="G75" s="125">
        <f>'Alloc Amt'!G75/'Alloc Amt'!$E75</f>
        <v>0.12143462962924183</v>
      </c>
      <c r="H75" s="125">
        <f>'Alloc Amt'!H75/'Alloc Amt'!$E75</f>
        <v>9.727424588731115E-2</v>
      </c>
      <c r="I75" s="125">
        <f>'Alloc Amt'!I75/'Alloc Amt'!$E75</f>
        <v>4.257417414897962E-2</v>
      </c>
      <c r="J75" s="125">
        <f>'Alloc Amt'!J75/'Alloc Amt'!$E75</f>
        <v>3.2997931005340271E-2</v>
      </c>
      <c r="K75" s="125">
        <f>'Alloc Amt'!K75/'Alloc Amt'!$E75</f>
        <v>3.5162786736672112E-4</v>
      </c>
      <c r="L75" s="125">
        <f>'Alloc Amt'!L75/'Alloc Amt'!$E75</f>
        <v>8.7661564063898113E-3</v>
      </c>
      <c r="M75" s="125">
        <f>'Alloc Amt'!M75/'Alloc Amt'!$E75</f>
        <v>1.4734614024038027E-2</v>
      </c>
      <c r="N75" s="125">
        <f>'Alloc Amt'!N75/'Alloc Amt'!$E75</f>
        <v>6.2929964016452096E-3</v>
      </c>
      <c r="O75" s="125">
        <f>'Alloc Amt'!O75/'Alloc Amt'!$E75</f>
        <v>2.0860894675010177E-3</v>
      </c>
      <c r="P75" s="125">
        <f>'Alloc Amt'!P75/'Alloc Amt'!$E75</f>
        <v>2.1756001045502293E-2</v>
      </c>
      <c r="Q75" s="125">
        <f>'Alloc Amt'!Q75/'Alloc Amt'!$E75</f>
        <v>3.5442238707086274E-4</v>
      </c>
    </row>
    <row r="76" spans="2:17" x14ac:dyDescent="0.25">
      <c r="B76" s="6" t="str">
        <f>'Alloc Amt'!B76</f>
        <v>Total Elec Plant In Service</v>
      </c>
      <c r="C76" s="6" t="str">
        <f>'Alloc Amt'!C76</f>
        <v>EPIS.T</v>
      </c>
      <c r="D76" s="6">
        <f>'Alloc Amt'!D76</f>
        <v>69</v>
      </c>
      <c r="E76" s="125">
        <f t="shared" si="1"/>
        <v>1.0000000000000002</v>
      </c>
      <c r="F76" s="125">
        <f>'Alloc Amt'!F76/'Alloc Amt'!$E76</f>
        <v>0.55880987133134707</v>
      </c>
      <c r="G76" s="125">
        <f>'Alloc Amt'!G76/'Alloc Amt'!$E76</f>
        <v>0.12803851876855232</v>
      </c>
      <c r="H76" s="125">
        <f>'Alloc Amt'!H76/'Alloc Amt'!$E76</f>
        <v>0.11947773087766041</v>
      </c>
      <c r="I76" s="125">
        <f>'Alloc Amt'!I76/'Alloc Amt'!$E76</f>
        <v>7.1126073496337552E-2</v>
      </c>
      <c r="J76" s="125">
        <f>'Alloc Amt'!J76/'Alloc Amt'!$E76</f>
        <v>4.8367566364301881E-2</v>
      </c>
      <c r="K76" s="125">
        <f>'Alloc Amt'!K76/'Alloc Amt'!$E76</f>
        <v>2.7487004347882658E-4</v>
      </c>
      <c r="L76" s="125">
        <f>'Alloc Amt'!L76/'Alloc Amt'!$E76</f>
        <v>6.5409535815619257E-3</v>
      </c>
      <c r="M76" s="125">
        <f>'Alloc Amt'!M76/'Alloc Amt'!$E76</f>
        <v>2.4623752724917247E-2</v>
      </c>
      <c r="N76" s="125">
        <f>'Alloc Amt'!N76/'Alloc Amt'!$E76</f>
        <v>1.979804884561075E-2</v>
      </c>
      <c r="O76" s="125">
        <f>'Alloc Amt'!O76/'Alloc Amt'!$E76</f>
        <v>1.1539512391937963E-2</v>
      </c>
      <c r="P76" s="125">
        <f>'Alloc Amt'!P76/'Alloc Amt'!$E76</f>
        <v>1.1076609282805367E-2</v>
      </c>
      <c r="Q76" s="125">
        <f>'Alloc Amt'!Q76/'Alloc Amt'!$E76</f>
        <v>3.2649229148875051E-4</v>
      </c>
    </row>
    <row r="77" spans="2:17" x14ac:dyDescent="0.25">
      <c r="B77" s="6" t="str">
        <f>'Alloc Amt'!B77</f>
        <v>Total General Plant</v>
      </c>
      <c r="C77" s="6" t="str">
        <f>'Alloc Amt'!C77</f>
        <v>GP.T</v>
      </c>
      <c r="D77" s="6">
        <f>'Alloc Amt'!D77</f>
        <v>70</v>
      </c>
      <c r="E77" s="125">
        <f t="shared" si="1"/>
        <v>1.0000000000000002</v>
      </c>
      <c r="F77" s="125">
        <f>'Alloc Amt'!F77/'Alloc Amt'!$E77</f>
        <v>0.59420626331257864</v>
      </c>
      <c r="G77" s="125">
        <f>'Alloc Amt'!G77/'Alloc Amt'!$E77</f>
        <v>0.12553500067037562</v>
      </c>
      <c r="H77" s="125">
        <f>'Alloc Amt'!H77/'Alloc Amt'!$E77</f>
        <v>0.10643735678043707</v>
      </c>
      <c r="I77" s="125">
        <f>'Alloc Amt'!I77/'Alloc Amt'!$E77</f>
        <v>6.2796543701590046E-2</v>
      </c>
      <c r="J77" s="125">
        <f>'Alloc Amt'!J77/'Alloc Amt'!$E77</f>
        <v>4.2721882045509897E-2</v>
      </c>
      <c r="K77" s="125">
        <f>'Alloc Amt'!K77/'Alloc Amt'!$E77</f>
        <v>2.4551040878355914E-4</v>
      </c>
      <c r="L77" s="125">
        <f>'Alloc Amt'!L77/'Alloc Amt'!$E77</f>
        <v>5.8663375483079773E-3</v>
      </c>
      <c r="M77" s="125">
        <f>'Alloc Amt'!M77/'Alloc Amt'!$E77</f>
        <v>2.1783458678105553E-2</v>
      </c>
      <c r="N77" s="125">
        <f>'Alloc Amt'!N77/'Alloc Amt'!$E77</f>
        <v>1.737926246842501E-2</v>
      </c>
      <c r="O77" s="125">
        <f>'Alloc Amt'!O77/'Alloc Amt'!$E77</f>
        <v>1.0597762300444957E-2</v>
      </c>
      <c r="P77" s="125">
        <f>'Alloc Amt'!P77/'Alloc Amt'!$E77</f>
        <v>1.2139700074498608E-2</v>
      </c>
      <c r="Q77" s="125">
        <f>'Alloc Amt'!Q77/'Alloc Amt'!$E77</f>
        <v>2.9092201094316786E-4</v>
      </c>
    </row>
    <row r="78" spans="2:17" x14ac:dyDescent="0.25">
      <c r="B78" s="6" t="str">
        <f>'Alloc Amt'!B78</f>
        <v>Total Distribution OH &amp; UG Lines</v>
      </c>
      <c r="C78" s="6" t="str">
        <f>'Alloc Amt'!C78</f>
        <v>LINE.T</v>
      </c>
      <c r="D78" s="6">
        <f>'Alloc Amt'!D78</f>
        <v>71</v>
      </c>
      <c r="E78" s="125">
        <f t="shared" si="1"/>
        <v>0.99999999999999956</v>
      </c>
      <c r="F78" s="125">
        <f>'Alloc Amt'!F78/'Alloc Amt'!$E78</f>
        <v>0.66063118743606641</v>
      </c>
      <c r="G78" s="125">
        <f>'Alloc Amt'!G78/'Alloc Amt'!$E78</f>
        <v>0.12372956336703736</v>
      </c>
      <c r="H78" s="125">
        <f>'Alloc Amt'!H78/'Alloc Amt'!$E78</f>
        <v>0.1078156481752735</v>
      </c>
      <c r="I78" s="125">
        <f>'Alloc Amt'!I78/'Alloc Amt'!$E78</f>
        <v>4.5879988652518307E-2</v>
      </c>
      <c r="J78" s="125">
        <f>'Alloc Amt'!J78/'Alloc Amt'!$E78</f>
        <v>3.356525876739691E-2</v>
      </c>
      <c r="K78" s="125">
        <f>'Alloc Amt'!K78/'Alloc Amt'!$E78</f>
        <v>5.0460368374883268E-4</v>
      </c>
      <c r="L78" s="125">
        <f>'Alloc Amt'!L78/'Alloc Amt'!$E78</f>
        <v>1.0749500013775518E-2</v>
      </c>
      <c r="M78" s="125">
        <f>'Alloc Amt'!M78/'Alloc Amt'!$E78</f>
        <v>1.319053078679305E-2</v>
      </c>
      <c r="N78" s="125">
        <f>'Alloc Amt'!N78/'Alloc Amt'!$E78</f>
        <v>2.9939747360556344E-3</v>
      </c>
      <c r="O78" s="125">
        <f>'Alloc Amt'!O78/'Alloc Amt'!$E78</f>
        <v>0</v>
      </c>
      <c r="P78" s="125">
        <f>'Alloc Amt'!P78/'Alloc Amt'!$E78</f>
        <v>5.350446657978842E-4</v>
      </c>
      <c r="Q78" s="125">
        <f>'Alloc Amt'!Q78/'Alloc Amt'!$E78</f>
        <v>4.04699715536185E-4</v>
      </c>
    </row>
    <row r="79" spans="2:17" x14ac:dyDescent="0.25">
      <c r="B79" s="6" t="str">
        <f>'Alloc Amt'!B79</f>
        <v>Sales of Electricity - Non Firm</v>
      </c>
      <c r="C79" s="6" t="str">
        <f>'Alloc Amt'!C79</f>
        <v>POWER.T</v>
      </c>
      <c r="D79" s="6">
        <f>'Alloc Amt'!D79</f>
        <v>72</v>
      </c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 t="e">
        <f>'Alloc Amt'!Q79/'Alloc Amt'!$E79</f>
        <v>#DIV/0!</v>
      </c>
    </row>
    <row r="80" spans="2:17" x14ac:dyDescent="0.25">
      <c r="B80" s="6" t="str">
        <f>'Alloc Amt'!B80</f>
        <v>Total Production Plant</v>
      </c>
      <c r="C80" s="6" t="str">
        <f>'Alloc Amt'!C80</f>
        <v>PP.T</v>
      </c>
      <c r="D80" s="6">
        <f>'Alloc Amt'!D80</f>
        <v>73</v>
      </c>
      <c r="E80" s="125">
        <f t="shared" si="1"/>
        <v>1</v>
      </c>
      <c r="F80" s="125">
        <f>'Alloc Amt'!F80/'Alloc Amt'!$E80</f>
        <v>0.50274799999999997</v>
      </c>
      <c r="G80" s="125">
        <f>'Alloc Amt'!G80/'Alloc Amt'!$E80</f>
        <v>0.13508999999999999</v>
      </c>
      <c r="H80" s="125">
        <f>'Alloc Amt'!H80/'Alloc Amt'!$E80</f>
        <v>0.13808300000000004</v>
      </c>
      <c r="I80" s="125">
        <f>'Alloc Amt'!I80/'Alloc Amt'!$E80</f>
        <v>9.2536999999999994E-2</v>
      </c>
      <c r="J80" s="125">
        <f>'Alloc Amt'!J80/'Alloc Amt'!$E80</f>
        <v>6.0216000000000013E-2</v>
      </c>
      <c r="K80" s="125">
        <f>'Alloc Amt'!K80/'Alloc Amt'!$E80</f>
        <v>2.3200000000000003E-4</v>
      </c>
      <c r="L80" s="125">
        <f>'Alloc Amt'!L80/'Alloc Amt'!$E80</f>
        <v>5.2510000000000005E-3</v>
      </c>
      <c r="M80" s="125">
        <f>'Alloc Amt'!M80/'Alloc Amt'!$E80</f>
        <v>3.2034000000000007E-2</v>
      </c>
      <c r="N80" s="125">
        <f>'Alloc Amt'!N80/'Alloc Amt'!$E80</f>
        <v>2.9491000000000003E-2</v>
      </c>
      <c r="O80" s="125">
        <f>'Alloc Amt'!O80/'Alloc Amt'!$E80</f>
        <v>0</v>
      </c>
      <c r="P80" s="125">
        <f>'Alloc Amt'!P80/'Alloc Amt'!$E80</f>
        <v>4.000000000000001E-3</v>
      </c>
      <c r="Q80" s="125">
        <f>'Alloc Amt'!Q80/'Alloc Amt'!$E80</f>
        <v>3.1800000000000003E-4</v>
      </c>
    </row>
    <row r="81" spans="2:17" x14ac:dyDescent="0.25">
      <c r="B81" s="6" t="str">
        <f>'Alloc Amt'!B81</f>
        <v>Total Prod, Trans, Dist &amp; Gen Plant</v>
      </c>
      <c r="C81" s="6" t="str">
        <f>'Alloc Amt'!C81</f>
        <v>PTDGP.T</v>
      </c>
      <c r="D81" s="6">
        <f>'Alloc Amt'!D81</f>
        <v>74</v>
      </c>
      <c r="E81" s="125">
        <f t="shared" si="1"/>
        <v>1</v>
      </c>
      <c r="F81" s="125">
        <f>'Alloc Amt'!F81/'Alloc Amt'!$E81</f>
        <v>0.55871628891268243</v>
      </c>
      <c r="G81" s="125">
        <f>'Alloc Amt'!G81/'Alloc Amt'!$E81</f>
        <v>0.12803657311111571</v>
      </c>
      <c r="H81" s="125">
        <f>'Alloc Amt'!H81/'Alloc Amt'!$E81</f>
        <v>0.11956999520412533</v>
      </c>
      <c r="I81" s="125">
        <f>'Alloc Amt'!I81/'Alloc Amt'!$E81</f>
        <v>7.109622072381043E-2</v>
      </c>
      <c r="J81" s="125">
        <f>'Alloc Amt'!J81/'Alloc Amt'!$E81</f>
        <v>4.837200298904773E-2</v>
      </c>
      <c r="K81" s="125">
        <f>'Alloc Amt'!K81/'Alloc Amt'!$E81</f>
        <v>2.7586288145241218E-4</v>
      </c>
      <c r="L81" s="125">
        <f>'Alloc Amt'!L81/'Alloc Amt'!$E81</f>
        <v>6.5666152798387022E-3</v>
      </c>
      <c r="M81" s="125">
        <f>'Alloc Amt'!M81/'Alloc Amt'!$E81</f>
        <v>2.4612605733185685E-2</v>
      </c>
      <c r="N81" s="125">
        <f>'Alloc Amt'!N81/'Alloc Amt'!$E81</f>
        <v>1.9757113420981257E-2</v>
      </c>
      <c r="O81" s="125">
        <f>'Alloc Amt'!O81/'Alloc Amt'!$E81</f>
        <v>1.1546403091395891E-2</v>
      </c>
      <c r="P81" s="125">
        <f>'Alloc Amt'!P81/'Alloc Amt'!$E81</f>
        <v>1.1123026358814401E-2</v>
      </c>
      <c r="Q81" s="125">
        <f>'Alloc Amt'!Q81/'Alloc Amt'!$E81</f>
        <v>3.2729229354994973E-4</v>
      </c>
    </row>
    <row r="82" spans="2:17" x14ac:dyDescent="0.25">
      <c r="B82" s="6" t="str">
        <f>'Alloc Amt'!B82</f>
        <v>Prod Trans Dist Allocation Factor</v>
      </c>
      <c r="C82" s="6" t="str">
        <f>'Alloc Amt'!C82</f>
        <v>PTDP.T</v>
      </c>
      <c r="D82" s="6">
        <f>'Alloc Amt'!D82</f>
        <v>75</v>
      </c>
      <c r="E82" s="125">
        <f t="shared" si="1"/>
        <v>0.99999999999999989</v>
      </c>
      <c r="F82" s="125">
        <f>'Alloc Amt'!F82/'Alloc Amt'!$E82</f>
        <v>0.55688373982947514</v>
      </c>
      <c r="G82" s="125">
        <f>'Alloc Amt'!G82/'Alloc Amt'!$E82</f>
        <v>0.12816574351375393</v>
      </c>
      <c r="H82" s="125">
        <f>'Alloc Amt'!H82/'Alloc Amt'!$E82</f>
        <v>0.12024810796442906</v>
      </c>
      <c r="I82" s="125">
        <f>'Alloc Amt'!I82/'Alloc Amt'!$E82</f>
        <v>7.1524780219137385E-2</v>
      </c>
      <c r="J82" s="125">
        <f>'Alloc Amt'!J82/'Alloc Amt'!$E82</f>
        <v>4.8663750845454205E-2</v>
      </c>
      <c r="K82" s="125">
        <f>'Alloc Amt'!K82/'Alloc Amt'!$E82</f>
        <v>2.7743015212259171E-4</v>
      </c>
      <c r="L82" s="125">
        <f>'Alloc Amt'!L82/'Alloc Amt'!$E82</f>
        <v>6.6027745991001675E-3</v>
      </c>
      <c r="M82" s="125">
        <f>'Alloc Amt'!M82/'Alloc Amt'!$E82</f>
        <v>2.4758690674911106E-2</v>
      </c>
      <c r="N82" s="125">
        <f>'Alloc Amt'!N82/'Alloc Amt'!$E82</f>
        <v>1.9879895380021589E-2</v>
      </c>
      <c r="O82" s="125">
        <f>'Alloc Amt'!O82/'Alloc Amt'!$E82</f>
        <v>1.1595386806970373E-2</v>
      </c>
      <c r="P82" s="125">
        <f>'Alloc Amt'!P82/'Alloc Amt'!$E82</f>
        <v>1.1070529716675276E-2</v>
      </c>
      <c r="Q82" s="125">
        <f>'Alloc Amt'!Q82/'Alloc Amt'!$E82</f>
        <v>3.2917029794905236E-4</v>
      </c>
    </row>
    <row r="83" spans="2:17" x14ac:dyDescent="0.25">
      <c r="B83" s="6" t="str">
        <f>'Alloc Amt'!B83</f>
        <v>Total Ratebase</v>
      </c>
      <c r="C83" s="6" t="str">
        <f>'Alloc Amt'!C83</f>
        <v>RB.T</v>
      </c>
      <c r="D83" s="6">
        <f>'Alloc Amt'!D83</f>
        <v>76</v>
      </c>
      <c r="E83" s="125">
        <f t="shared" si="1"/>
        <v>0.99999999999999989</v>
      </c>
      <c r="F83" s="125">
        <f>'Alloc Amt'!F83/'Alloc Amt'!$E83</f>
        <v>0.55427496247092456</v>
      </c>
      <c r="G83" s="125">
        <f>'Alloc Amt'!G83/'Alloc Amt'!$E83</f>
        <v>0.12460936162017422</v>
      </c>
      <c r="H83" s="125">
        <f>'Alloc Amt'!H83/'Alloc Amt'!$E83</f>
        <v>0.12216614883224047</v>
      </c>
      <c r="I83" s="125">
        <f>'Alloc Amt'!I83/'Alloc Amt'!$E83</f>
        <v>7.3247671316459539E-2</v>
      </c>
      <c r="J83" s="125">
        <f>'Alloc Amt'!J83/'Alloc Amt'!$E83</f>
        <v>5.0056404961411304E-2</v>
      </c>
      <c r="K83" s="125">
        <f>'Alloc Amt'!K83/'Alloc Amt'!$E83</f>
        <v>2.7769474005033128E-4</v>
      </c>
      <c r="L83" s="125">
        <f>'Alloc Amt'!L83/'Alloc Amt'!$E83</f>
        <v>6.6939392675843369E-3</v>
      </c>
      <c r="M83" s="125">
        <f>'Alloc Amt'!M83/'Alloc Amt'!$E83</f>
        <v>2.4491542588382053E-2</v>
      </c>
      <c r="N83" s="125">
        <f>'Alloc Amt'!N83/'Alloc Amt'!$E83</f>
        <v>2.0933809439157468E-2</v>
      </c>
      <c r="O83" s="125">
        <f>'Alloc Amt'!O83/'Alloc Amt'!$E83</f>
        <v>1.193780509879132E-2</v>
      </c>
      <c r="P83" s="125">
        <f>'Alloc Amt'!P83/'Alloc Amt'!$E83</f>
        <v>1.0971596266226645E-2</v>
      </c>
      <c r="Q83" s="125">
        <f>'Alloc Amt'!Q83/'Alloc Amt'!$E83</f>
        <v>3.3906339859765284E-4</v>
      </c>
    </row>
    <row r="84" spans="2:17" x14ac:dyDescent="0.25">
      <c r="B84" s="6" t="str">
        <f>'Alloc Amt'!B84</f>
        <v>REVFAC1 = (OME.T+DAE.T+RRB.T)</v>
      </c>
      <c r="C84" s="6" t="str">
        <f>'Alloc Amt'!C84</f>
        <v>REVFAC1.T</v>
      </c>
      <c r="D84" s="6">
        <f>'Alloc Amt'!D84</f>
        <v>77</v>
      </c>
      <c r="E84" s="125">
        <f t="shared" si="1"/>
        <v>1.0000000000000002</v>
      </c>
      <c r="F84" s="125">
        <f>'Alloc Amt'!F84/'Alloc Amt'!$E84</f>
        <v>0.54571480223459923</v>
      </c>
      <c r="G84" s="125">
        <f>'Alloc Amt'!G84/'Alloc Amt'!$E84</f>
        <v>0.13005382004588653</v>
      </c>
      <c r="H84" s="125">
        <f>'Alloc Amt'!H84/'Alloc Amt'!$E84</f>
        <v>0.12389458350337108</v>
      </c>
      <c r="I84" s="125">
        <f>'Alloc Amt'!I84/'Alloc Amt'!$E84</f>
        <v>7.7746201941040455E-2</v>
      </c>
      <c r="J84" s="125">
        <f>'Alloc Amt'!J84/'Alloc Amt'!$E84</f>
        <v>5.2046540517867487E-2</v>
      </c>
      <c r="K84" s="125">
        <f>'Alloc Amt'!K84/'Alloc Amt'!$E84</f>
        <v>2.5809858630664831E-4</v>
      </c>
      <c r="L84" s="125">
        <f>'Alloc Amt'!L84/'Alloc Amt'!$E84</f>
        <v>5.9254870572143141E-3</v>
      </c>
      <c r="M84" s="125">
        <f>'Alloc Amt'!M84/'Alloc Amt'!$E84</f>
        <v>2.6441510140974355E-2</v>
      </c>
      <c r="N84" s="125">
        <f>'Alloc Amt'!N84/'Alloc Amt'!$E84</f>
        <v>2.3108842022566915E-2</v>
      </c>
      <c r="O84" s="125">
        <f>'Alloc Amt'!O84/'Alloc Amt'!$E84</f>
        <v>5.4898656032613367E-3</v>
      </c>
      <c r="P84" s="125">
        <f>'Alloc Amt'!P84/'Alloc Amt'!$E84</f>
        <v>8.9954159510558136E-3</v>
      </c>
      <c r="Q84" s="125">
        <f>'Alloc Amt'!Q84/'Alloc Amt'!$E84</f>
        <v>3.2483239585597121E-4</v>
      </c>
    </row>
    <row r="85" spans="2:17" x14ac:dyDescent="0.25">
      <c r="B85" s="6" t="str">
        <f>'Alloc Amt'!B85</f>
        <v>Salary &amp; Wages - Total</v>
      </c>
      <c r="C85" s="6" t="str">
        <f>'Alloc Amt'!C85</f>
        <v>SW.T</v>
      </c>
      <c r="D85" s="6">
        <f>'Alloc Amt'!D85</f>
        <v>78</v>
      </c>
      <c r="E85" s="125">
        <f t="shared" si="1"/>
        <v>1</v>
      </c>
      <c r="F85" s="125">
        <f>'Alloc Amt'!F85/'Alloc Amt'!$E85</f>
        <v>0.59691314013582752</v>
      </c>
      <c r="G85" s="125">
        <f>'Alloc Amt'!G85/'Alloc Amt'!$E85</f>
        <v>0.12534601331676973</v>
      </c>
      <c r="H85" s="125">
        <f>'Alloc Amt'!H85/'Alloc Amt'!$E85</f>
        <v>0.10541755008533578</v>
      </c>
      <c r="I85" s="125">
        <f>'Alloc Amt'!I85/'Alloc Amt'!$E85</f>
        <v>6.2177798493332465E-2</v>
      </c>
      <c r="J85" s="125">
        <f>'Alloc Amt'!J85/'Alloc Amt'!$E85</f>
        <v>4.2293433233752072E-2</v>
      </c>
      <c r="K85" s="125">
        <f>'Alloc Amt'!K85/'Alloc Amt'!$E85</f>
        <v>2.4292577445858207E-4</v>
      </c>
      <c r="L85" s="125">
        <f>'Alloc Amt'!L85/'Alloc Amt'!$E85</f>
        <v>5.8059007218987015E-3</v>
      </c>
      <c r="M85" s="125">
        <f>'Alloc Amt'!M85/'Alloc Amt'!$E85</f>
        <v>2.1572826271514092E-2</v>
      </c>
      <c r="N85" s="125">
        <f>'Alloc Amt'!N85/'Alloc Amt'!$E85</f>
        <v>1.7211450373942498E-2</v>
      </c>
      <c r="O85" s="125">
        <f>'Alloc Amt'!O85/'Alloc Amt'!$E85</f>
        <v>1.0528095691645424E-2</v>
      </c>
      <c r="P85" s="125">
        <f>'Alloc Amt'!P85/'Alloc Amt'!$E85</f>
        <v>1.2202927169159501E-2</v>
      </c>
      <c r="Q85" s="125">
        <f>'Alloc Amt'!Q85/'Alloc Amt'!$E85</f>
        <v>2.8793873236345634E-4</v>
      </c>
    </row>
    <row r="86" spans="2:17" x14ac:dyDescent="0.25">
      <c r="B86" s="6" t="str">
        <f>'Alloc Amt'!B86</f>
        <v>Salary &amp; Wages - PTD Subtotal</v>
      </c>
      <c r="C86" s="6" t="str">
        <f>'Alloc Amt'!C86</f>
        <v>SWPTD.T</v>
      </c>
      <c r="D86" s="6">
        <f>'Alloc Amt'!D86</f>
        <v>79</v>
      </c>
      <c r="E86" s="125">
        <f t="shared" si="1"/>
        <v>1.0000000000000002</v>
      </c>
      <c r="F86" s="125">
        <f>'Alloc Amt'!F86/'Alloc Amt'!$E86</f>
        <v>0.55906155640749089</v>
      </c>
      <c r="G86" s="125">
        <f>'Alloc Amt'!G86/'Alloc Amt'!$E86</f>
        <v>0.12798808654314589</v>
      </c>
      <c r="H86" s="125">
        <f>'Alloc Amt'!H86/'Alloc Amt'!$E86</f>
        <v>0.1196843161328966</v>
      </c>
      <c r="I86" s="125">
        <f>'Alloc Amt'!I86/'Alloc Amt'!$E86</f>
        <v>7.0825052303412808E-2</v>
      </c>
      <c r="J86" s="125">
        <f>'Alloc Amt'!J86/'Alloc Amt'!$E86</f>
        <v>4.8283775814251868E-2</v>
      </c>
      <c r="K86" s="125">
        <f>'Alloc Amt'!K86/'Alloc Amt'!$E86</f>
        <v>2.7916165939293798E-4</v>
      </c>
      <c r="L86" s="125">
        <f>'Alloc Amt'!L86/'Alloc Amt'!$E86</f>
        <v>6.6534595853487751E-3</v>
      </c>
      <c r="M86" s="125">
        <f>'Alloc Amt'!M86/'Alloc Amt'!$E86</f>
        <v>2.4516412477248423E-2</v>
      </c>
      <c r="N86" s="125">
        <f>'Alloc Amt'!N86/'Alloc Amt'!$E86</f>
        <v>1.9553340741549304E-2</v>
      </c>
      <c r="O86" s="125">
        <f>'Alloc Amt'!O86/'Alloc Amt'!$E86</f>
        <v>1.1501344090046668E-2</v>
      </c>
      <c r="P86" s="125">
        <f>'Alloc Amt'!P86/'Alloc Amt'!$E86</f>
        <v>1.1323766157543963E-2</v>
      </c>
      <c r="Q86" s="125">
        <f>'Alloc Amt'!Q86/'Alloc Amt'!$E86</f>
        <v>3.2972808767198284E-4</v>
      </c>
    </row>
    <row r="87" spans="2:17" x14ac:dyDescent="0.25">
      <c r="B87" s="6" t="str">
        <f>'Alloc Amt'!B87</f>
        <v>Total Transmission &amp; Distribution Plant</v>
      </c>
      <c r="C87" s="6" t="str">
        <f>'Alloc Amt'!C87</f>
        <v>TDP.T</v>
      </c>
      <c r="D87" s="6">
        <f>'Alloc Amt'!D87</f>
        <v>80</v>
      </c>
      <c r="E87" s="125">
        <f t="shared" si="1"/>
        <v>0.99999999999999967</v>
      </c>
      <c r="F87" s="125">
        <f>'Alloc Amt'!F87/'Alloc Amt'!$E87</f>
        <v>0.59969544127743823</v>
      </c>
      <c r="G87" s="125">
        <f>'Alloc Amt'!G87/'Alloc Amt'!$E87</f>
        <v>0.12268989331992529</v>
      </c>
      <c r="H87" s="125">
        <f>'Alloc Amt'!H87/'Alloc Amt'!$E87</f>
        <v>0.106143893713573</v>
      </c>
      <c r="I87" s="125">
        <f>'Alloc Amt'!I87/'Alloc Amt'!$E87</f>
        <v>5.4907867199182905E-2</v>
      </c>
      <c r="J87" s="125">
        <f>'Alloc Amt'!J87/'Alloc Amt'!$E87</f>
        <v>3.9527985020238285E-2</v>
      </c>
      <c r="K87" s="125">
        <f>'Alloc Amt'!K87/'Alloc Amt'!$E87</f>
        <v>3.133572885307098E-4</v>
      </c>
      <c r="L87" s="125">
        <f>'Alloc Amt'!L87/'Alloc Amt'!$E87</f>
        <v>7.6717868771979539E-3</v>
      </c>
      <c r="M87" s="125">
        <f>'Alloc Amt'!M87/'Alloc Amt'!$E87</f>
        <v>1.9005220384334172E-2</v>
      </c>
      <c r="N87" s="125">
        <f>'Alloc Amt'!N87/'Alloc Amt'!$E87</f>
        <v>1.2279228189146257E-2</v>
      </c>
      <c r="O87" s="125">
        <f>'Alloc Amt'!O87/'Alloc Amt'!$E87</f>
        <v>2.0765266810778536E-2</v>
      </c>
      <c r="P87" s="125">
        <f>'Alloc Amt'!P87/'Alloc Amt'!$E87</f>
        <v>1.6662055911066391E-2</v>
      </c>
      <c r="Q87" s="125">
        <f>'Alloc Amt'!Q87/'Alloc Amt'!$E87</f>
        <v>3.3800400858801266E-4</v>
      </c>
    </row>
    <row r="88" spans="2:17" x14ac:dyDescent="0.25">
      <c r="B88" s="6" t="str">
        <f>'Alloc Amt'!B88</f>
        <v>Total Expenses Before FIT</v>
      </c>
      <c r="C88" s="6" t="str">
        <f>'Alloc Amt'!C88</f>
        <v>EBFIT.T</v>
      </c>
      <c r="D88" s="6">
        <f>'Alloc Amt'!D88</f>
        <v>81</v>
      </c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2:17" x14ac:dyDescent="0.25">
      <c r="B89" s="6" t="str">
        <f>'Alloc Amt'!B89</f>
        <v>Total Transmission Plant</v>
      </c>
      <c r="C89" s="6" t="str">
        <f>'Alloc Amt'!C89</f>
        <v>TP.T</v>
      </c>
      <c r="D89" s="6">
        <f>'Alloc Amt'!D89</f>
        <v>82</v>
      </c>
      <c r="E89" s="125">
        <f t="shared" si="1"/>
        <v>0.99999999999999978</v>
      </c>
      <c r="F89" s="125">
        <f>'Alloc Amt'!F89/'Alloc Amt'!$E89</f>
        <v>0.46846233535654752</v>
      </c>
      <c r="G89" s="125">
        <f>'Alloc Amt'!G89/'Alloc Amt'!$E89</f>
        <v>0.12587733195023348</v>
      </c>
      <c r="H89" s="125">
        <f>'Alloc Amt'!H89/'Alloc Amt'!$E89</f>
        <v>0.12866621976226289</v>
      </c>
      <c r="I89" s="125">
        <f>'Alloc Amt'!I89/'Alloc Amt'!$E89</f>
        <v>8.6226298517127514E-2</v>
      </c>
      <c r="J89" s="125">
        <f>'Alloc Amt'!J89/'Alloc Amt'!$E89</f>
        <v>5.610947827903813E-2</v>
      </c>
      <c r="K89" s="125">
        <f>'Alloc Amt'!K89/'Alloc Amt'!$E89</f>
        <v>2.1617840708012566E-4</v>
      </c>
      <c r="L89" s="125">
        <f>'Alloc Amt'!L89/'Alloc Amt'!$E89</f>
        <v>4.8929000671454293E-3</v>
      </c>
      <c r="M89" s="125">
        <f>'Alloc Amt'!M89/'Alloc Amt'!$E89</f>
        <v>2.9849392639675624E-2</v>
      </c>
      <c r="N89" s="125">
        <f>'Alloc Amt'!N89/'Alloc Amt'!$E89</f>
        <v>2.7479816393103387E-2</v>
      </c>
      <c r="O89" s="125">
        <f>'Alloc Amt'!O89/'Alloc Amt'!$E89</f>
        <v>6.8196521206354804E-2</v>
      </c>
      <c r="P89" s="125">
        <f>'Alloc Amt'!P89/'Alloc Amt'!$E89</f>
        <v>3.7272139151745807E-3</v>
      </c>
      <c r="Q89" s="125">
        <f>'Alloc Amt'!Q89/'Alloc Amt'!$E89</f>
        <v>2.9631350625637914E-4</v>
      </c>
    </row>
    <row r="90" spans="2:17" x14ac:dyDescent="0.25">
      <c r="B90" s="6" t="str">
        <f>'Alloc Amt'!B90</f>
        <v>Prod Trans Dist Exp Allocation Factor</v>
      </c>
      <c r="C90" s="6" t="str">
        <f>'Alloc Amt'!C90</f>
        <v>PTDE.T</v>
      </c>
      <c r="D90" s="6">
        <f>'Alloc Amt'!D90</f>
        <v>83</v>
      </c>
      <c r="E90" s="125">
        <f t="shared" si="1"/>
        <v>1</v>
      </c>
      <c r="F90" s="125">
        <f>'Alloc Amt'!F90/'Alloc Amt'!$E90</f>
        <v>0.51551758646259216</v>
      </c>
      <c r="G90" s="125">
        <f>'Alloc Amt'!G90/'Alloc Amt'!$E90</f>
        <v>0.13521809342331623</v>
      </c>
      <c r="H90" s="125">
        <f>'Alloc Amt'!H90/'Alloc Amt'!$E90</f>
        <v>0.13562593637846831</v>
      </c>
      <c r="I90" s="125">
        <f>'Alloc Amt'!I90/'Alloc Amt'!$E90</f>
        <v>8.8548438300175697E-2</v>
      </c>
      <c r="J90" s="125">
        <f>'Alloc Amt'!J90/'Alloc Amt'!$E90</f>
        <v>5.8457112798027594E-2</v>
      </c>
      <c r="K90" s="125">
        <f>'Alloc Amt'!K90/'Alloc Amt'!$E90</f>
        <v>0</v>
      </c>
      <c r="L90" s="125">
        <f>'Alloc Amt'!L90/'Alloc Amt'!$E90</f>
        <v>0</v>
      </c>
      <c r="M90" s="125">
        <f>'Alloc Amt'!M90/'Alloc Amt'!$E90</f>
        <v>3.0137949175091931E-2</v>
      </c>
      <c r="N90" s="125">
        <f>'Alloc Amt'!N90/'Alloc Amt'!$E90</f>
        <v>2.7352130802780074E-2</v>
      </c>
      <c r="O90" s="125">
        <f>'Alloc Amt'!O90/'Alloc Amt'!$E90</f>
        <v>1.4978965564644699E-3</v>
      </c>
      <c r="P90" s="125">
        <f>'Alloc Amt'!P90/'Alloc Amt'!$E90</f>
        <v>7.3044219152793152E-3</v>
      </c>
      <c r="Q90" s="125">
        <f>'Alloc Amt'!Q90/'Alloc Amt'!$E90</f>
        <v>3.404341878042385E-4</v>
      </c>
    </row>
    <row r="91" spans="2:17" x14ac:dyDescent="0.25">
      <c r="B91" s="6" t="str">
        <f>'Alloc Amt'!B91</f>
        <v>Firm Sales Revenue</v>
      </c>
      <c r="C91" s="6">
        <f>'Alloc Amt'!C91</f>
        <v>0</v>
      </c>
      <c r="D91" s="6">
        <f>'Alloc Amt'!D91</f>
        <v>84</v>
      </c>
      <c r="E91" s="125">
        <f t="shared" si="1"/>
        <v>0.99999999999999978</v>
      </c>
      <c r="F91" s="125">
        <f>'Alloc Amt'!F91/'Alloc Amt'!$E91</f>
        <v>0.54617130014314774</v>
      </c>
      <c r="G91" s="125">
        <f>'Alloc Amt'!G91/'Alloc Amt'!$E91</f>
        <v>0.13668999331591813</v>
      </c>
      <c r="H91" s="125">
        <f>'Alloc Amt'!H91/'Alloc Amt'!$E91</f>
        <v>0.12951024738509248</v>
      </c>
      <c r="I91" s="125">
        <f>'Alloc Amt'!I91/'Alloc Amt'!$E91</f>
        <v>7.7747646857250594E-2</v>
      </c>
      <c r="J91" s="125">
        <f>'Alloc Amt'!J91/'Alloc Amt'!$E91</f>
        <v>5.1919591291845674E-2</v>
      </c>
      <c r="K91" s="125">
        <f>'Alloc Amt'!K91/'Alloc Amt'!$E91</f>
        <v>0</v>
      </c>
      <c r="L91" s="125">
        <f>'Alloc Amt'!L91/'Alloc Amt'!$E91</f>
        <v>0</v>
      </c>
      <c r="M91" s="125">
        <f>'Alloc Amt'!M91/'Alloc Amt'!$E91</f>
        <v>2.4494953635607719E-2</v>
      </c>
      <c r="N91" s="125">
        <f>'Alloc Amt'!N91/'Alloc Amt'!$E91</f>
        <v>2.0666563418062046E-2</v>
      </c>
      <c r="O91" s="125">
        <f>'Alloc Amt'!O91/'Alloc Amt'!$E91</f>
        <v>3.8472077053514592E-3</v>
      </c>
      <c r="P91" s="125">
        <f>'Alloc Amt'!P91/'Alloc Amt'!$E91</f>
        <v>8.7904878624786749E-3</v>
      </c>
      <c r="Q91" s="125">
        <f>'Alloc Amt'!Q91/'Alloc Amt'!$E91</f>
        <v>1.6200838524543584E-4</v>
      </c>
    </row>
    <row r="92" spans="2:17" x14ac:dyDescent="0.25">
      <c r="B92" s="6">
        <f>'Alloc Amt'!B92</f>
        <v>0</v>
      </c>
      <c r="C92" s="6">
        <f>'Alloc Amt'!C92</f>
        <v>0</v>
      </c>
      <c r="D92" s="6">
        <f>'Alloc Amt'!D92</f>
        <v>85</v>
      </c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2:17" x14ac:dyDescent="0.25">
      <c r="B93" s="6">
        <f>'Alloc Amt'!B93</f>
        <v>0</v>
      </c>
      <c r="C93" s="6">
        <f>'Alloc Amt'!C93</f>
        <v>0</v>
      </c>
      <c r="D93" s="6">
        <f>'Alloc Amt'!D93</f>
        <v>86</v>
      </c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2:17" x14ac:dyDescent="0.25">
      <c r="B94" s="6" t="str">
        <f>'Alloc Amt'!B94</f>
        <v>Bulk Transmission Plt</v>
      </c>
      <c r="C94" s="6">
        <f>'Alloc Amt'!C94</f>
        <v>0</v>
      </c>
      <c r="D94" s="6">
        <f>'Alloc Amt'!D94</f>
        <v>87</v>
      </c>
      <c r="E94" s="125">
        <f t="shared" si="1"/>
        <v>1.0000000000000002</v>
      </c>
      <c r="F94" s="125">
        <f>'Alloc Amt'!F94/'Alloc Amt'!$E94</f>
        <v>0.46368979081041595</v>
      </c>
      <c r="G94" s="125">
        <f>'Alloc Amt'!G94/'Alloc Amt'!$E94</f>
        <v>0.12459493392431016</v>
      </c>
      <c r="H94" s="125">
        <f>'Alloc Amt'!H94/'Alloc Amt'!$E94</f>
        <v>0.12735540943867438</v>
      </c>
      <c r="I94" s="125">
        <f>'Alloc Amt'!I94/'Alloc Amt'!$E94</f>
        <v>8.5347852546849429E-2</v>
      </c>
      <c r="J94" s="125">
        <f>'Alloc Amt'!J94/'Alloc Amt'!$E94</f>
        <v>5.5537852847629444E-2</v>
      </c>
      <c r="K94" s="125">
        <f>'Alloc Amt'!K94/'Alloc Amt'!$E94</f>
        <v>2.1397605056214347E-4</v>
      </c>
      <c r="L94" s="125">
        <f>'Alloc Amt'!L94/'Alloc Amt'!$E94</f>
        <v>4.8430527650940311E-3</v>
      </c>
      <c r="M94" s="125">
        <f>'Alloc Amt'!M94/'Alloc Amt'!$E94</f>
        <v>2.9545296567705617E-2</v>
      </c>
      <c r="N94" s="125">
        <f>'Alloc Amt'!N94/'Alloc Amt'!$E94</f>
        <v>2.7199860806586953E-2</v>
      </c>
      <c r="O94" s="125">
        <f>'Alloc Amt'!O94/'Alloc Amt'!$E94</f>
        <v>7.7689437232140279E-2</v>
      </c>
      <c r="P94" s="125">
        <f>'Alloc Amt'!P94/'Alloc Amt'!$E94</f>
        <v>3.6892422510714394E-3</v>
      </c>
      <c r="Q94" s="125">
        <f>'Alloc Amt'!Q94/'Alloc Amt'!$E94</f>
        <v>2.9329475896017941E-4</v>
      </c>
    </row>
    <row r="95" spans="2:17" x14ac:dyDescent="0.25">
      <c r="B95" s="6" t="str">
        <f>'Alloc Amt'!B95</f>
        <v>Prob of Dispatch-- Generation Gross Plant-- Test Year Loads</v>
      </c>
      <c r="C95" s="6">
        <f>'Alloc Amt'!C95</f>
        <v>0</v>
      </c>
      <c r="D95" s="6">
        <f>'Alloc Amt'!D95</f>
        <v>88</v>
      </c>
      <c r="E95" s="125">
        <f t="shared" si="1"/>
        <v>1</v>
      </c>
      <c r="F95" s="125">
        <f>'Alloc Amt'!F95/'Alloc Amt'!$E95</f>
        <v>0.50274799999999997</v>
      </c>
      <c r="G95" s="125">
        <f>'Alloc Amt'!G95/'Alloc Amt'!$E95</f>
        <v>0.13508999999999999</v>
      </c>
      <c r="H95" s="125">
        <f>'Alloc Amt'!H95/'Alloc Amt'!$E95</f>
        <v>0.13808300000000001</v>
      </c>
      <c r="I95" s="125">
        <f>'Alloc Amt'!I95/'Alloc Amt'!$E95</f>
        <v>9.2536999999999994E-2</v>
      </c>
      <c r="J95" s="125">
        <f>'Alloc Amt'!J95/'Alloc Amt'!$E95</f>
        <v>6.0215999999999999E-2</v>
      </c>
      <c r="K95" s="125">
        <f>'Alloc Amt'!K95/'Alloc Amt'!$E95</f>
        <v>2.32E-4</v>
      </c>
      <c r="L95" s="125">
        <f>'Alloc Amt'!L95/'Alloc Amt'!$E95</f>
        <v>5.2509999999999996E-3</v>
      </c>
      <c r="M95" s="125">
        <f>'Alloc Amt'!M95/'Alloc Amt'!$E95</f>
        <v>3.2034E-2</v>
      </c>
      <c r="N95" s="125">
        <f>'Alloc Amt'!N95/'Alloc Amt'!$E95</f>
        <v>2.9491E-2</v>
      </c>
      <c r="O95" s="125">
        <f>'Alloc Amt'!O95/'Alloc Amt'!$E95</f>
        <v>0</v>
      </c>
      <c r="P95" s="125">
        <f>'Alloc Amt'!P95/'Alloc Amt'!$E95</f>
        <v>4.0000000000000001E-3</v>
      </c>
      <c r="Q95" s="125">
        <f>'Alloc Amt'!Q95/'Alloc Amt'!$E95</f>
        <v>3.1799999999999998E-4</v>
      </c>
    </row>
    <row r="96" spans="2:17" x14ac:dyDescent="0.25">
      <c r="B96" s="6" t="str">
        <f>'Alloc Amt'!B96</f>
        <v>Prob of Dispatch-- Generation Accum Depreciation-- Test Year Loads</v>
      </c>
      <c r="C96" s="6">
        <f>'Alloc Amt'!C96</f>
        <v>0</v>
      </c>
      <c r="D96" s="6">
        <f>'Alloc Amt'!D96</f>
        <v>89</v>
      </c>
      <c r="E96" s="125">
        <f t="shared" si="1"/>
        <v>1.0000000000000002</v>
      </c>
      <c r="F96" s="125">
        <f>'Alloc Amt'!F96/'Alloc Amt'!$E96</f>
        <v>0.50130700000000006</v>
      </c>
      <c r="G96" s="125">
        <f>'Alloc Amt'!G96/'Alloc Amt'!$E96</f>
        <v>0.13539400000000001</v>
      </c>
      <c r="H96" s="125">
        <f>'Alloc Amt'!H96/'Alloc Amt'!$E96</f>
        <v>0.13897400000000001</v>
      </c>
      <c r="I96" s="125">
        <f>'Alloc Amt'!I96/'Alloc Amt'!$E96</f>
        <v>9.297900000000002E-2</v>
      </c>
      <c r="J96" s="125">
        <f>'Alloc Amt'!J96/'Alloc Amt'!$E96</f>
        <v>6.027600000000001E-2</v>
      </c>
      <c r="K96" s="125">
        <f>'Alloc Amt'!K96/'Alloc Amt'!$E96</f>
        <v>2.3800000000000004E-4</v>
      </c>
      <c r="L96" s="125">
        <f>'Alloc Amt'!L96/'Alloc Amt'!$E96</f>
        <v>5.229000000000001E-3</v>
      </c>
      <c r="M96" s="125">
        <f>'Alloc Amt'!M96/'Alloc Amt'!$E96</f>
        <v>3.2032000000000005E-2</v>
      </c>
      <c r="N96" s="125">
        <f>'Alloc Amt'!N96/'Alloc Amt'!$E96</f>
        <v>2.9379000000000002E-2</v>
      </c>
      <c r="O96" s="125">
        <f>'Alloc Amt'!O96/'Alloc Amt'!$E96</f>
        <v>0</v>
      </c>
      <c r="P96" s="125">
        <f>'Alloc Amt'!P96/'Alloc Amt'!$E96</f>
        <v>3.8850000000000004E-3</v>
      </c>
      <c r="Q96" s="125">
        <f>'Alloc Amt'!Q96/'Alloc Amt'!$E96</f>
        <v>3.0700000000000004E-4</v>
      </c>
    </row>
    <row r="97" spans="2:17" x14ac:dyDescent="0.25">
      <c r="B97" s="6" t="str">
        <f>'Alloc Amt'!B97</f>
        <v>Time Differentiated  Fuel Cost-- Test Year Loads-- Adjusted kwh</v>
      </c>
      <c r="C97" s="6">
        <f>'Alloc Amt'!C97</f>
        <v>0</v>
      </c>
      <c r="D97" s="6">
        <f>'Alloc Amt'!D97</f>
        <v>90</v>
      </c>
      <c r="E97" s="125">
        <f t="shared" si="1"/>
        <v>0.99999999999999978</v>
      </c>
      <c r="F97" s="125">
        <f>'Alloc Amt'!F97/'Alloc Amt'!$E97</f>
        <v>0.50114828917033483</v>
      </c>
      <c r="G97" s="125">
        <f>'Alloc Amt'!G97/'Alloc Amt'!$E97</f>
        <v>0.13603581194779049</v>
      </c>
      <c r="H97" s="125">
        <f>'Alloc Amt'!H97/'Alloc Amt'!$E97</f>
        <v>0.14006983288491609</v>
      </c>
      <c r="I97" s="125">
        <f>'Alloc Amt'!I97/'Alloc Amt'!$E97</f>
        <v>9.2424030517795214E-2</v>
      </c>
      <c r="J97" s="125">
        <f>'Alloc Amt'!J97/'Alloc Amt'!$E97</f>
        <v>5.949915094416651E-2</v>
      </c>
      <c r="K97" s="125">
        <f>'Alloc Amt'!K97/'Alloc Amt'!$E97</f>
        <v>2.3060728213933584E-4</v>
      </c>
      <c r="L97" s="125">
        <f>'Alloc Amt'!L97/'Alloc Amt'!$E97</f>
        <v>5.3799391006893304E-3</v>
      </c>
      <c r="M97" s="125">
        <f>'Alloc Amt'!M97/'Alloc Amt'!$E97</f>
        <v>3.1799223847277847E-2</v>
      </c>
      <c r="N97" s="125">
        <f>'Alloc Amt'!N97/'Alloc Amt'!$E97</f>
        <v>2.9182281911296421E-2</v>
      </c>
      <c r="O97" s="125">
        <f>'Alloc Amt'!O97/'Alloc Amt'!$E97</f>
        <v>0</v>
      </c>
      <c r="P97" s="125">
        <f>'Alloc Amt'!P97/'Alloc Amt'!$E97</f>
        <v>3.9284317821628991E-3</v>
      </c>
      <c r="Q97" s="125">
        <f>'Alloc Amt'!Q97/'Alloc Amt'!$E97</f>
        <v>3.0240061143089011E-4</v>
      </c>
    </row>
    <row r="98" spans="2:17" x14ac:dyDescent="0.25">
      <c r="B98" s="6" t="str">
        <f>'Alloc Amt'!B98</f>
        <v>Bulk Transmission -- load factor-- Prob Dispatch</v>
      </c>
      <c r="C98" s="6">
        <f>'Alloc Amt'!C98</f>
        <v>0</v>
      </c>
      <c r="D98" s="6">
        <f>'Alloc Amt'!D98</f>
        <v>91</v>
      </c>
      <c r="E98" s="125">
        <f t="shared" si="1"/>
        <v>1.0000000000000002</v>
      </c>
      <c r="F98" s="125">
        <f>'Alloc Amt'!F98/'Alloc Amt'!$E98</f>
        <v>0.46368979081041595</v>
      </c>
      <c r="G98" s="125">
        <f>'Alloc Amt'!G98/'Alloc Amt'!$E98</f>
        <v>0.12459493392431016</v>
      </c>
      <c r="H98" s="125">
        <f>'Alloc Amt'!H98/'Alloc Amt'!$E98</f>
        <v>0.12735540943867438</v>
      </c>
      <c r="I98" s="125">
        <f>'Alloc Amt'!I98/'Alloc Amt'!$E98</f>
        <v>8.5347852546849429E-2</v>
      </c>
      <c r="J98" s="125">
        <f>'Alloc Amt'!J98/'Alloc Amt'!$E98</f>
        <v>5.5537852847629444E-2</v>
      </c>
      <c r="K98" s="125">
        <f>'Alloc Amt'!K98/'Alloc Amt'!$E98</f>
        <v>2.1397605056214347E-4</v>
      </c>
      <c r="L98" s="125">
        <f>'Alloc Amt'!L98/'Alloc Amt'!$E98</f>
        <v>4.8430527650940311E-3</v>
      </c>
      <c r="M98" s="125">
        <f>'Alloc Amt'!M98/'Alloc Amt'!$E98</f>
        <v>2.9545296567705617E-2</v>
      </c>
      <c r="N98" s="125">
        <f>'Alloc Amt'!N98/'Alloc Amt'!$E98</f>
        <v>2.7199860806586953E-2</v>
      </c>
      <c r="O98" s="125">
        <f>'Alloc Amt'!O98/'Alloc Amt'!$E98</f>
        <v>7.7689437232140279E-2</v>
      </c>
      <c r="P98" s="125">
        <f>'Alloc Amt'!P98/'Alloc Amt'!$E98</f>
        <v>3.6892422510714394E-3</v>
      </c>
      <c r="Q98" s="125">
        <f>'Alloc Amt'!Q98/'Alloc Amt'!$E98</f>
        <v>2.9329475896017941E-4</v>
      </c>
    </row>
    <row r="99" spans="2:17" hidden="1" x14ac:dyDescent="0.25">
      <c r="B99" s="6">
        <f>'Alloc Amt'!B99</f>
        <v>0</v>
      </c>
      <c r="C99" s="6">
        <f>'Alloc Amt'!C99</f>
        <v>0</v>
      </c>
      <c r="D99" s="6">
        <f>'Alloc Amt'!D99</f>
        <v>0</v>
      </c>
      <c r="E99" s="125" t="e">
        <f t="shared" si="1"/>
        <v>#DIV/0!</v>
      </c>
      <c r="F99" s="125" t="e">
        <f>'Alloc Amt'!F99/'Alloc Amt'!$E99</f>
        <v>#DIV/0!</v>
      </c>
      <c r="G99" s="125" t="e">
        <f>'Alloc Amt'!G99/'Alloc Amt'!$E99</f>
        <v>#DIV/0!</v>
      </c>
      <c r="H99" s="125" t="e">
        <f>'Alloc Amt'!H99/'Alloc Amt'!$E99</f>
        <v>#DIV/0!</v>
      </c>
      <c r="I99" s="125" t="e">
        <f>'Alloc Amt'!I99/'Alloc Amt'!$E99</f>
        <v>#DIV/0!</v>
      </c>
      <c r="J99" s="125" t="e">
        <f>'Alloc Amt'!J99/'Alloc Amt'!$E99</f>
        <v>#DIV/0!</v>
      </c>
      <c r="K99" s="125" t="e">
        <f>'Alloc Amt'!K99/'Alloc Amt'!$E99</f>
        <v>#DIV/0!</v>
      </c>
      <c r="L99" s="125" t="e">
        <f>'Alloc Amt'!L99/'Alloc Amt'!$E99</f>
        <v>#DIV/0!</v>
      </c>
      <c r="M99" s="125" t="e">
        <f>'Alloc Amt'!M99/'Alloc Amt'!$E99</f>
        <v>#DIV/0!</v>
      </c>
      <c r="N99" s="125" t="e">
        <f>'Alloc Amt'!N99/'Alloc Amt'!$E99</f>
        <v>#DIV/0!</v>
      </c>
      <c r="O99" s="125" t="e">
        <f>'Alloc Amt'!O99/'Alloc Amt'!$E99</f>
        <v>#DIV/0!</v>
      </c>
      <c r="P99" s="125" t="e">
        <f>'Alloc Amt'!P99/'Alloc Amt'!$E99</f>
        <v>#DIV/0!</v>
      </c>
      <c r="Q99" s="125" t="e">
        <f>'Alloc Amt'!Q99/'Alloc Amt'!$E99</f>
        <v>#DIV/0!</v>
      </c>
    </row>
    <row r="100" spans="2:17" hidden="1" x14ac:dyDescent="0.25">
      <c r="B100" s="6">
        <f>'Alloc Amt'!B100</f>
        <v>0</v>
      </c>
      <c r="C100" s="6">
        <f>'Alloc Amt'!C100</f>
        <v>0</v>
      </c>
      <c r="D100" s="6">
        <f>'Alloc Amt'!D100</f>
        <v>0</v>
      </c>
      <c r="E100" s="125" t="e">
        <f t="shared" si="1"/>
        <v>#DIV/0!</v>
      </c>
      <c r="F100" s="125" t="e">
        <f>'Alloc Amt'!F100/'Alloc Amt'!$E100</f>
        <v>#DIV/0!</v>
      </c>
      <c r="G100" s="125" t="e">
        <f>'Alloc Amt'!G100/'Alloc Amt'!$E100</f>
        <v>#DIV/0!</v>
      </c>
      <c r="H100" s="125" t="e">
        <f>'Alloc Amt'!H100/'Alloc Amt'!$E100</f>
        <v>#DIV/0!</v>
      </c>
      <c r="I100" s="125" t="e">
        <f>'Alloc Amt'!I100/'Alloc Amt'!$E100</f>
        <v>#DIV/0!</v>
      </c>
      <c r="J100" s="125" t="e">
        <f>'Alloc Amt'!J100/'Alloc Amt'!$E100</f>
        <v>#DIV/0!</v>
      </c>
      <c r="K100" s="125" t="e">
        <f>'Alloc Amt'!K100/'Alloc Amt'!$E100</f>
        <v>#DIV/0!</v>
      </c>
      <c r="L100" s="125" t="e">
        <f>'Alloc Amt'!L100/'Alloc Amt'!$E100</f>
        <v>#DIV/0!</v>
      </c>
      <c r="M100" s="125" t="e">
        <f>'Alloc Amt'!M100/'Alloc Amt'!$E100</f>
        <v>#DIV/0!</v>
      </c>
      <c r="N100" s="125" t="e">
        <f>'Alloc Amt'!N100/'Alloc Amt'!$E100</f>
        <v>#DIV/0!</v>
      </c>
      <c r="O100" s="125" t="e">
        <f>'Alloc Amt'!O100/'Alloc Amt'!$E100</f>
        <v>#DIV/0!</v>
      </c>
      <c r="P100" s="125" t="e">
        <f>'Alloc Amt'!P100/'Alloc Amt'!$E100</f>
        <v>#DIV/0!</v>
      </c>
      <c r="Q100" s="125" t="e">
        <f>'Alloc Amt'!Q100/'Alloc Amt'!$E100</f>
        <v>#DIV/0!</v>
      </c>
    </row>
    <row r="101" spans="2:17" hidden="1" x14ac:dyDescent="0.25">
      <c r="B101" s="6">
        <f>'Alloc Amt'!B101</f>
        <v>0</v>
      </c>
      <c r="C101" s="6">
        <f>'Alloc Amt'!C101</f>
        <v>0</v>
      </c>
      <c r="D101" s="6">
        <f>'Alloc Amt'!D101</f>
        <v>0</v>
      </c>
      <c r="E101" s="125" t="e">
        <f t="shared" si="1"/>
        <v>#DIV/0!</v>
      </c>
      <c r="F101" s="125" t="e">
        <f>'Alloc Amt'!F101/'Alloc Amt'!$E101</f>
        <v>#DIV/0!</v>
      </c>
      <c r="G101" s="125" t="e">
        <f>'Alloc Amt'!G101/'Alloc Amt'!$E101</f>
        <v>#DIV/0!</v>
      </c>
      <c r="H101" s="125" t="e">
        <f>'Alloc Amt'!H101/'Alloc Amt'!$E101</f>
        <v>#DIV/0!</v>
      </c>
      <c r="I101" s="125" t="e">
        <f>'Alloc Amt'!I101/'Alloc Amt'!$E101</f>
        <v>#DIV/0!</v>
      </c>
      <c r="J101" s="125" t="e">
        <f>'Alloc Amt'!J101/'Alloc Amt'!$E101</f>
        <v>#DIV/0!</v>
      </c>
      <c r="K101" s="125" t="e">
        <f>'Alloc Amt'!K101/'Alloc Amt'!$E101</f>
        <v>#DIV/0!</v>
      </c>
      <c r="L101" s="125" t="e">
        <f>'Alloc Amt'!L101/'Alloc Amt'!$E101</f>
        <v>#DIV/0!</v>
      </c>
      <c r="M101" s="125" t="e">
        <f>'Alloc Amt'!M101/'Alloc Amt'!$E101</f>
        <v>#DIV/0!</v>
      </c>
      <c r="N101" s="125" t="e">
        <f>'Alloc Amt'!N101/'Alloc Amt'!$E101</f>
        <v>#DIV/0!</v>
      </c>
      <c r="O101" s="125" t="e">
        <f>'Alloc Amt'!O101/'Alloc Amt'!$E101</f>
        <v>#DIV/0!</v>
      </c>
      <c r="P101" s="125" t="e">
        <f>'Alloc Amt'!P101/'Alloc Amt'!$E101</f>
        <v>#DIV/0!</v>
      </c>
      <c r="Q101" s="125" t="e">
        <f>'Alloc Amt'!Q101/'Alloc Amt'!$E101</f>
        <v>#DIV/0!</v>
      </c>
    </row>
    <row r="102" spans="2:17" hidden="1" x14ac:dyDescent="0.25">
      <c r="B102" s="6">
        <f>'Alloc Amt'!B102</f>
        <v>0</v>
      </c>
      <c r="C102" s="6">
        <f>'Alloc Amt'!C102</f>
        <v>0</v>
      </c>
      <c r="D102" s="6">
        <f>'Alloc Amt'!D102</f>
        <v>0</v>
      </c>
      <c r="E102" s="125" t="e">
        <f t="shared" si="1"/>
        <v>#DIV/0!</v>
      </c>
      <c r="F102" s="125" t="e">
        <f>'Alloc Amt'!F102/'Alloc Amt'!$E102</f>
        <v>#DIV/0!</v>
      </c>
      <c r="G102" s="125" t="e">
        <f>'Alloc Amt'!G102/'Alloc Amt'!$E102</f>
        <v>#DIV/0!</v>
      </c>
      <c r="H102" s="125" t="e">
        <f>'Alloc Amt'!H102/'Alloc Amt'!$E102</f>
        <v>#DIV/0!</v>
      </c>
      <c r="I102" s="125" t="e">
        <f>'Alloc Amt'!I102/'Alloc Amt'!$E102</f>
        <v>#DIV/0!</v>
      </c>
      <c r="J102" s="125" t="e">
        <f>'Alloc Amt'!J102/'Alloc Amt'!$E102</f>
        <v>#DIV/0!</v>
      </c>
      <c r="K102" s="125" t="e">
        <f>'Alloc Amt'!K102/'Alloc Amt'!$E102</f>
        <v>#DIV/0!</v>
      </c>
      <c r="L102" s="125" t="e">
        <f>'Alloc Amt'!L102/'Alloc Amt'!$E102</f>
        <v>#DIV/0!</v>
      </c>
      <c r="M102" s="125" t="e">
        <f>'Alloc Amt'!M102/'Alloc Amt'!$E102</f>
        <v>#DIV/0!</v>
      </c>
      <c r="N102" s="125" t="e">
        <f>'Alloc Amt'!N102/'Alloc Amt'!$E102</f>
        <v>#DIV/0!</v>
      </c>
      <c r="O102" s="125" t="e">
        <f>'Alloc Amt'!O102/'Alloc Amt'!$E102</f>
        <v>#DIV/0!</v>
      </c>
      <c r="P102" s="125" t="e">
        <f>'Alloc Amt'!P102/'Alloc Amt'!$E102</f>
        <v>#DIV/0!</v>
      </c>
      <c r="Q102" s="125" t="e">
        <f>'Alloc Amt'!Q102/'Alloc Amt'!$E102</f>
        <v>#DIV/0!</v>
      </c>
    </row>
    <row r="103" spans="2:17" hidden="1" x14ac:dyDescent="0.25">
      <c r="B103" s="6">
        <f>'Alloc Amt'!B103</f>
        <v>0</v>
      </c>
      <c r="C103" s="6">
        <f>'Alloc Amt'!C103</f>
        <v>0</v>
      </c>
      <c r="D103" s="6">
        <f>'Alloc Amt'!D103</f>
        <v>0</v>
      </c>
      <c r="E103" s="125" t="e">
        <f t="shared" si="1"/>
        <v>#DIV/0!</v>
      </c>
      <c r="F103" s="125" t="e">
        <f>'Alloc Amt'!F103/'Alloc Amt'!$E103</f>
        <v>#DIV/0!</v>
      </c>
      <c r="G103" s="125" t="e">
        <f>'Alloc Amt'!G103/'Alloc Amt'!$E103</f>
        <v>#DIV/0!</v>
      </c>
      <c r="H103" s="125" t="e">
        <f>'Alloc Amt'!H103/'Alloc Amt'!$E103</f>
        <v>#DIV/0!</v>
      </c>
      <c r="I103" s="125" t="e">
        <f>'Alloc Amt'!I103/'Alloc Amt'!$E103</f>
        <v>#DIV/0!</v>
      </c>
      <c r="J103" s="125" t="e">
        <f>'Alloc Amt'!J103/'Alloc Amt'!$E103</f>
        <v>#DIV/0!</v>
      </c>
      <c r="K103" s="125" t="e">
        <f>'Alloc Amt'!K103/'Alloc Amt'!$E103</f>
        <v>#DIV/0!</v>
      </c>
      <c r="L103" s="125" t="e">
        <f>'Alloc Amt'!L103/'Alloc Amt'!$E103</f>
        <v>#DIV/0!</v>
      </c>
      <c r="M103" s="125" t="e">
        <f>'Alloc Amt'!M103/'Alloc Amt'!$E103</f>
        <v>#DIV/0!</v>
      </c>
      <c r="N103" s="125" t="e">
        <f>'Alloc Amt'!N103/'Alloc Amt'!$E103</f>
        <v>#DIV/0!</v>
      </c>
      <c r="O103" s="125" t="e">
        <f>'Alloc Amt'!O103/'Alloc Amt'!$E103</f>
        <v>#DIV/0!</v>
      </c>
      <c r="P103" s="125" t="e">
        <f>'Alloc Amt'!P103/'Alloc Amt'!$E103</f>
        <v>#DIV/0!</v>
      </c>
      <c r="Q103" s="125" t="e">
        <f>'Alloc Amt'!Q103/'Alloc Amt'!$E103</f>
        <v>#DIV/0!</v>
      </c>
    </row>
    <row r="104" spans="2:17" hidden="1" x14ac:dyDescent="0.25">
      <c r="B104" s="6">
        <f>'Alloc Amt'!B104</f>
        <v>0</v>
      </c>
      <c r="C104" s="6">
        <f>'Alloc Amt'!C104</f>
        <v>0</v>
      </c>
      <c r="D104" s="6">
        <f>'Alloc Amt'!D104</f>
        <v>0</v>
      </c>
      <c r="E104" s="125" t="e">
        <f t="shared" si="1"/>
        <v>#DIV/0!</v>
      </c>
      <c r="F104" s="125" t="e">
        <f>'Alloc Amt'!F104/'Alloc Amt'!$E104</f>
        <v>#DIV/0!</v>
      </c>
      <c r="G104" s="125" t="e">
        <f>'Alloc Amt'!G104/'Alloc Amt'!$E104</f>
        <v>#DIV/0!</v>
      </c>
      <c r="H104" s="125" t="e">
        <f>'Alloc Amt'!H104/'Alloc Amt'!$E104</f>
        <v>#DIV/0!</v>
      </c>
      <c r="I104" s="125" t="e">
        <f>'Alloc Amt'!I104/'Alloc Amt'!$E104</f>
        <v>#DIV/0!</v>
      </c>
      <c r="J104" s="125" t="e">
        <f>'Alloc Amt'!J104/'Alloc Amt'!$E104</f>
        <v>#DIV/0!</v>
      </c>
      <c r="K104" s="125" t="e">
        <f>'Alloc Amt'!K104/'Alloc Amt'!$E104</f>
        <v>#DIV/0!</v>
      </c>
      <c r="L104" s="125" t="e">
        <f>'Alloc Amt'!L104/'Alloc Amt'!$E104</f>
        <v>#DIV/0!</v>
      </c>
      <c r="M104" s="125" t="e">
        <f>'Alloc Amt'!M104/'Alloc Amt'!$E104</f>
        <v>#DIV/0!</v>
      </c>
      <c r="N104" s="125" t="e">
        <f>'Alloc Amt'!N104/'Alloc Amt'!$E104</f>
        <v>#DIV/0!</v>
      </c>
      <c r="O104" s="125" t="e">
        <f>'Alloc Amt'!O104/'Alloc Amt'!$E104</f>
        <v>#DIV/0!</v>
      </c>
      <c r="P104" s="125" t="e">
        <f>'Alloc Amt'!P104/'Alloc Amt'!$E104</f>
        <v>#DIV/0!</v>
      </c>
      <c r="Q104" s="125" t="e">
        <f>'Alloc Amt'!Q104/'Alloc Amt'!$E104</f>
        <v>#DIV/0!</v>
      </c>
    </row>
    <row r="105" spans="2:17" hidden="1" x14ac:dyDescent="0.25">
      <c r="B105" s="6">
        <f>'Alloc Amt'!B105</f>
        <v>0</v>
      </c>
      <c r="C105" s="6">
        <f>'Alloc Amt'!C105</f>
        <v>0</v>
      </c>
      <c r="D105" s="6">
        <f>'Alloc Amt'!D105</f>
        <v>0</v>
      </c>
      <c r="E105" s="125" t="e">
        <f t="shared" si="1"/>
        <v>#DIV/0!</v>
      </c>
      <c r="F105" s="125" t="e">
        <f>'Alloc Amt'!F105/'Alloc Amt'!$E105</f>
        <v>#DIV/0!</v>
      </c>
      <c r="G105" s="125" t="e">
        <f>'Alloc Amt'!G105/'Alloc Amt'!$E105</f>
        <v>#DIV/0!</v>
      </c>
      <c r="H105" s="125" t="e">
        <f>'Alloc Amt'!H105/'Alloc Amt'!$E105</f>
        <v>#DIV/0!</v>
      </c>
      <c r="I105" s="125" t="e">
        <f>'Alloc Amt'!I105/'Alloc Amt'!$E105</f>
        <v>#DIV/0!</v>
      </c>
      <c r="J105" s="125" t="e">
        <f>'Alloc Amt'!J105/'Alloc Amt'!$E105</f>
        <v>#DIV/0!</v>
      </c>
      <c r="K105" s="125" t="e">
        <f>'Alloc Amt'!K105/'Alloc Amt'!$E105</f>
        <v>#DIV/0!</v>
      </c>
      <c r="L105" s="125" t="e">
        <f>'Alloc Amt'!L105/'Alloc Amt'!$E105</f>
        <v>#DIV/0!</v>
      </c>
      <c r="M105" s="125" t="e">
        <f>'Alloc Amt'!M105/'Alloc Amt'!$E105</f>
        <v>#DIV/0!</v>
      </c>
      <c r="N105" s="125" t="e">
        <f>'Alloc Amt'!N105/'Alloc Amt'!$E105</f>
        <v>#DIV/0!</v>
      </c>
      <c r="O105" s="125" t="e">
        <f>'Alloc Amt'!O105/'Alloc Amt'!$E105</f>
        <v>#DIV/0!</v>
      </c>
      <c r="P105" s="125" t="e">
        <f>'Alloc Amt'!P105/'Alloc Amt'!$E105</f>
        <v>#DIV/0!</v>
      </c>
      <c r="Q105" s="125" t="e">
        <f>'Alloc Amt'!Q105/'Alloc Amt'!$E105</f>
        <v>#DIV/0!</v>
      </c>
    </row>
    <row r="106" spans="2:17" x14ac:dyDescent="0.25">
      <c r="B106" s="6">
        <f>'Alloc Amt'!B106</f>
        <v>0</v>
      </c>
      <c r="C106" s="6">
        <f>'Alloc Amt'!C106</f>
        <v>0</v>
      </c>
      <c r="D106" s="6">
        <f>'Alloc Amt'!D106</f>
        <v>0</v>
      </c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</row>
    <row r="107" spans="2:17" x14ac:dyDescent="0.25">
      <c r="B107" s="6" t="str">
        <f>'Alloc Amt'!B107</f>
        <v>Memo: Calculation of Time Differentiated Fuel costs</v>
      </c>
      <c r="C107" s="6">
        <f>'Alloc Amt'!C107</f>
        <v>0</v>
      </c>
      <c r="D107" s="6">
        <f>'Alloc Amt'!D107</f>
        <v>0</v>
      </c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</row>
    <row r="108" spans="2:17" x14ac:dyDescent="0.25">
      <c r="B108" s="6" t="str">
        <f>'Alloc Amt'!B108</f>
        <v>Adjusted Test Year KWH @ Meter ( PER JAP-39)</v>
      </c>
      <c r="C108" s="6">
        <f>'Alloc Amt'!C108</f>
        <v>0</v>
      </c>
      <c r="D108" s="6">
        <f>'Alloc Amt'!D108</f>
        <v>0</v>
      </c>
      <c r="E108" s="125">
        <f t="shared" si="1"/>
        <v>1</v>
      </c>
      <c r="F108" s="125">
        <f>'Alloc Amt'!F108/'Alloc Amt'!$E108</f>
        <v>0.50390013567097602</v>
      </c>
      <c r="G108" s="125">
        <f>'Alloc Amt'!G108/'Alloc Amt'!$E108</f>
        <v>0.13450906602328647</v>
      </c>
      <c r="H108" s="125">
        <f>'Alloc Amt'!H108/'Alloc Amt'!$E108</f>
        <v>0.13729661741577948</v>
      </c>
      <c r="I108" s="125">
        <f>'Alloc Amt'!I108/'Alloc Amt'!$E108</f>
        <v>9.0125150342481711E-2</v>
      </c>
      <c r="J108" s="125">
        <f>'Alloc Amt'!J108/'Alloc Amt'!$E108</f>
        <v>6.1020211454619146E-2</v>
      </c>
      <c r="K108" s="125">
        <f>'Alloc Amt'!K108/'Alloc Amt'!$E108</f>
        <v>2.1486058355487392E-4</v>
      </c>
      <c r="L108" s="125">
        <f>'Alloc Amt'!L108/'Alloc Amt'!$E108</f>
        <v>5.7742226086489289E-3</v>
      </c>
      <c r="M108" s="125">
        <f>'Alloc Amt'!M108/'Alloc Amt'!$E108</f>
        <v>3.2553072161984498E-2</v>
      </c>
      <c r="N108" s="125">
        <f>'Alloc Amt'!N108/'Alloc Amt'!$E108</f>
        <v>3.050971066294323E-2</v>
      </c>
      <c r="O108" s="125">
        <f>'Alloc Amt'!O108/'Alloc Amt'!$E108</f>
        <v>0</v>
      </c>
      <c r="P108" s="125">
        <f>'Alloc Amt'!P108/'Alloc Amt'!$E108</f>
        <v>3.7625453489962338E-3</v>
      </c>
      <c r="Q108" s="125">
        <f>'Alloc Amt'!Q108/'Alloc Amt'!$E108</f>
        <v>3.3440772672938874E-4</v>
      </c>
    </row>
    <row r="109" spans="2:17" x14ac:dyDescent="0.25">
      <c r="B109" s="6" t="str">
        <f>'Alloc Amt'!B109</f>
        <v>Fuel cost per kwh @ meter</v>
      </c>
      <c r="C109" s="6">
        <f>'Alloc Amt'!C109</f>
        <v>0</v>
      </c>
      <c r="D109" s="6">
        <f>'Alloc Amt'!D109</f>
        <v>0</v>
      </c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</row>
    <row r="110" spans="2:17" x14ac:dyDescent="0.25">
      <c r="B110" s="6" t="str">
        <f>'Alloc Amt'!B110</f>
        <v>Total fuel cost</v>
      </c>
      <c r="C110" s="6">
        <f>'Alloc Amt'!C110</f>
        <v>0</v>
      </c>
      <c r="D110" s="6">
        <f>'Alloc Amt'!D110</f>
        <v>0</v>
      </c>
      <c r="E110" s="125">
        <f t="shared" si="1"/>
        <v>1.0000000000000004</v>
      </c>
      <c r="F110" s="125">
        <f>'Alloc Amt'!F110/'Alloc Amt'!$E110</f>
        <v>0.50114828917033505</v>
      </c>
      <c r="G110" s="125">
        <f>'Alloc Amt'!G110/'Alloc Amt'!$E110</f>
        <v>0.13603581194779055</v>
      </c>
      <c r="H110" s="125">
        <f>'Alloc Amt'!H110/'Alloc Amt'!$E110</f>
        <v>0.14006983288491615</v>
      </c>
      <c r="I110" s="125">
        <f>'Alloc Amt'!I110/'Alloc Amt'!$E110</f>
        <v>9.2424030517795255E-2</v>
      </c>
      <c r="J110" s="125">
        <f>'Alloc Amt'!J110/'Alloc Amt'!$E110</f>
        <v>5.9499150944166537E-2</v>
      </c>
      <c r="K110" s="125">
        <f>'Alloc Amt'!K110/'Alloc Amt'!$E110</f>
        <v>2.3060728213933595E-4</v>
      </c>
      <c r="L110" s="125">
        <f>'Alloc Amt'!L110/'Alloc Amt'!$E110</f>
        <v>5.379939100689333E-3</v>
      </c>
      <c r="M110" s="125">
        <f>'Alloc Amt'!M110/'Alloc Amt'!$E110</f>
        <v>3.179922384727786E-2</v>
      </c>
      <c r="N110" s="125">
        <f>'Alloc Amt'!N110/'Alloc Amt'!$E110</f>
        <v>2.9182281911296435E-2</v>
      </c>
      <c r="O110" s="125">
        <f>'Alloc Amt'!O110/'Alloc Amt'!$E110</f>
        <v>0</v>
      </c>
      <c r="P110" s="125">
        <f>'Alloc Amt'!P110/'Alloc Amt'!$E110</f>
        <v>3.9284317821629009E-3</v>
      </c>
      <c r="Q110" s="125">
        <f>'Alloc Amt'!Q110/'Alloc Amt'!$E110</f>
        <v>3.0240061143089022E-4</v>
      </c>
    </row>
    <row r="111" spans="2:17" x14ac:dyDescent="0.25">
      <c r="B111" s="6" t="str">
        <f>'Alloc Amt'!B111</f>
        <v>Allocation Pct</v>
      </c>
      <c r="C111" s="6">
        <f>'Alloc Amt'!C111</f>
        <v>0</v>
      </c>
      <c r="D111" s="6">
        <f>'Alloc Amt'!D111</f>
        <v>0</v>
      </c>
      <c r="E111" s="125">
        <f t="shared" si="1"/>
        <v>0.99999999999999978</v>
      </c>
      <c r="F111" s="125">
        <f>'Alloc Amt'!F111/'Alloc Amt'!$E111</f>
        <v>0.50114828917033483</v>
      </c>
      <c r="G111" s="125">
        <f>'Alloc Amt'!G111/'Alloc Amt'!$E111</f>
        <v>0.13603581194779049</v>
      </c>
      <c r="H111" s="125">
        <f>'Alloc Amt'!H111/'Alloc Amt'!$E111</f>
        <v>0.14006983288491609</v>
      </c>
      <c r="I111" s="125">
        <f>'Alloc Amt'!I111/'Alloc Amt'!$E111</f>
        <v>9.2424030517795214E-2</v>
      </c>
      <c r="J111" s="125">
        <f>'Alloc Amt'!J111/'Alloc Amt'!$E111</f>
        <v>5.949915094416651E-2</v>
      </c>
      <c r="K111" s="125">
        <f>'Alloc Amt'!K111/'Alloc Amt'!$E111</f>
        <v>2.3060728213933584E-4</v>
      </c>
      <c r="L111" s="125">
        <f>'Alloc Amt'!L111/'Alloc Amt'!$E111</f>
        <v>5.3799391006893304E-3</v>
      </c>
      <c r="M111" s="125">
        <f>'Alloc Amt'!M111/'Alloc Amt'!$E111</f>
        <v>3.1799223847277847E-2</v>
      </c>
      <c r="N111" s="125">
        <f>'Alloc Amt'!N111/'Alloc Amt'!$E111</f>
        <v>2.9182281911296421E-2</v>
      </c>
      <c r="O111" s="125">
        <f>'Alloc Amt'!O111/'Alloc Amt'!$E111</f>
        <v>0</v>
      </c>
      <c r="P111" s="125">
        <f>'Alloc Amt'!P111/'Alloc Amt'!$E111</f>
        <v>3.9284317821628991E-3</v>
      </c>
      <c r="Q111" s="125">
        <f>'Alloc Amt'!Q111/'Alloc Amt'!$E111</f>
        <v>3.0240061143089011E-4</v>
      </c>
    </row>
    <row r="112" spans="2:17" x14ac:dyDescent="0.25">
      <c r="B112" s="6">
        <f>'Alloc Amt'!B112</f>
        <v>0</v>
      </c>
      <c r="C112" s="6">
        <f>'Alloc Amt'!C112</f>
        <v>0</v>
      </c>
      <c r="D112" s="6">
        <f>'Alloc Amt'!D112</f>
        <v>0</v>
      </c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</row>
    <row r="113" spans="2:17" x14ac:dyDescent="0.25">
      <c r="B113" s="6" t="str">
        <f>'Alloc Amt'!B113</f>
        <v>Memo: Bulk Transmission</v>
      </c>
      <c r="C113" s="6">
        <f>'Alloc Amt'!C113</f>
        <v>0</v>
      </c>
      <c r="D113" s="6">
        <f>'Alloc Amt'!D113</f>
        <v>0</v>
      </c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</row>
    <row r="114" spans="2:17" x14ac:dyDescent="0.25">
      <c r="B114" s="6" t="str">
        <f>'Alloc Amt'!B114</f>
        <v>System Load Factor:</v>
      </c>
      <c r="C114" s="6">
        <f>'Alloc Amt'!C114</f>
        <v>0</v>
      </c>
      <c r="D114" s="6">
        <f>'Alloc Amt'!D114</f>
        <v>0</v>
      </c>
      <c r="E114" s="125">
        <f t="shared" si="1"/>
        <v>0</v>
      </c>
      <c r="F114" s="125">
        <f>'Alloc Amt'!F114/'Alloc Amt'!$E114</f>
        <v>0</v>
      </c>
      <c r="G114" s="125">
        <f>'Alloc Amt'!G114/'Alloc Amt'!$E114</f>
        <v>0</v>
      </c>
      <c r="H114" s="125">
        <f>'Alloc Amt'!H114/'Alloc Amt'!$E114</f>
        <v>0</v>
      </c>
      <c r="I114" s="125">
        <f>'Alloc Amt'!I114/'Alloc Amt'!$E114</f>
        <v>0</v>
      </c>
      <c r="J114" s="125">
        <f>'Alloc Amt'!J114/'Alloc Amt'!$E114</f>
        <v>0</v>
      </c>
      <c r="K114" s="125">
        <f>'Alloc Amt'!K114/'Alloc Amt'!$E114</f>
        <v>0</v>
      </c>
      <c r="L114" s="125">
        <f>'Alloc Amt'!L114/'Alloc Amt'!$E114</f>
        <v>0</v>
      </c>
      <c r="M114" s="125">
        <f>'Alloc Amt'!M114/'Alloc Amt'!$E114</f>
        <v>0</v>
      </c>
      <c r="N114" s="125">
        <f>'Alloc Amt'!N114/'Alloc Amt'!$E114</f>
        <v>0</v>
      </c>
      <c r="O114" s="125">
        <f>'Alloc Amt'!O114/'Alloc Amt'!$E114</f>
        <v>0</v>
      </c>
      <c r="P114" s="125">
        <f>'Alloc Amt'!P114/'Alloc Amt'!$E114</f>
        <v>0</v>
      </c>
      <c r="Q114" s="125">
        <f>'Alloc Amt'!Q114/'Alloc Amt'!$E114</f>
        <v>0</v>
      </c>
    </row>
    <row r="115" spans="2:17" x14ac:dyDescent="0.25">
      <c r="B115" s="6" t="str">
        <f>'Alloc Amt'!B115</f>
        <v>Calculate assignment to Transport</v>
      </c>
      <c r="C115" s="6">
        <f>'Alloc Amt'!C115</f>
        <v>0</v>
      </c>
      <c r="D115" s="6">
        <f>'Alloc Amt'!D115</f>
        <v>0</v>
      </c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</row>
    <row r="116" spans="2:17" x14ac:dyDescent="0.25">
      <c r="B116" s="6" t="str">
        <f>'Alloc Amt'!B116</f>
        <v xml:space="preserve">     Energy Pct</v>
      </c>
      <c r="C116" s="6">
        <f>'Alloc Amt'!C116</f>
        <v>0</v>
      </c>
      <c r="D116" s="6">
        <f>'Alloc Amt'!D116</f>
        <v>0</v>
      </c>
      <c r="E116" s="125">
        <f t="shared" si="1"/>
        <v>0</v>
      </c>
      <c r="F116" s="125">
        <f>'Alloc Amt'!F116/'Alloc Amt'!$E116</f>
        <v>0</v>
      </c>
      <c r="G116" s="125">
        <f>'Alloc Amt'!G116/'Alloc Amt'!$E116</f>
        <v>0</v>
      </c>
      <c r="H116" s="125">
        <f>'Alloc Amt'!H116/'Alloc Amt'!$E116</f>
        <v>0</v>
      </c>
      <c r="I116" s="125">
        <f>'Alloc Amt'!I116/'Alloc Amt'!$E116</f>
        <v>0</v>
      </c>
      <c r="J116" s="125">
        <f>'Alloc Amt'!J116/'Alloc Amt'!$E116</f>
        <v>0</v>
      </c>
      <c r="K116" s="125">
        <f>'Alloc Amt'!K116/'Alloc Amt'!$E116</f>
        <v>0</v>
      </c>
      <c r="L116" s="125">
        <f>'Alloc Amt'!L116/'Alloc Amt'!$E116</f>
        <v>0</v>
      </c>
      <c r="M116" s="125">
        <f>'Alloc Amt'!M116/'Alloc Amt'!$E116</f>
        <v>0</v>
      </c>
      <c r="N116" s="125">
        <f>'Alloc Amt'!N116/'Alloc Amt'!$E116</f>
        <v>0</v>
      </c>
      <c r="O116" s="125">
        <f>'Alloc Amt'!O116/'Alloc Amt'!$E116</f>
        <v>0</v>
      </c>
      <c r="P116" s="125">
        <f>'Alloc Amt'!P116/'Alloc Amt'!$E116</f>
        <v>0</v>
      </c>
      <c r="Q116" s="125">
        <f>'Alloc Amt'!Q116/'Alloc Amt'!$E116</f>
        <v>0</v>
      </c>
    </row>
    <row r="117" spans="2:17" x14ac:dyDescent="0.25">
      <c r="B117" s="6" t="str">
        <f>'Alloc Amt'!B117</f>
        <v xml:space="preserve">    Demand Pct</v>
      </c>
      <c r="C117" s="6">
        <f>'Alloc Amt'!C117</f>
        <v>0</v>
      </c>
      <c r="D117" s="6">
        <f>'Alloc Amt'!D117</f>
        <v>0</v>
      </c>
      <c r="E117" s="125">
        <f t="shared" si="1"/>
        <v>0</v>
      </c>
      <c r="F117" s="125">
        <f>'Alloc Amt'!F117/'Alloc Amt'!$E117</f>
        <v>0</v>
      </c>
      <c r="G117" s="125">
        <f>'Alloc Amt'!G117/'Alloc Amt'!$E117</f>
        <v>0</v>
      </c>
      <c r="H117" s="125">
        <f>'Alloc Amt'!H117/'Alloc Amt'!$E117</f>
        <v>0</v>
      </c>
      <c r="I117" s="125">
        <f>'Alloc Amt'!I117/'Alloc Amt'!$E117</f>
        <v>0</v>
      </c>
      <c r="J117" s="125">
        <f>'Alloc Amt'!J117/'Alloc Amt'!$E117</f>
        <v>0</v>
      </c>
      <c r="K117" s="125">
        <f>'Alloc Amt'!K117/'Alloc Amt'!$E117</f>
        <v>0</v>
      </c>
      <c r="L117" s="125">
        <f>'Alloc Amt'!L117/'Alloc Amt'!$E117</f>
        <v>0</v>
      </c>
      <c r="M117" s="125">
        <f>'Alloc Amt'!M117/'Alloc Amt'!$E117</f>
        <v>0</v>
      </c>
      <c r="N117" s="125">
        <f>'Alloc Amt'!N117/'Alloc Amt'!$E117</f>
        <v>0</v>
      </c>
      <c r="O117" s="125">
        <f>'Alloc Amt'!O117/'Alloc Amt'!$E117</f>
        <v>0</v>
      </c>
      <c r="P117" s="125">
        <f>'Alloc Amt'!P117/'Alloc Amt'!$E117</f>
        <v>0</v>
      </c>
      <c r="Q117" s="125">
        <f>'Alloc Amt'!Q117/'Alloc Amt'!$E117</f>
        <v>0</v>
      </c>
    </row>
    <row r="118" spans="2:17" x14ac:dyDescent="0.25">
      <c r="B118" s="6" t="str">
        <f>'Alloc Amt'!B118</f>
        <v>Bulk Total Investment</v>
      </c>
      <c r="C118" s="6">
        <f>'Alloc Amt'!C118</f>
        <v>0</v>
      </c>
      <c r="D118" s="6">
        <f>'Alloc Amt'!D118</f>
        <v>0</v>
      </c>
      <c r="E118" s="125">
        <f t="shared" si="1"/>
        <v>0</v>
      </c>
      <c r="F118" s="125">
        <f>'Alloc Amt'!F118/'Alloc Amt'!$E118</f>
        <v>0</v>
      </c>
      <c r="G118" s="125">
        <f>'Alloc Amt'!G118/'Alloc Amt'!$E118</f>
        <v>0</v>
      </c>
      <c r="H118" s="125">
        <f>'Alloc Amt'!H118/'Alloc Amt'!$E118</f>
        <v>0</v>
      </c>
      <c r="I118" s="125">
        <f>'Alloc Amt'!I118/'Alloc Amt'!$E118</f>
        <v>0</v>
      </c>
      <c r="J118" s="125">
        <f>'Alloc Amt'!J118/'Alloc Amt'!$E118</f>
        <v>0</v>
      </c>
      <c r="K118" s="125">
        <f>'Alloc Amt'!K118/'Alloc Amt'!$E118</f>
        <v>0</v>
      </c>
      <c r="L118" s="125">
        <f>'Alloc Amt'!L118/'Alloc Amt'!$E118</f>
        <v>0</v>
      </c>
      <c r="M118" s="125">
        <f>'Alloc Amt'!M118/'Alloc Amt'!$E118</f>
        <v>0</v>
      </c>
      <c r="N118" s="125">
        <f>'Alloc Amt'!N118/'Alloc Amt'!$E118</f>
        <v>0</v>
      </c>
      <c r="O118" s="125">
        <f>'Alloc Amt'!O118/'Alloc Amt'!$E118</f>
        <v>0</v>
      </c>
      <c r="P118" s="125">
        <f>'Alloc Amt'!P118/'Alloc Amt'!$E118</f>
        <v>0</v>
      </c>
      <c r="Q118" s="125">
        <f>'Alloc Amt'!Q118/'Alloc Amt'!$E118</f>
        <v>0</v>
      </c>
    </row>
    <row r="119" spans="2:17" x14ac:dyDescent="0.25">
      <c r="B119" s="6" t="str">
        <f>'Alloc Amt'!B119</f>
        <v>Transport Demand Allocation</v>
      </c>
      <c r="C119" s="6">
        <f>'Alloc Amt'!C119</f>
        <v>0</v>
      </c>
      <c r="D119" s="6">
        <f>'Alloc Amt'!D119</f>
        <v>0</v>
      </c>
      <c r="E119" s="125">
        <f t="shared" si="1"/>
        <v>1</v>
      </c>
      <c r="F119" s="125">
        <f>'Alloc Amt'!F119/'Alloc Amt'!$E119</f>
        <v>0</v>
      </c>
      <c r="G119" s="125">
        <f>'Alloc Amt'!G119/'Alloc Amt'!$E119</f>
        <v>0</v>
      </c>
      <c r="H119" s="125">
        <f>'Alloc Amt'!H119/'Alloc Amt'!$E119</f>
        <v>0</v>
      </c>
      <c r="I119" s="125">
        <f>'Alloc Amt'!I119/'Alloc Amt'!$E119</f>
        <v>0</v>
      </c>
      <c r="J119" s="125">
        <f>'Alloc Amt'!J119/'Alloc Amt'!$E119</f>
        <v>0</v>
      </c>
      <c r="K119" s="125">
        <f>'Alloc Amt'!K119/'Alloc Amt'!$E119</f>
        <v>0</v>
      </c>
      <c r="L119" s="125">
        <f>'Alloc Amt'!L119/'Alloc Amt'!$E119</f>
        <v>0</v>
      </c>
      <c r="M119" s="125">
        <f>'Alloc Amt'!M119/'Alloc Amt'!$E119</f>
        <v>0</v>
      </c>
      <c r="N119" s="125">
        <f>'Alloc Amt'!N119/'Alloc Amt'!$E119</f>
        <v>0</v>
      </c>
      <c r="O119" s="125">
        <f>'Alloc Amt'!O119/'Alloc Amt'!$E119</f>
        <v>1</v>
      </c>
      <c r="P119" s="125">
        <f>'Alloc Amt'!P119/'Alloc Amt'!$E119</f>
        <v>0</v>
      </c>
      <c r="Q119" s="125">
        <f>'Alloc Amt'!Q119/'Alloc Amt'!$E119</f>
        <v>0</v>
      </c>
    </row>
    <row r="120" spans="2:17" x14ac:dyDescent="0.25">
      <c r="B120" s="6" t="str">
        <f>'Alloc Amt'!B120</f>
        <v>Transport Energy Allocation</v>
      </c>
      <c r="C120" s="6">
        <f>'Alloc Amt'!C120</f>
        <v>0</v>
      </c>
      <c r="D120" s="6">
        <f>'Alloc Amt'!D120</f>
        <v>0</v>
      </c>
      <c r="E120" s="125">
        <f t="shared" si="1"/>
        <v>1</v>
      </c>
      <c r="F120" s="125">
        <f>'Alloc Amt'!F120/'Alloc Amt'!$E120</f>
        <v>0</v>
      </c>
      <c r="G120" s="125">
        <f>'Alloc Amt'!G120/'Alloc Amt'!$E120</f>
        <v>0</v>
      </c>
      <c r="H120" s="125">
        <f>'Alloc Amt'!H120/'Alloc Amt'!$E120</f>
        <v>0</v>
      </c>
      <c r="I120" s="125">
        <f>'Alloc Amt'!I120/'Alloc Amt'!$E120</f>
        <v>0</v>
      </c>
      <c r="J120" s="125">
        <f>'Alloc Amt'!J120/'Alloc Amt'!$E120</f>
        <v>0</v>
      </c>
      <c r="K120" s="125">
        <f>'Alloc Amt'!K120/'Alloc Amt'!$E120</f>
        <v>0</v>
      </c>
      <c r="L120" s="125">
        <f>'Alloc Amt'!L120/'Alloc Amt'!$E120</f>
        <v>0</v>
      </c>
      <c r="M120" s="125">
        <f>'Alloc Amt'!M120/'Alloc Amt'!$E120</f>
        <v>0</v>
      </c>
      <c r="N120" s="125">
        <f>'Alloc Amt'!N120/'Alloc Amt'!$E120</f>
        <v>0</v>
      </c>
      <c r="O120" s="125">
        <f>'Alloc Amt'!O120/'Alloc Amt'!$E120</f>
        <v>1</v>
      </c>
      <c r="P120" s="125">
        <f>'Alloc Amt'!P120/'Alloc Amt'!$E120</f>
        <v>0</v>
      </c>
      <c r="Q120" s="125">
        <f>'Alloc Amt'!Q120/'Alloc Amt'!$E120</f>
        <v>0</v>
      </c>
    </row>
    <row r="121" spans="2:17" x14ac:dyDescent="0.25">
      <c r="B121" s="6" t="str">
        <f>'Alloc Amt'!B121</f>
        <v>Total Transport Allocation</v>
      </c>
      <c r="C121" s="6">
        <f>'Alloc Amt'!C121</f>
        <v>0</v>
      </c>
      <c r="D121" s="6">
        <f>'Alloc Amt'!D121</f>
        <v>0</v>
      </c>
      <c r="E121" s="125">
        <f t="shared" si="1"/>
        <v>1</v>
      </c>
      <c r="F121" s="125">
        <f>'Alloc Amt'!F121/'Alloc Amt'!$E121</f>
        <v>0</v>
      </c>
      <c r="G121" s="125">
        <f>'Alloc Amt'!G121/'Alloc Amt'!$E121</f>
        <v>0</v>
      </c>
      <c r="H121" s="125">
        <f>'Alloc Amt'!H121/'Alloc Amt'!$E121</f>
        <v>0</v>
      </c>
      <c r="I121" s="125">
        <f>'Alloc Amt'!I121/'Alloc Amt'!$E121</f>
        <v>0</v>
      </c>
      <c r="J121" s="125">
        <f>'Alloc Amt'!J121/'Alloc Amt'!$E121</f>
        <v>0</v>
      </c>
      <c r="K121" s="125">
        <f>'Alloc Amt'!K121/'Alloc Amt'!$E121</f>
        <v>0</v>
      </c>
      <c r="L121" s="125">
        <f>'Alloc Amt'!L121/'Alloc Amt'!$E121</f>
        <v>0</v>
      </c>
      <c r="M121" s="125">
        <f>'Alloc Amt'!M121/'Alloc Amt'!$E121</f>
        <v>0</v>
      </c>
      <c r="N121" s="125">
        <f>'Alloc Amt'!N121/'Alloc Amt'!$E121</f>
        <v>0</v>
      </c>
      <c r="O121" s="125">
        <f>'Alloc Amt'!O121/'Alloc Amt'!$E121</f>
        <v>1</v>
      </c>
      <c r="P121" s="125">
        <f>'Alloc Amt'!P121/'Alloc Amt'!$E121</f>
        <v>0</v>
      </c>
      <c r="Q121" s="125">
        <f>'Alloc Amt'!Q121/'Alloc Amt'!$E121</f>
        <v>0</v>
      </c>
    </row>
    <row r="122" spans="2:17" x14ac:dyDescent="0.25">
      <c r="B122" s="6" t="str">
        <f>'Alloc Amt'!B122</f>
        <v>Generation Classes Allocation</v>
      </c>
      <c r="C122" s="6">
        <f>'Alloc Amt'!C122</f>
        <v>0</v>
      </c>
      <c r="D122" s="6">
        <f>'Alloc Amt'!D122</f>
        <v>0</v>
      </c>
      <c r="E122" s="125">
        <f t="shared" si="1"/>
        <v>0</v>
      </c>
      <c r="F122" s="125">
        <f>'Alloc Amt'!F122/'Alloc Amt'!$E122</f>
        <v>0</v>
      </c>
      <c r="G122" s="125">
        <f>'Alloc Amt'!G122/'Alloc Amt'!$E122</f>
        <v>0</v>
      </c>
      <c r="H122" s="125">
        <f>'Alloc Amt'!H122/'Alloc Amt'!$E122</f>
        <v>0</v>
      </c>
      <c r="I122" s="125">
        <f>'Alloc Amt'!I122/'Alloc Amt'!$E122</f>
        <v>0</v>
      </c>
      <c r="J122" s="125">
        <f>'Alloc Amt'!J122/'Alloc Amt'!$E122</f>
        <v>0</v>
      </c>
      <c r="K122" s="125">
        <f>'Alloc Amt'!K122/'Alloc Amt'!$E122</f>
        <v>0</v>
      </c>
      <c r="L122" s="125">
        <f>'Alloc Amt'!L122/'Alloc Amt'!$E122</f>
        <v>0</v>
      </c>
      <c r="M122" s="125">
        <f>'Alloc Amt'!M122/'Alloc Amt'!$E122</f>
        <v>0</v>
      </c>
      <c r="N122" s="125">
        <f>'Alloc Amt'!N122/'Alloc Amt'!$E122</f>
        <v>0</v>
      </c>
      <c r="O122" s="125">
        <f>'Alloc Amt'!O122/'Alloc Amt'!$E122</f>
        <v>0</v>
      </c>
      <c r="P122" s="125">
        <f>'Alloc Amt'!P122/'Alloc Amt'!$E122</f>
        <v>0</v>
      </c>
      <c r="Q122" s="125">
        <f>'Alloc Amt'!Q122/'Alloc Amt'!$E122</f>
        <v>0</v>
      </c>
    </row>
    <row r="123" spans="2:17" x14ac:dyDescent="0.25">
      <c r="B123" s="6" t="str">
        <f>'Alloc Amt'!B123</f>
        <v>Prob Dispatch to Generation Classes</v>
      </c>
      <c r="C123" s="6">
        <f>'Alloc Amt'!C123</f>
        <v>0</v>
      </c>
      <c r="D123" s="6">
        <f>'Alloc Amt'!D123</f>
        <v>0</v>
      </c>
      <c r="E123" s="125">
        <f t="shared" si="1"/>
        <v>1</v>
      </c>
      <c r="F123" s="125">
        <f>'Alloc Amt'!F123/'Alloc Amt'!$E123</f>
        <v>0.50274799999999997</v>
      </c>
      <c r="G123" s="125">
        <f>'Alloc Amt'!G123/'Alloc Amt'!$E123</f>
        <v>0.13508999999999999</v>
      </c>
      <c r="H123" s="125">
        <f>'Alloc Amt'!H123/'Alloc Amt'!$E123</f>
        <v>0.13808300000000001</v>
      </c>
      <c r="I123" s="125">
        <f>'Alloc Amt'!I123/'Alloc Amt'!$E123</f>
        <v>9.2536999999999994E-2</v>
      </c>
      <c r="J123" s="125">
        <f>'Alloc Amt'!J123/'Alloc Amt'!$E123</f>
        <v>6.0215999999999999E-2</v>
      </c>
      <c r="K123" s="125">
        <f>'Alloc Amt'!K123/'Alloc Amt'!$E123</f>
        <v>2.32E-4</v>
      </c>
      <c r="L123" s="125">
        <f>'Alloc Amt'!L123/'Alloc Amt'!$E123</f>
        <v>5.2509999999999996E-3</v>
      </c>
      <c r="M123" s="125">
        <f>'Alloc Amt'!M123/'Alloc Amt'!$E123</f>
        <v>3.2034E-2</v>
      </c>
      <c r="N123" s="125">
        <f>'Alloc Amt'!N123/'Alloc Amt'!$E123</f>
        <v>2.9491E-2</v>
      </c>
      <c r="O123" s="125">
        <f>'Alloc Amt'!O123/'Alloc Amt'!$E123</f>
        <v>0</v>
      </c>
      <c r="P123" s="125">
        <f>'Alloc Amt'!P123/'Alloc Amt'!$E123</f>
        <v>4.0000000000000001E-3</v>
      </c>
      <c r="Q123" s="125">
        <f>'Alloc Amt'!Q123/'Alloc Amt'!$E123</f>
        <v>3.1799999999999998E-4</v>
      </c>
    </row>
    <row r="124" spans="2:17" x14ac:dyDescent="0.25">
      <c r="B124" s="6" t="str">
        <f>'Alloc Amt'!B124</f>
        <v>Total Class Allocation</v>
      </c>
      <c r="C124" s="6">
        <f>'Alloc Amt'!C124</f>
        <v>0</v>
      </c>
      <c r="D124" s="6">
        <f>'Alloc Amt'!D124</f>
        <v>0</v>
      </c>
      <c r="E124" s="125">
        <f t="shared" si="1"/>
        <v>1.0000000000000002</v>
      </c>
      <c r="F124" s="125">
        <f>'Alloc Amt'!F124/'Alloc Amt'!$E124</f>
        <v>0.46368979081041595</v>
      </c>
      <c r="G124" s="125">
        <f>'Alloc Amt'!G124/'Alloc Amt'!$E124</f>
        <v>0.12459493392431016</v>
      </c>
      <c r="H124" s="125">
        <f>'Alloc Amt'!H124/'Alloc Amt'!$E124</f>
        <v>0.12735540943867438</v>
      </c>
      <c r="I124" s="125">
        <f>'Alloc Amt'!I124/'Alloc Amt'!$E124</f>
        <v>8.5347852546849429E-2</v>
      </c>
      <c r="J124" s="125">
        <f>'Alloc Amt'!J124/'Alloc Amt'!$E124</f>
        <v>5.5537852847629444E-2</v>
      </c>
      <c r="K124" s="125">
        <f>'Alloc Amt'!K124/'Alloc Amt'!$E124</f>
        <v>2.1397605056214347E-4</v>
      </c>
      <c r="L124" s="125">
        <f>'Alloc Amt'!L124/'Alloc Amt'!$E124</f>
        <v>4.8430527650940311E-3</v>
      </c>
      <c r="M124" s="125">
        <f>'Alloc Amt'!M124/'Alloc Amt'!$E124</f>
        <v>2.9545296567705617E-2</v>
      </c>
      <c r="N124" s="125">
        <f>'Alloc Amt'!N124/'Alloc Amt'!$E124</f>
        <v>2.7199860806586953E-2</v>
      </c>
      <c r="O124" s="125">
        <f>'Alloc Amt'!O124/'Alloc Amt'!$E124</f>
        <v>7.7689437232140279E-2</v>
      </c>
      <c r="P124" s="125">
        <f>'Alloc Amt'!P124/'Alloc Amt'!$E124</f>
        <v>3.6892422510714394E-3</v>
      </c>
      <c r="Q124" s="125">
        <f>'Alloc Amt'!Q124/'Alloc Amt'!$E124</f>
        <v>2.9329475896017941E-4</v>
      </c>
    </row>
    <row r="125" spans="2:17" x14ac:dyDescent="0.25">
      <c r="B125" s="6">
        <f>'Alloc Amt'!B125</f>
        <v>0</v>
      </c>
      <c r="C125" s="6">
        <f>'Alloc Amt'!C125</f>
        <v>0</v>
      </c>
      <c r="D125" s="6">
        <f>'Alloc Amt'!D125</f>
        <v>0</v>
      </c>
      <c r="E125" s="125" t="e">
        <f t="shared" si="1"/>
        <v>#DIV/0!</v>
      </c>
      <c r="F125" s="125" t="e">
        <f>'Alloc Amt'!F125/'Alloc Amt'!$E125</f>
        <v>#DIV/0!</v>
      </c>
      <c r="G125" s="125" t="e">
        <f>'Alloc Amt'!G125/'Alloc Amt'!$E125</f>
        <v>#DIV/0!</v>
      </c>
      <c r="H125" s="125" t="e">
        <f>'Alloc Amt'!H125/'Alloc Amt'!$E125</f>
        <v>#DIV/0!</v>
      </c>
      <c r="I125" s="125" t="e">
        <f>'Alloc Amt'!I125/'Alloc Amt'!$E125</f>
        <v>#DIV/0!</v>
      </c>
      <c r="J125" s="125" t="e">
        <f>'Alloc Amt'!J125/'Alloc Amt'!$E125</f>
        <v>#DIV/0!</v>
      </c>
      <c r="K125" s="125" t="e">
        <f>'Alloc Amt'!K125/'Alloc Amt'!$E125</f>
        <v>#DIV/0!</v>
      </c>
      <c r="L125" s="125" t="e">
        <f>'Alloc Amt'!L125/'Alloc Amt'!$E125</f>
        <v>#DIV/0!</v>
      </c>
      <c r="M125" s="125" t="e">
        <f>'Alloc Amt'!M125/'Alloc Amt'!$E125</f>
        <v>#DIV/0!</v>
      </c>
      <c r="N125" s="125" t="e">
        <f>'Alloc Amt'!N125/'Alloc Amt'!$E125</f>
        <v>#DIV/0!</v>
      </c>
      <c r="O125" s="125" t="e">
        <f>'Alloc Amt'!O125/'Alloc Amt'!$E125</f>
        <v>#DIV/0!</v>
      </c>
      <c r="P125" s="125" t="e">
        <f>'Alloc Amt'!P125/'Alloc Amt'!$E125</f>
        <v>#DIV/0!</v>
      </c>
      <c r="Q125" s="125" t="e">
        <f>'Alloc Amt'!Q125/'Alloc Amt'!$E125</f>
        <v>#DIV/0!</v>
      </c>
    </row>
    <row r="126" spans="2:17" x14ac:dyDescent="0.25">
      <c r="B126" s="6">
        <f>'Alloc Amt'!B126</f>
        <v>0</v>
      </c>
      <c r="C126" s="6">
        <f>'Alloc Amt'!C126</f>
        <v>0</v>
      </c>
      <c r="D126" s="6">
        <f>'Alloc Amt'!D126</f>
        <v>0</v>
      </c>
      <c r="E126" s="125" t="e">
        <f t="shared" si="1"/>
        <v>#DIV/0!</v>
      </c>
      <c r="F126" s="125" t="e">
        <f>'Alloc Amt'!F126/'Alloc Amt'!$E126</f>
        <v>#DIV/0!</v>
      </c>
      <c r="G126" s="125" t="e">
        <f>'Alloc Amt'!G126/'Alloc Amt'!$E126</f>
        <v>#DIV/0!</v>
      </c>
      <c r="H126" s="125" t="e">
        <f>'Alloc Amt'!H126/'Alloc Amt'!$E126</f>
        <v>#DIV/0!</v>
      </c>
      <c r="I126" s="125" t="e">
        <f>'Alloc Amt'!I126/'Alloc Amt'!$E126</f>
        <v>#DIV/0!</v>
      </c>
      <c r="J126" s="125" t="e">
        <f>'Alloc Amt'!J126/'Alloc Amt'!$E126</f>
        <v>#DIV/0!</v>
      </c>
      <c r="K126" s="125" t="e">
        <f>'Alloc Amt'!K126/'Alloc Amt'!$E126</f>
        <v>#DIV/0!</v>
      </c>
      <c r="L126" s="125" t="e">
        <f>'Alloc Amt'!L126/'Alloc Amt'!$E126</f>
        <v>#DIV/0!</v>
      </c>
      <c r="M126" s="125" t="e">
        <f>'Alloc Amt'!M126/'Alloc Amt'!$E126</f>
        <v>#DIV/0!</v>
      </c>
      <c r="N126" s="125" t="e">
        <f>'Alloc Amt'!N126/'Alloc Amt'!$E126</f>
        <v>#DIV/0!</v>
      </c>
      <c r="O126" s="125" t="e">
        <f>'Alloc Amt'!O126/'Alloc Amt'!$E126</f>
        <v>#DIV/0!</v>
      </c>
      <c r="P126" s="125" t="e">
        <f>'Alloc Amt'!P126/'Alloc Amt'!$E126</f>
        <v>#DIV/0!</v>
      </c>
      <c r="Q126" s="125" t="e">
        <f>'Alloc Amt'!Q126/'Alloc Amt'!$E126</f>
        <v>#DIV/0!</v>
      </c>
    </row>
    <row r="127" spans="2:17" x14ac:dyDescent="0.25"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</row>
  </sheetData>
  <mergeCells count="5">
    <mergeCell ref="S3:U3"/>
    <mergeCell ref="W3:X3"/>
    <mergeCell ref="B1:Q1"/>
    <mergeCell ref="B2:Q2"/>
    <mergeCell ref="B3:Q3"/>
  </mergeCells>
  <pageMargins left="0.7" right="0.7" top="0.75" bottom="0.75" header="0.3" footer="0.3"/>
  <pageSetup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6095245-B411-4CE4-841B-E9A43C3C59A9}"/>
</file>

<file path=customXml/itemProps2.xml><?xml version="1.0" encoding="utf-8"?>
<ds:datastoreItem xmlns:ds="http://schemas.openxmlformats.org/officeDocument/2006/customXml" ds:itemID="{68C32C7B-2E8A-4E42-A3C2-D90031402038}"/>
</file>

<file path=customXml/itemProps3.xml><?xml version="1.0" encoding="utf-8"?>
<ds:datastoreItem xmlns:ds="http://schemas.openxmlformats.org/officeDocument/2006/customXml" ds:itemID="{F34A99A5-0F01-46FD-88C2-5516E5F4A7E9}"/>
</file>

<file path=customXml/itemProps4.xml><?xml version="1.0" encoding="utf-8"?>
<ds:datastoreItem xmlns:ds="http://schemas.openxmlformats.org/officeDocument/2006/customXml" ds:itemID="{9FA85F57-6217-4D1D-939B-0827A8B6AD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  <vt:lpstr>'Alloc Pct'!Print_Area</vt:lpstr>
      <vt:lpstr>Expenses!Print_Area</vt:lpstr>
      <vt:lpstr>Labor!Print_Area</vt:lpstr>
      <vt:lpstr>'Rate Base'!Print_Area</vt:lpstr>
      <vt:lpstr>Revenue!Print_Area</vt:lpstr>
      <vt:lpstr>Summary!Print_Area</vt:lpstr>
      <vt:lpstr>'Alloc Amt'!Print_Titles</vt:lpstr>
      <vt:lpstr>'Alloc Pct'!Print_Titles</vt:lpstr>
      <vt:lpstr>Expenses!Print_Titles</vt:lpstr>
      <vt:lpstr>'Rate Base'!Print_Titles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</dc:creator>
  <cp:lastModifiedBy>Jenny Dolen</cp:lastModifiedBy>
  <cp:lastPrinted>2017-06-23T13:38:02Z</cp:lastPrinted>
  <dcterms:created xsi:type="dcterms:W3CDTF">2017-04-24T16:57:50Z</dcterms:created>
  <dcterms:modified xsi:type="dcterms:W3CDTF">2017-06-23T13:38:08Z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