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E07B8EC4-EBAE-4BBE-AD4C-5A35E47FB434}" xr6:coauthVersionLast="47" xr6:coauthVersionMax="47" xr10:uidLastSave="{00000000-0000-0000-0000-000000000000}"/>
  <bookViews>
    <workbookView xWindow="2730" yWindow="2730" windowWidth="8640" windowHeight="14610" xr2:uid="{6D61930A-DC7D-41DA-868E-1A3CA2469CD1}"/>
  </bookViews>
  <sheets>
    <sheet name="Clallam Proposed Rates" sheetId="5" r:id="rId1"/>
    <sheet name="Jefferson Proposed Rates" sheetId="6" r:id="rId2"/>
    <sheet name="Jefferson Reg Price Out" sheetId="1" r:id="rId3"/>
    <sheet name="Clallam Reg Price Out" sheetId="2" r:id="rId4"/>
    <sheet name="CityPA-M Price Out" sheetId="3" r:id="rId5"/>
    <sheet name="Mill Haul Tie Out" sheetId="4" r:id="rId6"/>
    <sheet name="LG Public - Clallam Total" sheetId="7" r:id="rId7"/>
    <sheet name="LG Public - Jefferson Total" sheetId="8" r:id="rId8"/>
    <sheet name="LG Public - Mill Hauls" sheetId="9" r:id="rId9"/>
  </sheets>
  <definedNames>
    <definedName name="\6">#REF!</definedName>
    <definedName name="\7">#REF!</definedName>
    <definedName name="\A">#REF!</definedName>
    <definedName name="\c">#REF!</definedName>
    <definedName name="\D" localSheetId="6">#REF!</definedName>
    <definedName name="\D" localSheetId="7">#REF!</definedName>
    <definedName name="\D" localSheetId="8">#REF!</definedName>
    <definedName name="\D">#REF!</definedName>
    <definedName name="\E">#REF!</definedName>
    <definedName name="\M">#REF!</definedName>
    <definedName name="\p">#REF!</definedName>
    <definedName name="\R">#REF!</definedName>
    <definedName name="\S" localSheetId="6">#REF!</definedName>
    <definedName name="\S" localSheetId="7">#REF!</definedName>
    <definedName name="\S" localSheetId="8">#REF!</definedName>
    <definedName name="\S">#REF!</definedName>
    <definedName name="\Y" localSheetId="6">#REF!</definedName>
    <definedName name="\Y" localSheetId="7">#REF!</definedName>
    <definedName name="\Y" localSheetId="8">#REF!</definedName>
    <definedName name="\Y">#REF!</definedName>
    <definedName name="\z">#REF!</definedName>
    <definedName name="______________CYA1">#REF!</definedName>
    <definedName name="______________CYA10">#REF!</definedName>
    <definedName name="______________CYA11">#REF!</definedName>
    <definedName name="______________CYA2">#REF!</definedName>
    <definedName name="______________CYA3">#REF!</definedName>
    <definedName name="______________CYA4">#REF!</definedName>
    <definedName name="______________CYA5">#REF!</definedName>
    <definedName name="______________CYA6">#REF!</definedName>
    <definedName name="______________CYA7">#REF!</definedName>
    <definedName name="______________CYA8">#REF!</definedName>
    <definedName name="______________CYA9">#REF!</definedName>
    <definedName name="______________LYA12">#REF!</definedName>
    <definedName name="_____________CYA1">#REF!</definedName>
    <definedName name="_____________CYA10">#REF!</definedName>
    <definedName name="_____________CYA11">#REF!</definedName>
    <definedName name="_____________CYA2">#REF!</definedName>
    <definedName name="_____________CYA3">#REF!</definedName>
    <definedName name="_____________CYA4">#REF!</definedName>
    <definedName name="_____________CYA5">#REF!</definedName>
    <definedName name="_____________CYA6">#REF!</definedName>
    <definedName name="_____________CYA7">#REF!</definedName>
    <definedName name="_____________CYA8">#REF!</definedName>
    <definedName name="_____________CYA9">#REF!</definedName>
    <definedName name="_____________LYA12">#REF!</definedName>
    <definedName name="____________CYA1">#REF!</definedName>
    <definedName name="____________CYA10">#REF!</definedName>
    <definedName name="____________CYA11">#REF!</definedName>
    <definedName name="____________CYA2">#REF!</definedName>
    <definedName name="____________CYA3">#REF!</definedName>
    <definedName name="____________CYA4">#REF!</definedName>
    <definedName name="____________CYA5">#REF!</definedName>
    <definedName name="____________CYA6">#REF!</definedName>
    <definedName name="____________CYA7">#REF!</definedName>
    <definedName name="____________CYA8">#REF!</definedName>
    <definedName name="____________CYA9">#REF!</definedName>
    <definedName name="____________LYA12">#REF!</definedName>
    <definedName name="___________CYA1">#REF!</definedName>
    <definedName name="___________CYA10">#REF!</definedName>
    <definedName name="___________CYA11">#REF!</definedName>
    <definedName name="___________CYA2">#REF!</definedName>
    <definedName name="___________CYA3">#REF!</definedName>
    <definedName name="___________CYA4">#REF!</definedName>
    <definedName name="___________CYA5">#REF!</definedName>
    <definedName name="___________CYA6">#REF!</definedName>
    <definedName name="___________CYA7">#REF!</definedName>
    <definedName name="___________CYA8">#REF!</definedName>
    <definedName name="___________CYA9">#REF!</definedName>
    <definedName name="___________LYA12">#REF!</definedName>
    <definedName name="__________CYA1">#REF!</definedName>
    <definedName name="__________CYA10">#REF!</definedName>
    <definedName name="__________CYA11">#REF!</definedName>
    <definedName name="__________CYA2">#REF!</definedName>
    <definedName name="__________CYA3">#REF!</definedName>
    <definedName name="__________CYA4">#REF!</definedName>
    <definedName name="__________CYA5">#REF!</definedName>
    <definedName name="__________CYA6">#REF!</definedName>
    <definedName name="__________CYA7">#REF!</definedName>
    <definedName name="__________CYA8">#REF!</definedName>
    <definedName name="__________CYA9">#REF!</definedName>
    <definedName name="__________LYA12">#REF!</definedName>
    <definedName name="_________CYA1">#REF!</definedName>
    <definedName name="_________CYA10">#REF!</definedName>
    <definedName name="_________CYA11">#REF!</definedName>
    <definedName name="_________CYA2">#REF!</definedName>
    <definedName name="_________CYA3">#REF!</definedName>
    <definedName name="_________CYA4">#REF!</definedName>
    <definedName name="_________CYA5">#REF!</definedName>
    <definedName name="_________CYA6">#REF!</definedName>
    <definedName name="_________CYA7">#REF!</definedName>
    <definedName name="_________CYA8">#REF!</definedName>
    <definedName name="_________CYA9">#REF!</definedName>
    <definedName name="_________LYA12">#REF!</definedName>
    <definedName name="________CYA1">#REF!</definedName>
    <definedName name="________CYA10">#REF!</definedName>
    <definedName name="________CYA11">#REF!</definedName>
    <definedName name="________CYA2">#REF!</definedName>
    <definedName name="________CYA3">#REF!</definedName>
    <definedName name="________CYA4">#REF!</definedName>
    <definedName name="________CYA5">#REF!</definedName>
    <definedName name="________CYA6">#REF!</definedName>
    <definedName name="________CYA7">#REF!</definedName>
    <definedName name="________CYA8">#REF!</definedName>
    <definedName name="________CYA9">#REF!</definedName>
    <definedName name="________LYA12">#REF!</definedName>
    <definedName name="_______CYA1">#REF!</definedName>
    <definedName name="_______CYA10">#REF!</definedName>
    <definedName name="_______CYA11">#REF!</definedName>
    <definedName name="_______CYA2">#REF!</definedName>
    <definedName name="_______CYA3">#REF!</definedName>
    <definedName name="_______CYA4">#REF!</definedName>
    <definedName name="_______CYA5">#REF!</definedName>
    <definedName name="_______CYA6">#REF!</definedName>
    <definedName name="_______CYA7">#REF!</definedName>
    <definedName name="_______CYA8">#REF!</definedName>
    <definedName name="_______CYA9">#REF!</definedName>
    <definedName name="_______LYA12">#REF!</definedName>
    <definedName name="______ACT1">#REF!</definedName>
    <definedName name="______ACT2">#REF!</definedName>
    <definedName name="______ACT3">#REF!</definedName>
    <definedName name="______CYA1">#REF!</definedName>
    <definedName name="______CYA10">#REF!</definedName>
    <definedName name="______CYA11">#REF!</definedName>
    <definedName name="______CYA2">#REF!</definedName>
    <definedName name="______CYA3">#REF!</definedName>
    <definedName name="______CYA4">#REF!</definedName>
    <definedName name="______CYA5">#REF!</definedName>
    <definedName name="______CYA6">#REF!</definedName>
    <definedName name="______CYA7">#REF!</definedName>
    <definedName name="______CYA8">#REF!</definedName>
    <definedName name="______CYA9">#REF!</definedName>
    <definedName name="______LYA12">#REF!</definedName>
    <definedName name="_____ACT1">#REF!</definedName>
    <definedName name="_____ACT2">#REF!</definedName>
    <definedName name="_____ACT3">#REF!</definedName>
    <definedName name="_____CYA1">#REF!</definedName>
    <definedName name="_____CYA10">#REF!</definedName>
    <definedName name="_____CYA11">#REF!</definedName>
    <definedName name="_____CYA2">#REF!</definedName>
    <definedName name="_____CYA3">#REF!</definedName>
    <definedName name="_____CYA4">#REF!</definedName>
    <definedName name="_____CYA5">#REF!</definedName>
    <definedName name="_____CYA6">#REF!</definedName>
    <definedName name="_____CYA7">#REF!</definedName>
    <definedName name="_____CYA8">#REF!</definedName>
    <definedName name="_____CYA9">#REF!</definedName>
    <definedName name="_____LYA12">#REF!</definedName>
    <definedName name="_____MAS95">#REF!</definedName>
    <definedName name="_____Sub1">#REF!</definedName>
    <definedName name="_____Sub10">#REF!</definedName>
    <definedName name="_____Sub11">#REF!</definedName>
    <definedName name="_____Sub12">#REF!</definedName>
    <definedName name="_____Sub13">#REF!</definedName>
    <definedName name="_____Sub2">#REF!</definedName>
    <definedName name="_____Sub3">#REF!</definedName>
    <definedName name="_____Sub4">#REF!</definedName>
    <definedName name="_____Sub5">#REF!</definedName>
    <definedName name="_____Sub6">#REF!</definedName>
    <definedName name="_____Sub7">#REF!</definedName>
    <definedName name="_____Sub8">#REF!</definedName>
    <definedName name="_____Sub9">#REF!</definedName>
    <definedName name="____ACT1">#REF!</definedName>
    <definedName name="____ACT2">#REF!</definedName>
    <definedName name="____ACT3">#REF!</definedName>
    <definedName name="____CYA1">#REF!</definedName>
    <definedName name="____CYA10">#REF!</definedName>
    <definedName name="____CYA11">#REF!</definedName>
    <definedName name="____CYA2">#REF!</definedName>
    <definedName name="____CYA3">#REF!</definedName>
    <definedName name="____CYA4">#REF!</definedName>
    <definedName name="____CYA5">#REF!</definedName>
    <definedName name="____CYA6">#REF!</definedName>
    <definedName name="____CYA7">#REF!</definedName>
    <definedName name="____CYA8">#REF!</definedName>
    <definedName name="____CYA9">#REF!</definedName>
    <definedName name="____LYA12">#REF!</definedName>
    <definedName name="____MAS95">#REF!</definedName>
    <definedName name="____Sub1">#REF!</definedName>
    <definedName name="____Sub10">#REF!</definedName>
    <definedName name="____Sub11">#REF!</definedName>
    <definedName name="____Sub12">#REF!</definedName>
    <definedName name="____Sub13">#REF!</definedName>
    <definedName name="____Sub2">#REF!</definedName>
    <definedName name="____Sub3">#REF!</definedName>
    <definedName name="____Sub4">#REF!</definedName>
    <definedName name="____Sub5">#REF!</definedName>
    <definedName name="____Sub6">#REF!</definedName>
    <definedName name="____Sub7">#REF!</definedName>
    <definedName name="____Sub8">#REF!</definedName>
    <definedName name="____Sub9">#REF!</definedName>
    <definedName name="___ACT1">#REF!</definedName>
    <definedName name="___ACT2">#REF!</definedName>
    <definedName name="___ACT3">#REF!</definedName>
    <definedName name="___CYA1">#REF!</definedName>
    <definedName name="___CYA10">#REF!</definedName>
    <definedName name="___CYA11">#REF!</definedName>
    <definedName name="___CYA2">#REF!</definedName>
    <definedName name="___CYA3">#REF!</definedName>
    <definedName name="___CYA4">#REF!</definedName>
    <definedName name="___CYA5">#REF!</definedName>
    <definedName name="___CYA6">#REF!</definedName>
    <definedName name="___CYA7">#REF!</definedName>
    <definedName name="___CYA8">#REF!</definedName>
    <definedName name="___CYA9">#REF!</definedName>
    <definedName name="___LYA12">#REF!</definedName>
    <definedName name="___MAS95">#REF!</definedName>
    <definedName name="___Sub1">#REF!</definedName>
    <definedName name="___Sub10">#REF!</definedName>
    <definedName name="___Sub11">#REF!</definedName>
    <definedName name="___Sub12">#REF!</definedName>
    <definedName name="___Sub13">#REF!</definedName>
    <definedName name="___Sub2">#REF!</definedName>
    <definedName name="___Sub3">#REF!</definedName>
    <definedName name="___Sub4">#REF!</definedName>
    <definedName name="___Sub5">#REF!</definedName>
    <definedName name="___Sub6">#REF!</definedName>
    <definedName name="___Sub7">#REF!</definedName>
    <definedName name="___Sub8">#REF!</definedName>
    <definedName name="___Sub9">#REF!</definedName>
    <definedName name="__ACT1" localSheetId="6">#REF!</definedName>
    <definedName name="__ACT1" localSheetId="7">#REF!</definedName>
    <definedName name="__ACT1" localSheetId="8">#REF!</definedName>
    <definedName name="__ACT1">#REF!</definedName>
    <definedName name="__ACT2" localSheetId="6">#REF!</definedName>
    <definedName name="__ACT2" localSheetId="7">#REF!</definedName>
    <definedName name="__ACT2" localSheetId="8">#REF!</definedName>
    <definedName name="__ACT2">#REF!</definedName>
    <definedName name="__ACT3" localSheetId="6">#REF!</definedName>
    <definedName name="__ACT3" localSheetId="7">#REF!</definedName>
    <definedName name="__ACT3" localSheetId="8">#REF!</definedName>
    <definedName name="__ACT3">#REF!</definedName>
    <definedName name="__CYA1">#REF!</definedName>
    <definedName name="__CYA10">#REF!</definedName>
    <definedName name="__CYA11">#REF!</definedName>
    <definedName name="__CYA2">#REF!</definedName>
    <definedName name="__CYA3">#REF!</definedName>
    <definedName name="__CYA4">#REF!</definedName>
    <definedName name="__CYA5">#REF!</definedName>
    <definedName name="__CYA6">#REF!</definedName>
    <definedName name="__CYA7">#REF!</definedName>
    <definedName name="__CYA8">#REF!</definedName>
    <definedName name="__CYA9">#REF!</definedName>
    <definedName name="__IntlFixup" hidden="1">TRUE</definedName>
    <definedName name="__LYA1">#REF!</definedName>
    <definedName name="__LYA10">#REF!</definedName>
    <definedName name="__LYA11">#REF!</definedName>
    <definedName name="__LYA12">#REF!</definedName>
    <definedName name="__LYA2">#REF!</definedName>
    <definedName name="__LYA3">#REF!</definedName>
    <definedName name="__LYA4">#REF!</definedName>
    <definedName name="__LYA5">#REF!</definedName>
    <definedName name="__LYA6">#REF!</definedName>
    <definedName name="__LYA7">#REF!</definedName>
    <definedName name="__LYA8">#REF!</definedName>
    <definedName name="__LYA9">#REF!</definedName>
    <definedName name="__MAS95">#REF!</definedName>
    <definedName name="__Sub1">#REF!</definedName>
    <definedName name="__Sub10">#REF!</definedName>
    <definedName name="__Sub11">#REF!</definedName>
    <definedName name="__Sub12">#REF!</definedName>
    <definedName name="__Sub13">#REF!</definedName>
    <definedName name="__Sub2">#REF!</definedName>
    <definedName name="__Sub3">#REF!</definedName>
    <definedName name="__Sub4">#REF!</definedName>
    <definedName name="__Sub5">#REF!</definedName>
    <definedName name="__Sub6">#REF!</definedName>
    <definedName name="__Sub7">#REF!</definedName>
    <definedName name="__Sub8">#REF!</definedName>
    <definedName name="__Sub9">#REF!</definedName>
    <definedName name="_1">#REF!</definedName>
    <definedName name="_10">#REF!</definedName>
    <definedName name="_11">#REF!</definedName>
    <definedName name="_12">#REF!</definedName>
    <definedName name="_123Graph_g" hidden="1">#REF!</definedName>
    <definedName name="_13">#REF!</definedName>
    <definedName name="_13054">#REF!</definedName>
    <definedName name="_132" hidden="1">#REF!</definedName>
    <definedName name="_132Graph_h" localSheetId="6" hidden="1">#REF!</definedName>
    <definedName name="_132Graph_h" localSheetId="7" hidden="1">#REF!</definedName>
    <definedName name="_132Graph_h" localSheetId="8" hidden="1">#REF!</definedName>
    <definedName name="_132Graph_h" hidden="1">#REF!</definedName>
    <definedName name="_14">#REF!</definedName>
    <definedName name="_15">#REF!</definedName>
    <definedName name="_16">#REF!</definedName>
    <definedName name="_17">#REF!</definedName>
    <definedName name="_18">#REF!</definedName>
    <definedName name="_19">#REF!</definedName>
    <definedName name="_2">#REF!</definedName>
    <definedName name="_20">#REF!</definedName>
    <definedName name="_21">#REF!</definedName>
    <definedName name="_22">#REF!</definedName>
    <definedName name="_23">#REF!</definedName>
    <definedName name="_24">#REF!</definedName>
    <definedName name="_25">#REF!</definedName>
    <definedName name="_26">#REF!</definedName>
    <definedName name="_27">#REF!</definedName>
    <definedName name="_28">#REF!</definedName>
    <definedName name="_29">#REF!</definedName>
    <definedName name="_3">#REF!</definedName>
    <definedName name="_30">#REF!</definedName>
    <definedName name="_31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ACT1" localSheetId="4">#REF!</definedName>
    <definedName name="_ACT1" localSheetId="2">#REF!</definedName>
    <definedName name="_ACT1" localSheetId="6">#REF!</definedName>
    <definedName name="_ACT1" localSheetId="7">#REF!</definedName>
    <definedName name="_ACT1" localSheetId="8">#REF!</definedName>
    <definedName name="_ACT1">#REF!</definedName>
    <definedName name="_ACT2" localSheetId="4">#REF!</definedName>
    <definedName name="_ACT2" localSheetId="2">#REF!</definedName>
    <definedName name="_ACT2" localSheetId="6">#REF!</definedName>
    <definedName name="_ACT2" localSheetId="7">#REF!</definedName>
    <definedName name="_ACT2" localSheetId="8">#REF!</definedName>
    <definedName name="_ACT2">#REF!</definedName>
    <definedName name="_ACT3" localSheetId="4">#REF!</definedName>
    <definedName name="_ACT3" localSheetId="2">#REF!</definedName>
    <definedName name="_ACT3" localSheetId="6">#REF!</definedName>
    <definedName name="_ACT3" localSheetId="7">#REF!</definedName>
    <definedName name="_ACT3" localSheetId="8">#REF!</definedName>
    <definedName name="_ACT3">#REF!</definedName>
    <definedName name="_ACT4">#REF!</definedName>
    <definedName name="_BUN1">#REF!</definedName>
    <definedName name="_BUN3">#REF!</definedName>
    <definedName name="_COS1" localSheetId="6">#REF!</definedName>
    <definedName name="_COS1" localSheetId="7">#REF!</definedName>
    <definedName name="_COS1" localSheetId="8">#REF!</definedName>
    <definedName name="_COS1">#REF!</definedName>
    <definedName name="_COS2" localSheetId="6">#REF!</definedName>
    <definedName name="_COS2" localSheetId="7">#REF!</definedName>
    <definedName name="_COS2" localSheetId="8">#REF!</definedName>
    <definedName name="_COS2">#REF!</definedName>
    <definedName name="_CYA1">#REF!</definedName>
    <definedName name="_CYA10">#REF!</definedName>
    <definedName name="_CYA11">#REF!</definedName>
    <definedName name="_CYA2">#REF!</definedName>
    <definedName name="_CYA3">#REF!</definedName>
    <definedName name="_CYA4">#REF!</definedName>
    <definedName name="_CYA5">#REF!</definedName>
    <definedName name="_CYA6">#REF!</definedName>
    <definedName name="_CYA7">#REF!</definedName>
    <definedName name="_CYA8">#REF!</definedName>
    <definedName name="_CYA9">#REF!</definedName>
    <definedName name="_CYB4">#REF!</definedName>
    <definedName name="_CYB5">#REF!</definedName>
    <definedName name="_CYB6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hidden="1">#REF!</definedName>
    <definedName name="_xlnm._FilterDatabase" localSheetId="4" hidden="1">'CityPA-M Price Out'!$B$6:$AI$89</definedName>
    <definedName name="_xlnm._FilterDatabase" localSheetId="3" hidden="1">'Clallam Reg Price Out'!$B$6:$AH$185</definedName>
    <definedName name="_xlnm._FilterDatabase" localSheetId="2" hidden="1">'Jefferson Reg Price Out'!$B$5:$AJ$176</definedName>
    <definedName name="_JV100">#REF!</definedName>
    <definedName name="_JV502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hidden="1">#REF!</definedName>
    <definedName name="_Key2" hidden="1">#REF!</definedName>
    <definedName name="_key5" hidden="1">#REF!</definedName>
    <definedName name="_LYA1">#REF!</definedName>
    <definedName name="_LYA10">#REF!</definedName>
    <definedName name="_LYA11">#REF!</definedName>
    <definedName name="_LYA12">#REF!</definedName>
    <definedName name="_LYA2">#REF!</definedName>
    <definedName name="_LYA3">#REF!</definedName>
    <definedName name="_LYA4">#REF!</definedName>
    <definedName name="_LYA5">#REF!</definedName>
    <definedName name="_LYA6">#REF!</definedName>
    <definedName name="_LYA7">#REF!</definedName>
    <definedName name="_LYA8">#REF!</definedName>
    <definedName name="_LYA9">#REF!</definedName>
    <definedName name="_MAS95">#REF!</definedName>
    <definedName name="_max" localSheetId="6" hidden="1">#REF!</definedName>
    <definedName name="_max" localSheetId="7" hidden="1">#REF!</definedName>
    <definedName name="_max" localSheetId="8" hidden="1">#REF!</definedName>
    <definedName name="_max" hidden="1">#REF!</definedName>
    <definedName name="_Mon" localSheetId="6" hidden="1">#REF!</definedName>
    <definedName name="_Mon" localSheetId="7" hidden="1">#REF!</definedName>
    <definedName name="_Mon" localSheetId="8" hidden="1">#REF!</definedName>
    <definedName name="_Mon" hidden="1">#REF!</definedName>
    <definedName name="_Order1" hidden="1">255</definedName>
    <definedName name="_Order2" hidden="1">255</definedName>
    <definedName name="_Order3" hidden="1">0</definedName>
    <definedName name="_PER1">#REF!</definedName>
    <definedName name="_PER2">#REF!</definedName>
    <definedName name="_PER3">#REF!</definedName>
    <definedName name="_PER4">#REF!</definedName>
    <definedName name="_PER5">#REF!</definedName>
    <definedName name="_Regression_Int">0</definedName>
    <definedName name="_res1">#REF!</definedName>
    <definedName name="_res2">#REF!</definedName>
    <definedName name="_res3">#REF!</definedName>
    <definedName name="_res4">#REF!</definedName>
    <definedName name="_res5">#REF!</definedName>
    <definedName name="_SFD1">#REF!</definedName>
    <definedName name="_SFD3">#REF!</definedName>
    <definedName name="_SFV1">#REF!</definedName>
    <definedName name="_SFV4">#REF!</definedName>
    <definedName name="_SHR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hidden="1">#REF!</definedName>
    <definedName name="_Sort1" hidden="1">#REF!</definedName>
    <definedName name="_sort3" hidden="1">#REF!</definedName>
    <definedName name="_Sub1">#REF!</definedName>
    <definedName name="_Sub10">#REF!</definedName>
    <definedName name="_Sub11">#REF!</definedName>
    <definedName name="_Sub12">#REF!</definedName>
    <definedName name="_Sub13">#REF!</definedName>
    <definedName name="_Sub2">#REF!</definedName>
    <definedName name="_Sub3">#REF!</definedName>
    <definedName name="_Sub4">#REF!</definedName>
    <definedName name="_Sub5">#REF!</definedName>
    <definedName name="_Sub6">#REF!</definedName>
    <definedName name="_Sub7">#REF!</definedName>
    <definedName name="_Sub8">#REF!</definedName>
    <definedName name="_Sub9">#REF!</definedName>
    <definedName name="_tax1">#REF!</definedName>
    <definedName name="_tax2">#REF!</definedName>
    <definedName name="_tax3">#REF!</definedName>
    <definedName name="_tax4">#REF!</definedName>
    <definedName name="a" localSheetId="6">#REF!</definedName>
    <definedName name="a" localSheetId="7">#REF!</definedName>
    <definedName name="a" localSheetId="8">#REF!</definedName>
    <definedName name="a">#REF!</definedName>
    <definedName name="aaaaaaa" localSheetId="6">rank</definedName>
    <definedName name="aaaaaaa" localSheetId="7">rank</definedName>
    <definedName name="aaaaaaa" localSheetId="8">rank</definedName>
    <definedName name="aaaaaaa">rank</definedName>
    <definedName name="Accounts" localSheetId="6">#REF!</definedName>
    <definedName name="Accounts" localSheetId="7">#REF!</definedName>
    <definedName name="Accounts" localSheetId="8">#REF!</definedName>
    <definedName name="Accounts">#REF!</definedName>
    <definedName name="AccrualThreshold">#REF!</definedName>
    <definedName name="ACCT" localSheetId="4">#REF!</definedName>
    <definedName name="ACCT" localSheetId="2">#REF!</definedName>
    <definedName name="ACCT" localSheetId="6">#REF!</definedName>
    <definedName name="ACCT" localSheetId="7">#REF!</definedName>
    <definedName name="ACCT" localSheetId="8">#REF!</definedName>
    <definedName name="ACCT">#REF!</definedName>
    <definedName name="ACCT.ConsolSum">#REF!</definedName>
    <definedName name="AcctName">#REF!</definedName>
    <definedName name="ACT_CUR" localSheetId="4">#REF!</definedName>
    <definedName name="ACT_CUR" localSheetId="2">#REF!</definedName>
    <definedName name="ACT_CUR" localSheetId="6">#REF!</definedName>
    <definedName name="ACT_CUR" localSheetId="7">#REF!</definedName>
    <definedName name="ACT_CUR" localSheetId="8">#REF!</definedName>
    <definedName name="ACT_CUR">#REF!</definedName>
    <definedName name="ACT_YTD" localSheetId="4">#REF!</definedName>
    <definedName name="ACT_YTD" localSheetId="2">#REF!</definedName>
    <definedName name="ACT_YTD" localSheetId="6">#REF!</definedName>
    <definedName name="ACT_YTD" localSheetId="7">#REF!</definedName>
    <definedName name="ACT_YTD" localSheetId="8">#REF!</definedName>
    <definedName name="ACT_YTD">#REF!</definedName>
    <definedName name="AD">#REF!</definedName>
    <definedName name="adfd" localSheetId="6">rank</definedName>
    <definedName name="adfd" localSheetId="7">rank</definedName>
    <definedName name="adfd" localSheetId="8">rank</definedName>
    <definedName name="adfd">rank</definedName>
    <definedName name="Adjtot1">#REF!</definedName>
    <definedName name="Adjtot10">#REF!</definedName>
    <definedName name="Adjtot11">#REF!</definedName>
    <definedName name="Adjtot12">#REF!</definedName>
    <definedName name="Adjtot13">#REF!</definedName>
    <definedName name="Adjtot2">#REF!</definedName>
    <definedName name="Adjtot3">#REF!</definedName>
    <definedName name="Adjtot4">#REF!</definedName>
    <definedName name="Adjtot5">#REF!</definedName>
    <definedName name="Adjtot6">#REF!</definedName>
    <definedName name="Adjtot7">#REF!</definedName>
    <definedName name="Adjtot8">#REF!</definedName>
    <definedName name="Adjtot9">#REF!</definedName>
    <definedName name="ADK">#REF!</definedName>
    <definedName name="afsdfsdfsd" localSheetId="6">#REF!</definedName>
    <definedName name="afsdfsdfsd" localSheetId="7">#REF!</definedName>
    <definedName name="afsdfsdfsd" localSheetId="8">#REF!</definedName>
    <definedName name="afsdfsdfsd">#REF!</definedName>
    <definedName name="ajeRow">#REF!</definedName>
    <definedName name="AmountCount" localSheetId="4">#REF!</definedName>
    <definedName name="AmountCount" localSheetId="2">#REF!</definedName>
    <definedName name="AmountCount" localSheetId="6">#REF!</definedName>
    <definedName name="AmountCount" localSheetId="7">#REF!</definedName>
    <definedName name="AmountCount" localSheetId="8">#REF!</definedName>
    <definedName name="AmountCount">#REF!</definedName>
    <definedName name="AmountCount1" localSheetId="6">#REF!</definedName>
    <definedName name="AmountCount1" localSheetId="7">#REF!</definedName>
    <definedName name="AmountCount1" localSheetId="8">#REF!</definedName>
    <definedName name="AmountCount1">#REF!</definedName>
    <definedName name="AmountFrom" localSheetId="6">#REF!</definedName>
    <definedName name="AmountFrom" localSheetId="7">#REF!</definedName>
    <definedName name="AmountFrom" localSheetId="8">#REF!</definedName>
    <definedName name="AmountFrom">#REF!</definedName>
    <definedName name="AmountTo" localSheetId="6">#REF!</definedName>
    <definedName name="AmountTo" localSheetId="7">#REF!</definedName>
    <definedName name="AmountTo" localSheetId="8">#REF!</definedName>
    <definedName name="AmountTo">#REF!</definedName>
    <definedName name="AmountTotal" localSheetId="4">#REF!</definedName>
    <definedName name="AmountTotal" localSheetId="2">#REF!</definedName>
    <definedName name="AmountTotal" localSheetId="6">#REF!</definedName>
    <definedName name="AmountTotal" localSheetId="7">#REF!</definedName>
    <definedName name="AmountTotal" localSheetId="8">#REF!</definedName>
    <definedName name="AmountTotal">#REF!</definedName>
    <definedName name="AmountTotal1" localSheetId="6">#REF!</definedName>
    <definedName name="AmountTotal1" localSheetId="7">#REF!</definedName>
    <definedName name="AmountTotal1" localSheetId="8">#REF!</definedName>
    <definedName name="AmountTotal1">#REF!</definedName>
    <definedName name="AOK">#REF!</definedName>
    <definedName name="APA">#REF!</definedName>
    <definedName name="APN">#REF!</definedName>
    <definedName name="ASD">#REF!</definedName>
    <definedName name="AST">#REF!</definedName>
    <definedName name="averaging">#REF!</definedName>
    <definedName name="BalanceCheck">#REF!</definedName>
    <definedName name="BaseMonthDate">#REF!</definedName>
    <definedName name="BaseMonthDate2">#REF!</definedName>
    <definedName name="BaseMonthDate3">#REF!</definedName>
    <definedName name="BaseYear">#REF!</definedName>
    <definedName name="BatchCode">#REF!</definedName>
    <definedName name="BEGCELL">#REF!</definedName>
    <definedName name="begin">#REF!</definedName>
    <definedName name="BIGFLUX">#REF!</definedName>
    <definedName name="BookRev" localSheetId="6">#REF!</definedName>
    <definedName name="BookRev" localSheetId="7">#REF!</definedName>
    <definedName name="BookRev" localSheetId="8">#REF!</definedName>
    <definedName name="BookRev">#REF!</definedName>
    <definedName name="BookRev_com" localSheetId="6">#REF!</definedName>
    <definedName name="BookRev_com" localSheetId="7">#REF!</definedName>
    <definedName name="BookRev_com" localSheetId="8">#REF!</definedName>
    <definedName name="BookRev_com">#REF!</definedName>
    <definedName name="BookRev_mfr" localSheetId="6">#REF!</definedName>
    <definedName name="BookRev_mfr" localSheetId="7">#REF!</definedName>
    <definedName name="BookRev_mfr" localSheetId="8">#REF!</definedName>
    <definedName name="BookRev_mfr">#REF!</definedName>
    <definedName name="BookRev_ro" localSheetId="6">#REF!</definedName>
    <definedName name="BookRev_ro" localSheetId="7">#REF!</definedName>
    <definedName name="BookRev_ro" localSheetId="8">#REF!</definedName>
    <definedName name="BookRev_ro">#REF!</definedName>
    <definedName name="BookRev_rr" localSheetId="6">#REF!</definedName>
    <definedName name="BookRev_rr" localSheetId="7">#REF!</definedName>
    <definedName name="BookRev_rr" localSheetId="8">#REF!</definedName>
    <definedName name="BookRev_rr">#REF!</definedName>
    <definedName name="BookRev_yw" localSheetId="6">#REF!</definedName>
    <definedName name="BookRev_yw" localSheetId="7">#REF!</definedName>
    <definedName name="BookRev_yw" localSheetId="8">#REF!</definedName>
    <definedName name="BookRev_yw">#REF!</definedName>
    <definedName name="BoolList">#REF!</definedName>
    <definedName name="boxes">#REF!</definedName>
    <definedName name="BREMAIR_COST_of_SERVICE_STUDY" localSheetId="4">#REF!</definedName>
    <definedName name="BREMAIR_COST_of_SERVICE_STUDY" localSheetId="2">#REF!</definedName>
    <definedName name="BREMAIR_COST_of_SERVICE_STUDY" localSheetId="6">#REF!</definedName>
    <definedName name="BREMAIR_COST_of_SERVICE_STUDY" localSheetId="7">#REF!</definedName>
    <definedName name="BREMAIR_COST_of_SERVICE_STUDY" localSheetId="8">#REF!</definedName>
    <definedName name="BREMAIR_COST_of_SERVICE_STUDY">#REF!</definedName>
    <definedName name="Brokerage">#REF!</definedName>
    <definedName name="BUD_CUR" localSheetId="4">#REF!</definedName>
    <definedName name="BUD_CUR" localSheetId="2">#REF!</definedName>
    <definedName name="BUD_CUR" localSheetId="6">#REF!</definedName>
    <definedName name="BUD_CUR" localSheetId="7">#REF!</definedName>
    <definedName name="BUD_CUR" localSheetId="8">#REF!</definedName>
    <definedName name="BUD_CUR">#REF!</definedName>
    <definedName name="BUD_YTD" localSheetId="4">#REF!</definedName>
    <definedName name="BUD_YTD" localSheetId="2">#REF!</definedName>
    <definedName name="BUD_YTD" localSheetId="6">#REF!</definedName>
    <definedName name="BUD_YTD" localSheetId="7">#REF!</definedName>
    <definedName name="BUD_YTD" localSheetId="8">#REF!</definedName>
    <definedName name="BUD_YTD">#REF!</definedName>
    <definedName name="BudYear">#REF!</definedName>
    <definedName name="BUN">#REF!</definedName>
    <definedName name="BusUnitCode">#REF!</definedName>
    <definedName name="BusUnitName">#REF!</definedName>
    <definedName name="button_area_1">#REF!</definedName>
    <definedName name="BUV">#REF!</definedName>
    <definedName name="Calc">#REF!</definedName>
    <definedName name="Calc0">#REF!</definedName>
    <definedName name="Calc1">#REF!</definedName>
    <definedName name="Calc10">#REF!</definedName>
    <definedName name="Calc11">#REF!</definedName>
    <definedName name="Calc12">#REF!</definedName>
    <definedName name="Calc13">#REF!</definedName>
    <definedName name="Calc14">#REF!</definedName>
    <definedName name="Calc15">#REF!</definedName>
    <definedName name="Calc16">#REF!</definedName>
    <definedName name="Calc17">#REF!</definedName>
    <definedName name="Calc18">#REF!</definedName>
    <definedName name="Calc2">#REF!</definedName>
    <definedName name="Calc3">#REF!</definedName>
    <definedName name="Calc4">#REF!</definedName>
    <definedName name="Calc5">#REF!</definedName>
    <definedName name="Calc6">#REF!</definedName>
    <definedName name="Calc7">#REF!</definedName>
    <definedName name="Calc8">#REF!</definedName>
    <definedName name="Calc9">#REF!</definedName>
    <definedName name="CalRecyTons" localSheetId="6">#REF!</definedName>
    <definedName name="CalRecyTons" localSheetId="7">#REF!</definedName>
    <definedName name="CalRecyTons" localSheetId="8">#REF!</definedName>
    <definedName name="CalRecyTons">#REF!</definedName>
    <definedName name="CanCartTons">#REF!</definedName>
    <definedName name="CC">#REF!</definedName>
    <definedName name="CCT">#REF!</definedName>
    <definedName name="celltips_area">#REF!</definedName>
    <definedName name="CheckTotals" localSheetId="4">#REF!</definedName>
    <definedName name="CheckTotals" localSheetId="2">#REF!</definedName>
    <definedName name="CheckTotals" localSheetId="6">#REF!</definedName>
    <definedName name="CheckTotals" localSheetId="7">#REF!</definedName>
    <definedName name="CheckTotals" localSheetId="8">#REF!</definedName>
    <definedName name="CheckTotals">#REF!</definedName>
    <definedName name="ClassCode">#REF!</definedName>
    <definedName name="clear">#REF!</definedName>
    <definedName name="CloseDate">#REF!</definedName>
    <definedName name="CoCanTons">#REF!</definedName>
    <definedName name="CoComYd">#REF!</definedName>
    <definedName name="CoCustCnt" localSheetId="6">#REF!</definedName>
    <definedName name="CoCustCnt" localSheetId="7">#REF!</definedName>
    <definedName name="CoCustCnt" localSheetId="8">#REF!</definedName>
    <definedName name="CoCustCnt">#REF!</definedName>
    <definedName name="colgroup">#REF!</definedName>
    <definedName name="colsegment">#REF!</definedName>
    <definedName name="Comments">#REF!:INDEX(#REF!,SUMPRODUCT(--(#REF!&lt;&gt;"")))</definedName>
    <definedName name="CommlStaffPriceOut" localSheetId="6">#REF!</definedName>
    <definedName name="CommlStaffPriceOut" localSheetId="7">#REF!</definedName>
    <definedName name="CommlStaffPriceOut" localSheetId="8">#REF!</definedName>
    <definedName name="CommlStaffPriceOut">#REF!</definedName>
    <definedName name="Company">#REF!</definedName>
    <definedName name="CoMultiYd">#REF!</definedName>
    <definedName name="Consideration">#REF!</definedName>
    <definedName name="ContainerTons">#REF!</definedName>
    <definedName name="ControlNumber">#REF!</definedName>
    <definedName name="COST_OF_SERVICE_STUDY" localSheetId="6">#REF!</definedName>
    <definedName name="COST_OF_SERVICE_STUDY" localSheetId="7">#REF!</definedName>
    <definedName name="COST_OF_SERVICE_STUDY" localSheetId="8">#REF!</definedName>
    <definedName name="COST_OF_SERVICE_STUDY">#REF!</definedName>
    <definedName name="Coststudy">#REF!</definedName>
    <definedName name="CoXtraYds" localSheetId="6">#REF!</definedName>
    <definedName name="CoXtraYds" localSheetId="7">#REF!</definedName>
    <definedName name="CoXtraYds" localSheetId="8">#REF!</definedName>
    <definedName name="CoXtraYds">#REF!</definedName>
    <definedName name="CR" localSheetId="6">#REF!</definedName>
    <definedName name="CR" localSheetId="7">#REF!</definedName>
    <definedName name="CR" localSheetId="8">#REF!</definedName>
    <definedName name="CR">#REF!</definedName>
    <definedName name="CRCTable" localSheetId="4">#REF!</definedName>
    <definedName name="CRCTable" localSheetId="2">#REF!</definedName>
    <definedName name="CRCTable" localSheetId="6">#REF!</definedName>
    <definedName name="CRCTable" localSheetId="7">#REF!</definedName>
    <definedName name="CRCTable" localSheetId="8">#REF!</definedName>
    <definedName name="CRCTable">#REF!</definedName>
    <definedName name="CRCTableOLD" localSheetId="4">#REF!</definedName>
    <definedName name="CRCTableOLD" localSheetId="2">#REF!</definedName>
    <definedName name="CRCTableOLD" localSheetId="6">#REF!</definedName>
    <definedName name="CRCTableOLD" localSheetId="7">#REF!</definedName>
    <definedName name="CRCTableOLD" localSheetId="8">#REF!</definedName>
    <definedName name="CRCTableOLD">#REF!</definedName>
    <definedName name="_xlnm.Criteria">#REF!</definedName>
    <definedName name="CriteriaType">#REF!</definedName>
    <definedName name="CtyCanTons">#REF!</definedName>
    <definedName name="CtyComYd">#REF!</definedName>
    <definedName name="CtyCustCnt" localSheetId="6">#REF!</definedName>
    <definedName name="CtyCustCnt" localSheetId="7">#REF!</definedName>
    <definedName name="CtyCustCnt" localSheetId="8">#REF!</definedName>
    <definedName name="CtyCustCnt">#REF!</definedName>
    <definedName name="CtyMultiYd">#REF!</definedName>
    <definedName name="CtyXtraYds" localSheetId="6">#REF!</definedName>
    <definedName name="CtyXtraYds" localSheetId="7">#REF!</definedName>
    <definedName name="CtyXtraYds" localSheetId="8">#REF!</definedName>
    <definedName name="CtyXtraYds">#REF!</definedName>
    <definedName name="CUR">#REF!</definedName>
    <definedName name="Currency">#REF!</definedName>
    <definedName name="CurrentMonth" localSheetId="6">#REF!</definedName>
    <definedName name="CurrentMonth" localSheetId="7">#REF!</definedName>
    <definedName name="CurrentMonth" localSheetId="8">#REF!</definedName>
    <definedName name="CurrentMonth">#REF!</definedName>
    <definedName name="Cutomers" localSheetId="4">#REF!</definedName>
    <definedName name="Cutomers" localSheetId="2">#REF!</definedName>
    <definedName name="Cutomers" localSheetId="6">#REF!</definedName>
    <definedName name="Cutomers" localSheetId="7">#REF!</definedName>
    <definedName name="Cutomers" localSheetId="8">#REF!</definedName>
    <definedName name="Cutomers">#REF!</definedName>
    <definedName name="CWR">#REF!</definedName>
    <definedName name="CWRS">#REF!</definedName>
    <definedName name="CYear">#REF!</definedName>
    <definedName name="CYFApr1">#REF!</definedName>
    <definedName name="CYFApr2">#REF!</definedName>
    <definedName name="CYFApr3">#REF!</definedName>
    <definedName name="CYFMar2">#REF!</definedName>
    <definedName name="CYFMar3">#REF!</definedName>
    <definedName name="dasd" localSheetId="6">rank</definedName>
    <definedName name="dasd" localSheetId="7">rank</definedName>
    <definedName name="dasd" localSheetId="8">rank</definedName>
    <definedName name="dasd">rank</definedName>
    <definedName name="Data_End_Test">#REF!</definedName>
    <definedName name="Data_Start_Test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 localSheetId="4">#REF!</definedName>
    <definedName name="_xlnm.Database" localSheetId="2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>#REF!</definedName>
    <definedName name="Database_MI">#REF!</definedName>
    <definedName name="Database1" localSheetId="4">#REF!</definedName>
    <definedName name="Database1" localSheetId="2">#REF!</definedName>
    <definedName name="Database1" localSheetId="6">#REF!</definedName>
    <definedName name="Database1" localSheetId="7">#REF!</definedName>
    <definedName name="Database1" localSheetId="8">#REF!</definedName>
    <definedName name="Database1">#REF!</definedName>
    <definedName name="Database2">#REF!</definedName>
    <definedName name="DATE">#REF!</definedName>
    <definedName name="DateFrom" localSheetId="6">#REF!</definedName>
    <definedName name="DateFrom" localSheetId="7">#REF!</definedName>
    <definedName name="DateFrom" localSheetId="8">#REF!</definedName>
    <definedName name="DateFrom">#REF!</definedName>
    <definedName name="DateRange">#REF!</definedName>
    <definedName name="Dates">#REF!</definedName>
    <definedName name="DateTo" localSheetId="6">#REF!</definedName>
    <definedName name="DateTo" localSheetId="7">#REF!</definedName>
    <definedName name="DateTo" localSheetId="8">#REF!</definedName>
    <definedName name="DateTo">#REF!</definedName>
    <definedName name="DAY">#REF!</definedName>
    <definedName name="DBxStaffPriceOut" localSheetId="6">#REF!</definedName>
    <definedName name="DBxStaffPriceOut" localSheetId="7">#REF!</definedName>
    <definedName name="DBxStaffPriceOut" localSheetId="8">#REF!</definedName>
    <definedName name="DBxStaffPriceOut">#REF!</definedName>
    <definedName name="DEBITS">#REF!</definedName>
    <definedName name="Debt_Rate" localSheetId="6">'LG Public - Clallam Total'!$K$27</definedName>
    <definedName name="Debt_Rate" localSheetId="7">'LG Public - Jefferson Total'!$K$27</definedName>
    <definedName name="Debt_Rate" localSheetId="8">'LG Public - Mill Hauls'!$K$27</definedName>
    <definedName name="debtP" localSheetId="6">'LG Public - Clallam Total'!$I$27</definedName>
    <definedName name="debtP" localSheetId="7">'LG Public - Jefferson Total'!$I$27</definedName>
    <definedName name="debtP" localSheetId="8">'LG Public - Mill Hauls'!$I$27</definedName>
    <definedName name="debtP">#REF!</definedName>
    <definedName name="DeleteCMReconBook">#REF!</definedName>
    <definedName name="deletion">#REF!</definedName>
    <definedName name="DEPRECIATION">#REF!</definedName>
    <definedName name="DEPT" localSheetId="4">#REF!</definedName>
    <definedName name="DEPT" localSheetId="2">#REF!</definedName>
    <definedName name="DEPT" localSheetId="6">#REF!</definedName>
    <definedName name="DEPT" localSheetId="7">#REF!</definedName>
    <definedName name="DEPT" localSheetId="8">#REF!</definedName>
    <definedName name="DEPT">#REF!</definedName>
    <definedName name="Detail">#REF!</definedName>
    <definedName name="DetailBudYear" localSheetId="6">#REF!</definedName>
    <definedName name="DetailBudYear" localSheetId="7">#REF!</definedName>
    <definedName name="DetailBudYear" localSheetId="8">#REF!</definedName>
    <definedName name="DetailBudYear">#REF!</definedName>
    <definedName name="DetailDistrict" localSheetId="6">#REF!</definedName>
    <definedName name="DetailDistrict" localSheetId="7">#REF!</definedName>
    <definedName name="DetailDistrict" localSheetId="8">#REF!</definedName>
    <definedName name="DetailDistrict">#REF!</definedName>
    <definedName name="dflt3">#REF!</definedName>
    <definedName name="dflt4">#REF!</definedName>
    <definedName name="dflt6">#REF!</definedName>
    <definedName name="display_area_2">#REF!</definedName>
    <definedName name="DispRates">#REF!</definedName>
    <definedName name="Dist" localSheetId="6">#REF!</definedName>
    <definedName name="Dist" localSheetId="7">#REF!</definedName>
    <definedName name="Dist" localSheetId="8">#REF!</definedName>
    <definedName name="Dist">#REF!</definedName>
    <definedName name="District" localSheetId="6">#REF!</definedName>
    <definedName name="District" localSheetId="7">#REF!</definedName>
    <definedName name="District" localSheetId="8">#REF!</definedName>
    <definedName name="District">#REF!</definedName>
    <definedName name="District_1">#REF!</definedName>
    <definedName name="DistrictCode">#REF!</definedName>
    <definedName name="DistrictName">#REF!</definedName>
    <definedName name="DistrictNum" localSheetId="4">#REF!</definedName>
    <definedName name="DistrictNum" localSheetId="2">#REF!</definedName>
    <definedName name="DistrictNum" localSheetId="6">#REF!</definedName>
    <definedName name="DistrictNum" localSheetId="7">#REF!</definedName>
    <definedName name="DistrictNum" localSheetId="8">#REF!</definedName>
    <definedName name="DistrictNum">#REF!</definedName>
    <definedName name="Districts" localSheetId="6">#REF!</definedName>
    <definedName name="Districts" localSheetId="7">#REF!</definedName>
    <definedName name="Districts" localSheetId="8">#REF!</definedName>
    <definedName name="Districts">#REF!</definedName>
    <definedName name="DistrictSelection">#REF!</definedName>
    <definedName name="DistStaffSignOffStatus">#REF!</definedName>
    <definedName name="DivisionSignOffReq">#REF!</definedName>
    <definedName name="DivSignOffStatus">#REF!</definedName>
    <definedName name="dOG" localSheetId="6">#REF!</definedName>
    <definedName name="dOG" localSheetId="7">#REF!</definedName>
    <definedName name="dOG" localSheetId="8">#REF!</definedName>
    <definedName name="dOG">#REF!</definedName>
    <definedName name="drlFilter">#REF!</definedName>
    <definedName name="End" localSheetId="4">#REF!</definedName>
    <definedName name="End" localSheetId="2">#REF!</definedName>
    <definedName name="End" localSheetId="6">#REF!</definedName>
    <definedName name="End" localSheetId="7">#REF!</definedName>
    <definedName name="End" localSheetId="8">#REF!</definedName>
    <definedName name="End">#REF!</definedName>
    <definedName name="EndOfEntry">#REF!</definedName>
    <definedName name="EndPoint">#REF!</definedName>
    <definedName name="EndTime">#REF!</definedName>
    <definedName name="EntrieShownLimit" localSheetId="6">#REF!</definedName>
    <definedName name="EntrieShownLimit" localSheetId="7">#REF!</definedName>
    <definedName name="EntrieShownLimit" localSheetId="8">#REF!</definedName>
    <definedName name="EntrieShownLimit">#REF!</definedName>
    <definedName name="Equity_percent" localSheetId="6">'LG Public - Clallam Total'!$S$57</definedName>
    <definedName name="Equity_percent" localSheetId="7">'LG Public - Jefferson Total'!$S$57</definedName>
    <definedName name="Equity_percent" localSheetId="8">'LG Public - Mill Hauls'!$S$57</definedName>
    <definedName name="equityP" localSheetId="6">'LG Public - Clallam Total'!$I$26</definedName>
    <definedName name="equityP" localSheetId="7">'LG Public - Jefferson Total'!$I$26</definedName>
    <definedName name="equityP" localSheetId="8">'LG Public - Mill Hauls'!$I$26</definedName>
    <definedName name="error">#REF!</definedName>
    <definedName name="ewfw32a" localSheetId="8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ewfw32a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ExcludeIC" localSheetId="6">#REF!</definedName>
    <definedName name="ExcludeIC" localSheetId="7">#REF!</definedName>
    <definedName name="ExcludeIC" localSheetId="8">#REF!</definedName>
    <definedName name="ExcludeIC">#REF!</definedName>
    <definedName name="ExcludeIC_1">#REF!</definedName>
    <definedName name="expenses" localSheetId="6">'LG Public - Clallam Total'!$I$8</definedName>
    <definedName name="expenses" localSheetId="7">'LG Public - Jefferson Total'!$I$8</definedName>
    <definedName name="expenses" localSheetId="8">'LG Public - Mill Hauls'!$I$8</definedName>
    <definedName name="expenses">#REF!</definedName>
    <definedName name="ExpensesPF1">#REF!</definedName>
    <definedName name="EXT" localSheetId="6">#REF!</definedName>
    <definedName name="EXT" localSheetId="7">#REF!</definedName>
    <definedName name="EXT" localSheetId="8">#REF!</definedName>
    <definedName name="EXT">#REF!</definedName>
    <definedName name="FBTable" localSheetId="4">#REF!</definedName>
    <definedName name="FBTable" localSheetId="2">#REF!</definedName>
    <definedName name="FBTable" localSheetId="6">#REF!</definedName>
    <definedName name="FBTable" localSheetId="7">#REF!</definedName>
    <definedName name="FBTable" localSheetId="8">#REF!</definedName>
    <definedName name="FBTable">#REF!</definedName>
    <definedName name="FBTableOld" localSheetId="4">#REF!</definedName>
    <definedName name="FBTableOld" localSheetId="2">#REF!</definedName>
    <definedName name="FBTableOld" localSheetId="6">#REF!</definedName>
    <definedName name="FBTableOld" localSheetId="7">#REF!</definedName>
    <definedName name="FBTableOld" localSheetId="8">#REF!</definedName>
    <definedName name="FBTableOld">#REF!</definedName>
    <definedName name="fences">#REF!</definedName>
    <definedName name="FICA">#REF!</definedName>
    <definedName name="filter">#REF!</definedName>
    <definedName name="Financial">#REF!</definedName>
    <definedName name="FIRST">#REF!</definedName>
    <definedName name="First_Day">#REF!</definedName>
    <definedName name="FirstColCriteria">#REF!</definedName>
    <definedName name="FirstHeaderCriteria">#REF!</definedName>
    <definedName name="flag">#REF!</definedName>
    <definedName name="FLUX">#REF!</definedName>
    <definedName name="Format_Column">#REF!</definedName>
    <definedName name="formata">#REF!</definedName>
    <definedName name="formatb">#REF!</definedName>
    <definedName name="Formula">#REF!</definedName>
    <definedName name="FROM">#REF!</definedName>
    <definedName name="FromMonth" localSheetId="6">#REF!</definedName>
    <definedName name="FromMonth" localSheetId="7">#REF!</definedName>
    <definedName name="FromMonth" localSheetId="8">#REF!</definedName>
    <definedName name="FromMonth">#REF!</definedName>
    <definedName name="FundsApprPend" localSheetId="6">#REF!</definedName>
    <definedName name="FundsApprPend" localSheetId="7">#REF!</definedName>
    <definedName name="FundsApprPend" localSheetId="8">#REF!</definedName>
    <definedName name="FundsApprPend">#REF!</definedName>
    <definedName name="FundsBudUnbud" localSheetId="6">#REF!</definedName>
    <definedName name="FundsBudUnbud" localSheetId="7">#REF!</definedName>
    <definedName name="FundsBudUnbud" localSheetId="8">#REF!</definedName>
    <definedName name="FundsBudUnbud">#REF!</definedName>
    <definedName name="FY">#REF!</definedName>
    <definedName name="GLAccount">#REF!</definedName>
    <definedName name="GLMappingStart" localSheetId="4">#REF!</definedName>
    <definedName name="GLMappingStart" localSheetId="2">#REF!</definedName>
    <definedName name="GLMappingStart" localSheetId="6">#REF!</definedName>
    <definedName name="GLMappingStart" localSheetId="7">#REF!</definedName>
    <definedName name="GLMappingStart" localSheetId="8">#REF!</definedName>
    <definedName name="GLMappingStart">#REF!</definedName>
    <definedName name="GLMappingStart1" localSheetId="6">#REF!</definedName>
    <definedName name="GLMappingStart1" localSheetId="7">#REF!</definedName>
    <definedName name="GLMappingStart1" localSheetId="8">#REF!</definedName>
    <definedName name="GLMappingStart1">#REF!</definedName>
    <definedName name="GRETABLE">#REF!</definedName>
    <definedName name="GrossWeightList">#REF!</definedName>
    <definedName name="HasBudAdd">#REF!</definedName>
    <definedName name="HeaderReturnMessage">#REF!</definedName>
    <definedName name="Heading1">#REF!</definedName>
    <definedName name="help">#REF!</definedName>
    <definedName name="IDN">#REF!</definedName>
    <definedName name="IFN">#REF!</definedName>
    <definedName name="Import_Range" localSheetId="6">#REF!</definedName>
    <definedName name="Import_Range" localSheetId="7">#REF!</definedName>
    <definedName name="Import_Range" localSheetId="8">#REF!</definedName>
    <definedName name="Import_Range">#REF!</definedName>
    <definedName name="IncomeStmnt" localSheetId="4">#REF!</definedName>
    <definedName name="IncomeStmnt" localSheetId="2">#REF!</definedName>
    <definedName name="IncomeStmnt" localSheetId="6">#REF!</definedName>
    <definedName name="IncomeStmnt" localSheetId="7">#REF!</definedName>
    <definedName name="IncomeStmnt" localSheetId="8">#REF!</definedName>
    <definedName name="IncomeStmnt">#REF!</definedName>
    <definedName name="Incomplete">#REF!</definedName>
    <definedName name="INPUT" localSheetId="4">#REF!</definedName>
    <definedName name="INPUT" localSheetId="2">#REF!</definedName>
    <definedName name="INPUT" localSheetId="6">'LG Public - Clallam Total'!#REF!</definedName>
    <definedName name="INPUT" localSheetId="7">'LG Public - Jefferson Total'!#REF!</definedName>
    <definedName name="INPUT" localSheetId="8">'LG Public - Mill Hauls'!#REF!</definedName>
    <definedName name="INPUT">#REF!</definedName>
    <definedName name="INPUT1">#REF!</definedName>
    <definedName name="INPUTc" localSheetId="6">#REF!</definedName>
    <definedName name="INPUTc" localSheetId="7">#REF!</definedName>
    <definedName name="INPUTc" localSheetId="8">#REF!</definedName>
    <definedName name="INPUTc">#REF!</definedName>
    <definedName name="InsertColRange">#REF!</definedName>
    <definedName name="Insurance" localSheetId="4">#REF!</definedName>
    <definedName name="Insurance" localSheetId="2">#REF!</definedName>
    <definedName name="Insurance" localSheetId="6">#REF!</definedName>
    <definedName name="Insurance" localSheetId="7">#REF!</definedName>
    <definedName name="Insurance" localSheetId="8">#REF!</definedName>
    <definedName name="Insurance">#REF!</definedName>
    <definedName name="INT">#REF!</definedName>
    <definedName name="inter2">#REF!</definedName>
    <definedName name="intercept">#REF!</definedName>
    <definedName name="Interject_LastPulledValues_BalanceRange" localSheetId="6">#REF!</definedName>
    <definedName name="Interject_LastPulledValues_BalanceRange" localSheetId="7">#REF!</definedName>
    <definedName name="Interject_LastPulledValues_BalanceRange" localSheetId="8">#REF!</definedName>
    <definedName name="Interject_LastPulledValues_DescriptionRange" localSheetId="6">#REF!</definedName>
    <definedName name="Interject_LastPulledValues_DescriptionRange" localSheetId="7">#REF!</definedName>
    <definedName name="Interject_LastPulledValues_DescriptionRange" localSheetId="8">#REF!</definedName>
    <definedName name="Interject_LastPulledValues_LastChangeGUID" localSheetId="6">#REF!</definedName>
    <definedName name="Interject_LastPulledValues_LastChangeGUID" localSheetId="7">#REF!</definedName>
    <definedName name="Interject_LastPulledValues_LastChangeGUID" localSheetId="8">#REF!</definedName>
    <definedName name="Interject_LastPulledValues_PreviousLastChangeGUID" localSheetId="6">#REF!</definedName>
    <definedName name="Interject_LastPulledValues_PreviousLastChangeGUID" localSheetId="7">#REF!</definedName>
    <definedName name="Interject_LastPulledValues_PreviousLastChangeGUID" localSheetId="8">#REF!</definedName>
    <definedName name="Investment" localSheetId="6">'LG Public - Clallam Total'!$J$28</definedName>
    <definedName name="Investment" localSheetId="7">'LG Public - Jefferson Total'!$J$28</definedName>
    <definedName name="Investment" localSheetId="8">'LG Public - Mill Hauls'!$J$28</definedName>
    <definedName name="Invoice_Start" localSheetId="6">#REF!</definedName>
    <definedName name="Invoice_Start" localSheetId="7">#REF!</definedName>
    <definedName name="Invoice_Start" localSheetId="8">#REF!</definedName>
    <definedName name="Invoice_Start">#REF!</definedName>
    <definedName name="InvoiceNumber">#REF!</definedName>
    <definedName name="InvoiceStatu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temCount">#REF!</definedName>
    <definedName name="ItemDesc">#REF!</definedName>
    <definedName name="JEDetail" localSheetId="4">#REF!</definedName>
    <definedName name="JEDetail" localSheetId="2">#REF!</definedName>
    <definedName name="JEDetail" localSheetId="6">#REF!</definedName>
    <definedName name="JEDetail" localSheetId="7">#REF!</definedName>
    <definedName name="JEDetail" localSheetId="8">#REF!</definedName>
    <definedName name="JEDetail">#REF!</definedName>
    <definedName name="JEDetail1" localSheetId="6">#REF!</definedName>
    <definedName name="JEDetail1" localSheetId="7">#REF!</definedName>
    <definedName name="JEDetail1" localSheetId="8">#REF!</definedName>
    <definedName name="JEDetail1">#REF!</definedName>
    <definedName name="JEType" localSheetId="4">#REF!</definedName>
    <definedName name="JEType" localSheetId="2">#REF!</definedName>
    <definedName name="JEType" localSheetId="6">#REF!</definedName>
    <definedName name="JEType" localSheetId="7">#REF!</definedName>
    <definedName name="JEType" localSheetId="8">#REF!</definedName>
    <definedName name="JEType">#REF!</definedName>
    <definedName name="JEType1" localSheetId="6">#REF!</definedName>
    <definedName name="JEType1" localSheetId="7">#REF!</definedName>
    <definedName name="JEType1" localSheetId="8">#REF!</definedName>
    <definedName name="JEType1">#REF!</definedName>
    <definedName name="Juris1CanCount">#REF!</definedName>
    <definedName name="Juris1CanTons">#REF!</definedName>
    <definedName name="Juris1ComYd">#REF!</definedName>
    <definedName name="Juris1CustCnt">#REF!</definedName>
    <definedName name="Juris1MultiYd">#REF!</definedName>
    <definedName name="Juris1SeasonalYds">#REF!</definedName>
    <definedName name="Juris1XtraYds">#REF!</definedName>
    <definedName name="Juris2CanCount">#REF!</definedName>
    <definedName name="Juris2CanTons">#REF!</definedName>
    <definedName name="Juris2ComYd">#REF!</definedName>
    <definedName name="Juris2CustCnt">#REF!</definedName>
    <definedName name="Juris2MultiYd">#REF!</definedName>
    <definedName name="Juris2SeasonalYds">#REF!</definedName>
    <definedName name="Juris2XtraYds">#REF!</definedName>
    <definedName name="Juris3CanCount">#REF!</definedName>
    <definedName name="Juris3CanTons">#REF!</definedName>
    <definedName name="Juris3ComYd">#REF!</definedName>
    <definedName name="Juris3CustCnt">#REF!</definedName>
    <definedName name="Juris3MultiYd">#REF!</definedName>
    <definedName name="Juris3SeasonalYds">#REF!</definedName>
    <definedName name="Juris3XtraYds">#REF!</definedName>
    <definedName name="Juris4CanCount">#REF!</definedName>
    <definedName name="Juris4CanTons">#REF!</definedName>
    <definedName name="Juris4ComYd">#REF!</definedName>
    <definedName name="Juris4CustCnt">#REF!</definedName>
    <definedName name="Juris4MultiYd">#REF!</definedName>
    <definedName name="Juris4SeasonalYds">#REF!</definedName>
    <definedName name="Juris4XtraYds">#REF!</definedName>
    <definedName name="Juris5CanCount">#REF!</definedName>
    <definedName name="Juris5CanTons">#REF!</definedName>
    <definedName name="Juris5ComYD">#REF!</definedName>
    <definedName name="Juris5CustCnt">#REF!</definedName>
    <definedName name="Juris5MultiYd">#REF!</definedName>
    <definedName name="Juris5SeasonalYds">#REF!</definedName>
    <definedName name="Juris5XtraYds">#REF!</definedName>
    <definedName name="Jurisdiction_1">#REF!</definedName>
    <definedName name="Jurisdiction_2">#REF!</definedName>
    <definedName name="Jurisdiction_3">#REF!</definedName>
    <definedName name="Jurisdiction_4">#REF!</definedName>
    <definedName name="Jurisdiction_5">#REF!</definedName>
    <definedName name="JV100_2">#REF!</definedName>
    <definedName name="LAST_ROW">#REF!</definedName>
    <definedName name="LastExecutedFor">#REF!</definedName>
    <definedName name="LastSavedOn">#REF!</definedName>
    <definedName name="LastTranxDate">#REF!</definedName>
    <definedName name="lblBillAreaStatus" localSheetId="4">#REF!</definedName>
    <definedName name="lblBillAreaStatus" localSheetId="2">#REF!</definedName>
    <definedName name="lblBillAreaStatus" localSheetId="6">#REF!</definedName>
    <definedName name="lblBillAreaStatus" localSheetId="7">#REF!</definedName>
    <definedName name="lblBillAreaStatus" localSheetId="8">#REF!</definedName>
    <definedName name="lblBillAreaStatus">#REF!</definedName>
    <definedName name="lblBillCycleStatus" localSheetId="4">#REF!</definedName>
    <definedName name="lblBillCycleStatus" localSheetId="2">#REF!</definedName>
    <definedName name="lblBillCycleStatus" localSheetId="6">#REF!</definedName>
    <definedName name="lblBillCycleStatus" localSheetId="7">#REF!</definedName>
    <definedName name="lblBillCycleStatus" localSheetId="8">#REF!</definedName>
    <definedName name="lblBillCycleStatus">#REF!</definedName>
    <definedName name="lblCategoryStatus" localSheetId="4">#REF!</definedName>
    <definedName name="lblCategoryStatus" localSheetId="2">#REF!</definedName>
    <definedName name="lblCategoryStatus" localSheetId="6">#REF!</definedName>
    <definedName name="lblCategoryStatus" localSheetId="7">#REF!</definedName>
    <definedName name="lblCategoryStatus" localSheetId="8">#REF!</definedName>
    <definedName name="lblCategoryStatus">#REF!</definedName>
    <definedName name="lblCompanyStatus" localSheetId="4">#REF!</definedName>
    <definedName name="lblCompanyStatus" localSheetId="2">#REF!</definedName>
    <definedName name="lblCompanyStatus" localSheetId="6">#REF!</definedName>
    <definedName name="lblCompanyStatus" localSheetId="7">#REF!</definedName>
    <definedName name="lblCompanyStatus" localSheetId="8">#REF!</definedName>
    <definedName name="lblCompanyStatus">#REF!</definedName>
    <definedName name="lblDatabaseStatus" localSheetId="4">#REF!</definedName>
    <definedName name="lblDatabaseStatus" localSheetId="2">#REF!</definedName>
    <definedName name="lblDatabaseStatus" localSheetId="6">#REF!</definedName>
    <definedName name="lblDatabaseStatus" localSheetId="7">#REF!</definedName>
    <definedName name="lblDatabaseStatus" localSheetId="8">#REF!</definedName>
    <definedName name="lblDatabaseStatus">#REF!</definedName>
    <definedName name="lblPullStatus" localSheetId="4">#REF!</definedName>
    <definedName name="lblPullStatus" localSheetId="2">#REF!</definedName>
    <definedName name="lblPullStatus" localSheetId="6">#REF!</definedName>
    <definedName name="lblPullStatus" localSheetId="7">#REF!</definedName>
    <definedName name="lblPullStatus" localSheetId="8">#REF!</definedName>
    <definedName name="lblPullStatus">#REF!</definedName>
    <definedName name="level">#REF!</definedName>
    <definedName name="LITTLE">#REF!</definedName>
    <definedName name="LITTLE01">#REF!</definedName>
    <definedName name="lllllllllllllllllllll" localSheetId="4">#REF!</definedName>
    <definedName name="lllllllllllllllllllll" localSheetId="2">#REF!</definedName>
    <definedName name="lllllllllllllllllllll" localSheetId="6">#REF!</definedName>
    <definedName name="lllllllllllllllllllll" localSheetId="7">#REF!</definedName>
    <definedName name="lllllllllllllllllllll" localSheetId="8">#REF!</definedName>
    <definedName name="lllllllllllllllllllll">#REF!</definedName>
    <definedName name="LOB" localSheetId="6">#REF!</definedName>
    <definedName name="LOB" localSheetId="7">#REF!</definedName>
    <definedName name="LOB" localSheetId="8">#REF!</definedName>
    <definedName name="LOB">#REF!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U_Line" localSheetId="6">#REF!</definedName>
    <definedName name="LU_Line" localSheetId="7">#REF!</definedName>
    <definedName name="LU_Line" localSheetId="8">#REF!</definedName>
    <definedName name="LU_Line">#REF!</definedName>
    <definedName name="Lurito">#REF!</definedName>
    <definedName name="LYN">#REF!</definedName>
    <definedName name="MainDataEnd" localSheetId="4">#REF!</definedName>
    <definedName name="MainDataEnd" localSheetId="2">#REF!</definedName>
    <definedName name="MainDataEnd" localSheetId="6">#REF!</definedName>
    <definedName name="MainDataEnd" localSheetId="7">#REF!</definedName>
    <definedName name="MainDataEnd" localSheetId="8">#REF!</definedName>
    <definedName name="MainDataEnd">#REF!</definedName>
    <definedName name="MainDataEnd2">#REF!</definedName>
    <definedName name="MainDataEnd3">#REF!</definedName>
    <definedName name="MainDataEnd4">#REF!</definedName>
    <definedName name="MainDataEnd5">#REF!</definedName>
    <definedName name="MainDataEndJ">#REF!</definedName>
    <definedName name="MainDataStart" localSheetId="4">#REF!</definedName>
    <definedName name="MainDataStart" localSheetId="2">#REF!</definedName>
    <definedName name="MainDataStart" localSheetId="6">#REF!</definedName>
    <definedName name="MainDataStart" localSheetId="7">#REF!</definedName>
    <definedName name="MainDataStart" localSheetId="8">#REF!</definedName>
    <definedName name="MainDataStart">#REF!</definedName>
    <definedName name="MainDataStart2">#REF!</definedName>
    <definedName name="MainDataStart3">#REF!</definedName>
    <definedName name="MainDataStart4">#REF!</definedName>
    <definedName name="MainDataStart5">#REF!</definedName>
    <definedName name="MainDataStartJ">#REF!</definedName>
    <definedName name="MapKeyStart" localSheetId="4">#REF!</definedName>
    <definedName name="MapKeyStart" localSheetId="2">#REF!</definedName>
    <definedName name="MapKeyStart" localSheetId="6">#REF!</definedName>
    <definedName name="MapKeyStart" localSheetId="7">#REF!</definedName>
    <definedName name="MapKeyStart" localSheetId="8">#REF!</definedName>
    <definedName name="MapKeyStart">#REF!</definedName>
    <definedName name="master_def" localSheetId="4">#REF!</definedName>
    <definedName name="master_def" localSheetId="2">#REF!</definedName>
    <definedName name="master_def" localSheetId="6">#REF!</definedName>
    <definedName name="master_def" localSheetId="7">#REF!</definedName>
    <definedName name="master_def" localSheetId="8">#REF!</definedName>
    <definedName name="master_def">#REF!</definedName>
    <definedName name="MASTERA">#REF!</definedName>
    <definedName name="MASTERD">#REF!</definedName>
    <definedName name="MATRIX" localSheetId="6">#REF!</definedName>
    <definedName name="MATRIX" localSheetId="7">#REF!</definedName>
    <definedName name="MATRIX" localSheetId="8">#REF!</definedName>
    <definedName name="MATRIX">#REF!</definedName>
    <definedName name="MemoAttachment" localSheetId="6">#REF!</definedName>
    <definedName name="MemoAttachment" localSheetId="7">#REF!</definedName>
    <definedName name="MemoAttachment" localSheetId="8">#REF!</definedName>
    <definedName name="MemoAttachment">#REF!</definedName>
    <definedName name="MetaSet">#REF!</definedName>
    <definedName name="MFStaffPriceOut" localSheetId="6">#REF!</definedName>
    <definedName name="MFStaffPriceOut" localSheetId="7">#REF!</definedName>
    <definedName name="MFStaffPriceOut" localSheetId="8">#REF!</definedName>
    <definedName name="MFStaffPriceOut">#REF!</definedName>
    <definedName name="MILTON" localSheetId="6">#REF!</definedName>
    <definedName name="MILTON" localSheetId="7">#REF!</definedName>
    <definedName name="MILTON" localSheetId="8">#REF!</definedName>
    <definedName name="MILTON">#REF!</definedName>
    <definedName name="MissingAccountList">#REF!</definedName>
    <definedName name="Month" localSheetId="6">#REF!</definedName>
    <definedName name="Month" localSheetId="7">#REF!</definedName>
    <definedName name="Month" localSheetId="8">#REF!</definedName>
    <definedName name="Month">#REF!</definedName>
    <definedName name="MONTH1">#REF!</definedName>
    <definedName name="MONTH2">#REF!</definedName>
    <definedName name="MONTH3">#REF!</definedName>
    <definedName name="MONTH4">#REF!</definedName>
    <definedName name="MONTH5">#REF!</definedName>
    <definedName name="MONTH6">#REF!</definedName>
    <definedName name="MonthList" localSheetId="6">#REF!</definedName>
    <definedName name="MonthList" localSheetId="7">#REF!</definedName>
    <definedName name="MonthList" localSheetId="8">#REF!</definedName>
    <definedName name="MonthList">#REF!</definedName>
    <definedName name="monthlyplcf">#REF!</definedName>
    <definedName name="MORESTUFF">#REF!</definedName>
    <definedName name="MthValue">#REF!</definedName>
    <definedName name="NarrThreshold_Doll">#REF!</definedName>
    <definedName name="NarrThreshold_Perc">#REF!</definedName>
    <definedName name="New">#REF!</definedName>
    <definedName name="NewAccountCheck">#REF!</definedName>
    <definedName name="NewLob" localSheetId="6">#REF!</definedName>
    <definedName name="NewLob" localSheetId="7">#REF!</definedName>
    <definedName name="NewLob" localSheetId="8">#REF!</definedName>
    <definedName name="NewLob">#REF!</definedName>
    <definedName name="NewOnlyOrg">#N/A</definedName>
    <definedName name="NewSource" localSheetId="6">#REF!</definedName>
    <definedName name="NewSource" localSheetId="7">#REF!</definedName>
    <definedName name="NewSource" localSheetId="8">#REF!</definedName>
    <definedName name="NewSource">#REF!</definedName>
    <definedName name="nn" localSheetId="6">#REF!</definedName>
    <definedName name="nn" localSheetId="7">#REF!</definedName>
    <definedName name="nn" localSheetId="8">#REF!</definedName>
    <definedName name="nn">#REF!</definedName>
    <definedName name="NO">#REF!</definedName>
    <definedName name="NONRECAP">#REF!</definedName>
    <definedName name="NOTES" localSheetId="4">#REF!</definedName>
    <definedName name="NOTES" localSheetId="2">#REF!</definedName>
    <definedName name="NOTES" localSheetId="6">#REF!</definedName>
    <definedName name="NOTES" localSheetId="7">#REF!</definedName>
    <definedName name="NOTES" localSheetId="8">#REF!</definedName>
    <definedName name="NOTES">#REF!</definedName>
    <definedName name="NR" localSheetId="6">#REF!</definedName>
    <definedName name="NR" localSheetId="7">#REF!</definedName>
    <definedName name="NR" localSheetId="8">#REF!</definedName>
    <definedName name="NR">#REF!</definedName>
    <definedName name="number">#REF!</definedName>
    <definedName name="NvsASD">"V2008-12-31"</definedName>
    <definedName name="NvsAutoDrillOk">"VN"</definedName>
    <definedName name="NvsElapsedTime">0.000729166669771075</definedName>
    <definedName name="NvsEndTime">39896.5868402778</definedName>
    <definedName name="NvsEndTime2">39823.1371643519</definedName>
    <definedName name="NvsEndTime3">39918.4137268519</definedName>
    <definedName name="NvsEndTime4">39825.0263078704</definedName>
    <definedName name="NvsEndTime5">39822.9425347222</definedName>
    <definedName name="NvsInstanceHook" localSheetId="6">rank</definedName>
    <definedName name="NvsInstanceHook" localSheetId="7">rank</definedName>
    <definedName name="NvsInstanceHook" localSheetId="8">rank</definedName>
    <definedName name="NvsInstanceHook">rank</definedName>
    <definedName name="NvsInstanceHook1" localSheetId="6">rank</definedName>
    <definedName name="NvsInstanceHook1" localSheetId="7">rank</definedName>
    <definedName name="NvsInstanceHook1" localSheetId="8">rank</definedName>
    <definedName name="NvsInstanceHook1">rank</definedName>
    <definedName name="NvsInstLang">"VENG"</definedName>
    <definedName name="NvsInstSpec">"%,FBUSINESS_UNIT,V01815"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"V1950-01-01"</definedName>
    <definedName name="NvsPanelSetid">"VWASTE"</definedName>
    <definedName name="NvsReqBU">"V01815"</definedName>
    <definedName name="NvsReqBUOnly">"VY"</definedName>
    <definedName name="NvsTransLed">"VN"</definedName>
    <definedName name="NvsTreeASD">"V2008-12-31"</definedName>
    <definedName name="NvsValTbl.ACCOUNT">"GL_ACCOUNT_TBL"</definedName>
    <definedName name="NvsValTbl.ACCOUNT_SUM">"ZGL_SACCT_VW"</definedName>
    <definedName name="NvsValTbl.ASSET_CLASS">"ASSET_CLASS_TBL"</definedName>
    <definedName name="NvsValTbl.BUSINESS_UNIT">"BUS_UNIT_TBL_GL"</definedName>
    <definedName name="NvsValTbl.CURRENCY_CD">"CURRENCY_CD_TBL"</definedName>
    <definedName name="NvsValTbl.DEPTID">"DEPT_TBL"</definedName>
    <definedName name="NvsValTbl.OPERATING_UNIT">"OPER_UNIT_TBL"</definedName>
    <definedName name="NvsValTbl.PRODUCT">"PRODUCT_TBL"</definedName>
    <definedName name="observations">#REF!</definedName>
    <definedName name="OfficerSalary">#N/A</definedName>
    <definedName name="OffsetAcctBil">#REF!</definedName>
    <definedName name="OffsetAcctPmt">#REF!</definedName>
    <definedName name="Operations">#REF!</definedName>
    <definedName name="OPR">#REF!</definedName>
    <definedName name="Org11_13">#N/A</definedName>
    <definedName name="Org7_10">#N/A</definedName>
    <definedName name="ORIG2GALWT_">#REF!</definedName>
    <definedName name="ORIG2OH">#REF!</definedName>
    <definedName name="OthCanTons">#REF!</definedName>
    <definedName name="OthComYd">#REF!</definedName>
    <definedName name="OthCustCnt" localSheetId="6">#REF!</definedName>
    <definedName name="OthCustCnt" localSheetId="7">#REF!</definedName>
    <definedName name="OthCustCnt" localSheetId="8">#REF!</definedName>
    <definedName name="OthCustCnt">#REF!</definedName>
    <definedName name="OthMultiYd">#REF!</definedName>
    <definedName name="OthXtraYds" localSheetId="6">#REF!</definedName>
    <definedName name="OthXtraYds" localSheetId="7">#REF!</definedName>
    <definedName name="OthXtraYds" localSheetId="8">#REF!</definedName>
    <definedName name="OthXtraYds">#REF!</definedName>
    <definedName name="outliercut">#REF!</definedName>
    <definedName name="p" localSheetId="4">#REF!</definedName>
    <definedName name="p" localSheetId="2">#REF!</definedName>
    <definedName name="p" localSheetId="6">#REF!</definedName>
    <definedName name="p" localSheetId="7">#REF!</definedName>
    <definedName name="p" localSheetId="8">#REF!</definedName>
    <definedName name="p">#REF!</definedName>
    <definedName name="PAGE_1" localSheetId="4">#REF!</definedName>
    <definedName name="PAGE_1" localSheetId="2">#REF!</definedName>
    <definedName name="PAGE_1" localSheetId="6">#REF!</definedName>
    <definedName name="PAGE_1" localSheetId="7">#REF!</definedName>
    <definedName name="PAGE_1" localSheetId="8">#REF!</definedName>
    <definedName name="PAGE_1">#REF!</definedName>
    <definedName name="Page10" localSheetId="6">#REF!</definedName>
    <definedName name="Page10" localSheetId="7">#REF!</definedName>
    <definedName name="Page10" localSheetId="8">#REF!</definedName>
    <definedName name="Page10">#REF!</definedName>
    <definedName name="Page10a" localSheetId="6">#REF!</definedName>
    <definedName name="Page10a" localSheetId="7">#REF!</definedName>
    <definedName name="Page10a" localSheetId="8">#REF!</definedName>
    <definedName name="Page10a">#REF!</definedName>
    <definedName name="page11" localSheetId="6">#REF!</definedName>
    <definedName name="page11" localSheetId="7">#REF!</definedName>
    <definedName name="page11" localSheetId="8">#REF!</definedName>
    <definedName name="page11">#REF!</definedName>
    <definedName name="page12" localSheetId="6">#REF!</definedName>
    <definedName name="page12" localSheetId="7">#REF!</definedName>
    <definedName name="page12" localSheetId="8">#REF!</definedName>
    <definedName name="page12">#REF!</definedName>
    <definedName name="Page16" localSheetId="6">#REF!</definedName>
    <definedName name="Page16" localSheetId="7">#REF!</definedName>
    <definedName name="Page16" localSheetId="8">#REF!</definedName>
    <definedName name="Page16">#REF!</definedName>
    <definedName name="Page17" localSheetId="6">#REF!</definedName>
    <definedName name="Page17" localSheetId="7">#REF!</definedName>
    <definedName name="Page17" localSheetId="8">#REF!</definedName>
    <definedName name="Page17">#REF!</definedName>
    <definedName name="Page18" localSheetId="6">#REF!</definedName>
    <definedName name="Page18" localSheetId="7">#REF!</definedName>
    <definedName name="Page18" localSheetId="8">#REF!</definedName>
    <definedName name="Page18">#REF!</definedName>
    <definedName name="Page20" localSheetId="6">#REF!</definedName>
    <definedName name="Page20" localSheetId="7">#REF!</definedName>
    <definedName name="Page20" localSheetId="8">#REF!</definedName>
    <definedName name="Page20">#REF!</definedName>
    <definedName name="page7" localSheetId="6">#REF!</definedName>
    <definedName name="page7" localSheetId="7">#REF!</definedName>
    <definedName name="page7" localSheetId="8">#REF!</definedName>
    <definedName name="page7">#REF!</definedName>
    <definedName name="Page7a" localSheetId="6">#REF!</definedName>
    <definedName name="Page7a" localSheetId="7">#REF!</definedName>
    <definedName name="Page7a" localSheetId="8">#REF!</definedName>
    <definedName name="Page7a">#REF!</definedName>
    <definedName name="pBatchID" localSheetId="4">#REF!</definedName>
    <definedName name="pBatchID" localSheetId="2">#REF!</definedName>
    <definedName name="pBatchID" localSheetId="6">#REF!</definedName>
    <definedName name="pBatchID" localSheetId="7">#REF!</definedName>
    <definedName name="pBatchID" localSheetId="8">#REF!</definedName>
    <definedName name="pBatchID">#REF!</definedName>
    <definedName name="pBillArea" localSheetId="4">#REF!</definedName>
    <definedName name="pBillArea" localSheetId="2">#REF!</definedName>
    <definedName name="pBillArea" localSheetId="6">#REF!</definedName>
    <definedName name="pBillArea" localSheetId="7">#REF!</definedName>
    <definedName name="pBillArea" localSheetId="8">#REF!</definedName>
    <definedName name="pBillArea">#REF!</definedName>
    <definedName name="pBillCycle" localSheetId="4">#REF!</definedName>
    <definedName name="pBillCycle" localSheetId="2">#REF!</definedName>
    <definedName name="pBillCycle" localSheetId="6">#REF!</definedName>
    <definedName name="pBillCycle" localSheetId="7">#REF!</definedName>
    <definedName name="pBillCycle" localSheetId="8">#REF!</definedName>
    <definedName name="pBillCycle">#REF!</definedName>
    <definedName name="pCategory" localSheetId="4">#REF!</definedName>
    <definedName name="pCategory" localSheetId="2">#REF!</definedName>
    <definedName name="pCategory" localSheetId="6">#REF!</definedName>
    <definedName name="pCategory" localSheetId="7">#REF!</definedName>
    <definedName name="pCategory" localSheetId="8">#REF!</definedName>
    <definedName name="pCategory">#REF!</definedName>
    <definedName name="pCompany" localSheetId="4">#REF!</definedName>
    <definedName name="pCompany" localSheetId="2">#REF!</definedName>
    <definedName name="pCompany" localSheetId="6">#REF!</definedName>
    <definedName name="pCompany" localSheetId="7">#REF!</definedName>
    <definedName name="pCompany" localSheetId="8">#REF!</definedName>
    <definedName name="pCompany">#REF!</definedName>
    <definedName name="pCustomerNumber" localSheetId="4">#REF!</definedName>
    <definedName name="pCustomerNumber" localSheetId="2">#REF!</definedName>
    <definedName name="pCustomerNumber" localSheetId="6">#REF!</definedName>
    <definedName name="pCustomerNumber" localSheetId="7">#REF!</definedName>
    <definedName name="pCustomerNumber" localSheetId="8">#REF!</definedName>
    <definedName name="pCustomerNumber">#REF!</definedName>
    <definedName name="pDatabase" localSheetId="4">#REF!</definedName>
    <definedName name="pDatabase" localSheetId="2">#REF!</definedName>
    <definedName name="pDatabase" localSheetId="6">#REF!</definedName>
    <definedName name="pDatabase" localSheetId="7">#REF!</definedName>
    <definedName name="pDatabase" localSheetId="8">#REF!</definedName>
    <definedName name="pDatabase">#REF!</definedName>
    <definedName name="PED">#REF!</definedName>
    <definedName name="PendingStatus">#REF!</definedName>
    <definedName name="pEndPostDate" localSheetId="4">#REF!</definedName>
    <definedName name="pEndPostDate" localSheetId="2">#REF!</definedName>
    <definedName name="pEndPostDate" localSheetId="6">#REF!</definedName>
    <definedName name="pEndPostDate" localSheetId="7">#REF!</definedName>
    <definedName name="pEndPostDate" localSheetId="8">#REF!</definedName>
    <definedName name="pEndPostDate">#REF!</definedName>
    <definedName name="PER">#REF!</definedName>
    <definedName name="Period" localSheetId="4">#REF!</definedName>
    <definedName name="Period" localSheetId="2">#REF!</definedName>
    <definedName name="Period" localSheetId="6">#REF!</definedName>
    <definedName name="Period" localSheetId="7">#REF!</definedName>
    <definedName name="Period" localSheetId="8">#REF!</definedName>
    <definedName name="Period">#REF!</definedName>
    <definedName name="Pfd_weighted" localSheetId="6">'LG Public - Clallam Total'!$U$56</definedName>
    <definedName name="Pfd_weighted" localSheetId="7">'LG Public - Jefferson Total'!$U$56</definedName>
    <definedName name="Pfd_weighted" localSheetId="8">'LG Public - Mill Hauls'!$U$56</definedName>
    <definedName name="PFREVB4">#REF!</definedName>
    <definedName name="PLANT1">#REF!</definedName>
    <definedName name="PLANT2">#REF!</definedName>
    <definedName name="PLANTAFTER">#REF!</definedName>
    <definedName name="PLANTAFTER01">#REF!</definedName>
    <definedName name="pMonth" localSheetId="4">#REF!</definedName>
    <definedName name="pMonth" localSheetId="2">#REF!</definedName>
    <definedName name="pMonth" localSheetId="6">#REF!</definedName>
    <definedName name="pMonth" localSheetId="7">#REF!</definedName>
    <definedName name="pMonth" localSheetId="8">#REF!</definedName>
    <definedName name="pMonth">#REF!</definedName>
    <definedName name="POApprPend">#REF!</definedName>
    <definedName name="POBudUnbud">#REF!</definedName>
    <definedName name="pOnlyShowLastTranx" localSheetId="4">#REF!</definedName>
    <definedName name="pOnlyShowLastTranx" localSheetId="2">#REF!</definedName>
    <definedName name="pOnlyShowLastTranx" localSheetId="6">#REF!</definedName>
    <definedName name="pOnlyShowLastTranx" localSheetId="7">#REF!</definedName>
    <definedName name="pOnlyShowLastTranx" localSheetId="8">#REF!</definedName>
    <definedName name="pOnlyShowLastTranx">#REF!</definedName>
    <definedName name="POSeqNum">#REF!</definedName>
    <definedName name="Posting" localSheetId="6">#REF!</definedName>
    <definedName name="Posting" localSheetId="7">#REF!</definedName>
    <definedName name="Posting" localSheetId="8">#REF!</definedName>
    <definedName name="Posting">#REF!</definedName>
    <definedName name="POTruckSubTypeLookup">#REF!</definedName>
    <definedName name="ppemeasurement">#REF!</definedName>
    <definedName name="Prepare">#REF!</definedName>
    <definedName name="primtbl">#REF!</definedName>
    <definedName name="_xlnm.Print_Area" localSheetId="4">#REF!</definedName>
    <definedName name="_xlnm.Print_Area" localSheetId="0">'Clallam Proposed Rates'!$A$1:$E$235</definedName>
    <definedName name="_xlnm.Print_Area" localSheetId="2">#REF!</definedName>
    <definedName name="_xlnm.Print_Area" localSheetId="6">'LG Public - Clallam Total'!$F$2:$N$49</definedName>
    <definedName name="_xlnm.Print_Area" localSheetId="7">'LG Public - Jefferson Total'!$F$2:$N$49</definedName>
    <definedName name="_xlnm.Print_Area" localSheetId="8">'LG Public - Mill Hauls'!$F$2:$N$49</definedName>
    <definedName name="_xlnm.Print_Area">#REF!</definedName>
    <definedName name="Print_Area_MI" localSheetId="4">#REF!</definedName>
    <definedName name="Print_Area_MI" localSheetId="2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>#REF!</definedName>
    <definedName name="Print_Area_MIc" localSheetId="6">#REF!</definedName>
    <definedName name="Print_Area_MIc" localSheetId="7">#REF!</definedName>
    <definedName name="Print_Area_MIc" localSheetId="8">#REF!</definedName>
    <definedName name="Print_Area_MIc">#REF!</definedName>
    <definedName name="Print_Area1" localSheetId="4">#REF!</definedName>
    <definedName name="Print_Area1" localSheetId="2">#REF!</definedName>
    <definedName name="Print_Area1" localSheetId="6">#REF!</definedName>
    <definedName name="Print_Area1" localSheetId="7">#REF!</definedName>
    <definedName name="Print_Area1" localSheetId="8">#REF!</definedName>
    <definedName name="Print_Area1">#REF!</definedName>
    <definedName name="Print_Area11">#REF!</definedName>
    <definedName name="Print_Area2" localSheetId="4">#REF!</definedName>
    <definedName name="Print_Area2" localSheetId="2">#REF!</definedName>
    <definedName name="Print_Area2" localSheetId="6">#REF!</definedName>
    <definedName name="Print_Area2" localSheetId="7">#REF!</definedName>
    <definedName name="Print_Area2" localSheetId="8">#REF!</definedName>
    <definedName name="Print_Area2">#REF!</definedName>
    <definedName name="Print_Area3" localSheetId="4">#REF!</definedName>
    <definedName name="Print_Area3" localSheetId="2">#REF!</definedName>
    <definedName name="Print_Area3" localSheetId="6">#REF!</definedName>
    <definedName name="Print_Area3" localSheetId="7">#REF!</definedName>
    <definedName name="Print_Area3" localSheetId="8">#REF!</definedName>
    <definedName name="Print_Area3">#REF!</definedName>
    <definedName name="Print_Area5" localSheetId="4">#REF!</definedName>
    <definedName name="Print_Area5" localSheetId="2">#REF!</definedName>
    <definedName name="Print_Area5" localSheetId="6">#REF!</definedName>
    <definedName name="Print_Area5" localSheetId="7">#REF!</definedName>
    <definedName name="Print_Area5" localSheetId="8">#REF!</definedName>
    <definedName name="Print_Area5">#REF!</definedName>
    <definedName name="_xlnm.Print_Titles" localSheetId="0">'Clallam Proposed Rates'!$1:$6</definedName>
    <definedName name="_xlnm.Print_Titles" localSheetId="1">'Jefferson Proposed Rates'!$1:$6</definedName>
    <definedName name="_xlnm.Print_Titles">#REF!</definedName>
    <definedName name="Print_Titles_MI">#REF!</definedName>
    <definedName name="Print1" localSheetId="4">#REF!</definedName>
    <definedName name="Print1" localSheetId="2">#REF!</definedName>
    <definedName name="Print1" localSheetId="6">#REF!</definedName>
    <definedName name="Print1" localSheetId="7">#REF!</definedName>
    <definedName name="Print1" localSheetId="8">#REF!</definedName>
    <definedName name="Print1">#REF!</definedName>
    <definedName name="Print2" localSheetId="4">#REF!</definedName>
    <definedName name="Print2" localSheetId="2">#REF!</definedName>
    <definedName name="Print2" localSheetId="6">#REF!</definedName>
    <definedName name="Print2" localSheetId="7">#REF!</definedName>
    <definedName name="Print2" localSheetId="8">#REF!</definedName>
    <definedName name="Print2">#REF!</definedName>
    <definedName name="Print5" localSheetId="4">#REF!</definedName>
    <definedName name="Print5" localSheetId="2">#REF!</definedName>
    <definedName name="Print5" localSheetId="6">#REF!</definedName>
    <definedName name="Print5" localSheetId="7">#REF!</definedName>
    <definedName name="Print5" localSheetId="8">#REF!</definedName>
    <definedName name="Print5">#REF!</definedName>
    <definedName name="Prnit_Range">#REF!</definedName>
    <definedName name="ProRev" localSheetId="6">#REF!</definedName>
    <definedName name="ProRev" localSheetId="7">#REF!</definedName>
    <definedName name="ProRev" localSheetId="8">#REF!</definedName>
    <definedName name="ProRev">#REF!</definedName>
    <definedName name="ProRev_com" localSheetId="6">#REF!</definedName>
    <definedName name="ProRev_com" localSheetId="7">#REF!</definedName>
    <definedName name="ProRev_com" localSheetId="8">#REF!</definedName>
    <definedName name="ProRev_com">#REF!</definedName>
    <definedName name="ProRev_mfr" localSheetId="6">#REF!</definedName>
    <definedName name="ProRev_mfr" localSheetId="7">#REF!</definedName>
    <definedName name="ProRev_mfr" localSheetId="8">#REF!</definedName>
    <definedName name="ProRev_mfr">#REF!</definedName>
    <definedName name="ProRev_ro" localSheetId="6">#REF!</definedName>
    <definedName name="ProRev_ro" localSheetId="7">#REF!</definedName>
    <definedName name="ProRev_ro" localSheetId="8">#REF!</definedName>
    <definedName name="ProRev_ro">#REF!</definedName>
    <definedName name="ProRev_rr" localSheetId="6">#REF!</definedName>
    <definedName name="ProRev_rr" localSheetId="7">#REF!</definedName>
    <definedName name="ProRev_rr" localSheetId="8">#REF!</definedName>
    <definedName name="ProRev_rr">#REF!</definedName>
    <definedName name="ProRev_yw" localSheetId="6">#REF!</definedName>
    <definedName name="ProRev_yw" localSheetId="7">#REF!</definedName>
    <definedName name="ProRev_yw" localSheetId="8">#REF!</definedName>
    <definedName name="ProRev_yw">#REF!</definedName>
    <definedName name="pServer" localSheetId="4">#REF!</definedName>
    <definedName name="pServer" localSheetId="2">#REF!</definedName>
    <definedName name="pServer" localSheetId="6">#REF!</definedName>
    <definedName name="pServer" localSheetId="7">#REF!</definedName>
    <definedName name="pServer" localSheetId="8">#REF!</definedName>
    <definedName name="pServer">#REF!</definedName>
    <definedName name="pServiceCode" localSheetId="4">#REF!</definedName>
    <definedName name="pServiceCode" localSheetId="2">#REF!</definedName>
    <definedName name="pServiceCode" localSheetId="6">#REF!</definedName>
    <definedName name="pServiceCode" localSheetId="7">#REF!</definedName>
    <definedName name="pServiceCode" localSheetId="8">#REF!</definedName>
    <definedName name="pServiceCode">#REF!</definedName>
    <definedName name="pShowAllUnposted" localSheetId="4">#REF!</definedName>
    <definedName name="pShowAllUnposted" localSheetId="2">#REF!</definedName>
    <definedName name="pShowAllUnposted" localSheetId="6">#REF!</definedName>
    <definedName name="pShowAllUnposted" localSheetId="7">#REF!</definedName>
    <definedName name="pShowAllUnposted" localSheetId="8">#REF!</definedName>
    <definedName name="pShowAllUnposted">#REF!</definedName>
    <definedName name="pShowCustomerDetail" localSheetId="4">#REF!</definedName>
    <definedName name="pShowCustomerDetail" localSheetId="2">#REF!</definedName>
    <definedName name="pShowCustomerDetail" localSheetId="6">#REF!</definedName>
    <definedName name="pShowCustomerDetail" localSheetId="7">#REF!</definedName>
    <definedName name="pShowCustomerDetail" localSheetId="8">#REF!</definedName>
    <definedName name="pShowCustomerDetail">#REF!</definedName>
    <definedName name="pSortOption" localSheetId="4">#REF!</definedName>
    <definedName name="pSortOption" localSheetId="2">#REF!</definedName>
    <definedName name="pSortOption" localSheetId="6">#REF!</definedName>
    <definedName name="pSortOption" localSheetId="7">#REF!</definedName>
    <definedName name="pSortOption" localSheetId="8">#REF!</definedName>
    <definedName name="pSortOption">#REF!</definedName>
    <definedName name="pStartPostDate" localSheetId="4">#REF!</definedName>
    <definedName name="pStartPostDate" localSheetId="2">#REF!</definedName>
    <definedName name="pStartPostDate" localSheetId="6">#REF!</definedName>
    <definedName name="pStartPostDate" localSheetId="7">#REF!</definedName>
    <definedName name="pStartPostDate" localSheetId="8">#REF!</definedName>
    <definedName name="pStartPostDate">#REF!</definedName>
    <definedName name="pTransType" localSheetId="4">#REF!</definedName>
    <definedName name="pTransType" localSheetId="2">#REF!</definedName>
    <definedName name="pTransType" localSheetId="6">#REF!</definedName>
    <definedName name="pTransType" localSheetId="7">#REF!</definedName>
    <definedName name="pTransType" localSheetId="8">#REF!</definedName>
    <definedName name="pTransType">#REF!</definedName>
    <definedName name="PYear">#REF!</definedName>
    <definedName name="QtrValue">#REF!</definedName>
    <definedName name="Quarter_Budget">#REF!</definedName>
    <definedName name="Quarter_Month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ange">#REF!</definedName>
    <definedName name="Range1">#REF!</definedName>
    <definedName name="RBPROFORMAS">#REF!</definedName>
    <definedName name="RBU">#REF!</definedName>
    <definedName name="RCW_81.04.080">#N/A</definedName>
    <definedName name="RECAP">#REF!</definedName>
    <definedName name="RECAP2">#REF!</definedName>
    <definedName name="ReconMonth">#REF!</definedName>
    <definedName name="_xlnm.Recorder">#REF!</definedName>
    <definedName name="RecyDisposal">#N/A</definedName>
    <definedName name="Reg_Cust_Billed_Percent" localSheetId="6">#REF!</definedName>
    <definedName name="Reg_Cust_Billed_Percent" localSheetId="7">#REF!</definedName>
    <definedName name="Reg_Cust_Billed_Percent" localSheetId="8">#REF!</definedName>
    <definedName name="Reg_Cust_Billed_Percent">#REF!</definedName>
    <definedName name="Reg_Cust_Percent" localSheetId="6">#REF!</definedName>
    <definedName name="Reg_Cust_Percent" localSheetId="7">#REF!</definedName>
    <definedName name="Reg_Cust_Percent" localSheetId="8">#REF!</definedName>
    <definedName name="Reg_Cust_Percent">#REF!</definedName>
    <definedName name="Reg_Drive_Percent" localSheetId="6">#REF!</definedName>
    <definedName name="Reg_Drive_Percent" localSheetId="7">#REF!</definedName>
    <definedName name="Reg_Drive_Percent" localSheetId="8">#REF!</definedName>
    <definedName name="Reg_Drive_Percent">#REF!</definedName>
    <definedName name="Reg_Haul_Rev_Percent" localSheetId="6">#REF!</definedName>
    <definedName name="Reg_Haul_Rev_Percent" localSheetId="7">#REF!</definedName>
    <definedName name="Reg_Haul_Rev_Percent" localSheetId="8">#REF!</definedName>
    <definedName name="Reg_Haul_Rev_Percent">#REF!</definedName>
    <definedName name="Reg_Lab_Percent" localSheetId="6">#REF!</definedName>
    <definedName name="Reg_Lab_Percent" localSheetId="7">#REF!</definedName>
    <definedName name="Reg_Lab_Percent" localSheetId="8">#REF!</definedName>
    <definedName name="Reg_Lab_Percent">#REF!</definedName>
    <definedName name="Reg_Steel_Cont_Percent" localSheetId="6">#REF!</definedName>
    <definedName name="Reg_Steel_Cont_Percent" localSheetId="7">#REF!</definedName>
    <definedName name="Reg_Steel_Cont_Percent" localSheetId="8">#REF!</definedName>
    <definedName name="Reg_Steel_Cont_Percent">#REF!</definedName>
    <definedName name="regDebt_weighted" localSheetId="6">'LG Public - Clallam Total'!$U$55</definedName>
    <definedName name="regDebt_weighted" localSheetId="7">'LG Public - Jefferson Total'!$U$55</definedName>
    <definedName name="regDebt_weighted" localSheetId="8">'LG Public - Mill Hauls'!$U$55</definedName>
    <definedName name="Region">#REF!</definedName>
    <definedName name="RegionSignOffReq">#REF!</definedName>
    <definedName name="RegionSignOffStatus">#REF!</definedName>
    <definedName name="RegulatedIS" localSheetId="6">#REF!</definedName>
    <definedName name="RegulatedIS" localSheetId="7">#REF!</definedName>
    <definedName name="RegulatedIS" localSheetId="8">#REF!</definedName>
    <definedName name="RegulatedIS">#REF!</definedName>
    <definedName name="RelatedSalary">#N/A</definedName>
    <definedName name="report_type">#REF!</definedName>
    <definedName name="ReportFormula">#REF!</definedName>
    <definedName name="Reporting_Jurisdiction">#REF!</definedName>
    <definedName name="ReportNames">#REF!</definedName>
    <definedName name="ReportType">#REF!</definedName>
    <definedName name="ReportVersion">#REF!</definedName>
    <definedName name="residential">#REF!</definedName>
    <definedName name="ReslStaffPriceOut" localSheetId="6">#REF!</definedName>
    <definedName name="ReslStaffPriceOut" localSheetId="7">#REF!</definedName>
    <definedName name="ReslStaffPriceOut" localSheetId="8">#REF!</definedName>
    <definedName name="ReslStaffPriceOut">#REF!</definedName>
    <definedName name="RetainedEarnings" localSheetId="4">#REF!</definedName>
    <definedName name="RetainedEarnings" localSheetId="2">#REF!</definedName>
    <definedName name="RetainedEarnings" localSheetId="6">#REF!</definedName>
    <definedName name="RetainedEarnings" localSheetId="7">#REF!</definedName>
    <definedName name="RetainedEarnings" localSheetId="8">#REF!</definedName>
    <definedName name="RetainedEarnings">#REF!</definedName>
    <definedName name="RevCust" localSheetId="4">#REF!</definedName>
    <definedName name="RevCust" localSheetId="2">#REF!</definedName>
    <definedName name="RevCust" localSheetId="6">#REF!</definedName>
    <definedName name="RevCust" localSheetId="7">#REF!</definedName>
    <definedName name="RevCust" localSheetId="8">#REF!</definedName>
    <definedName name="RevCust">#REF!</definedName>
    <definedName name="RevCustomer" localSheetId="6">#REF!</definedName>
    <definedName name="RevCustomer" localSheetId="7">#REF!</definedName>
    <definedName name="RevCustomer" localSheetId="8">#REF!</definedName>
    <definedName name="RevCustomer">#REF!</definedName>
    <definedName name="REVDETAIL">#REF!</definedName>
    <definedName name="Revenue" localSheetId="6">'LG Public - Clallam Total'!$I$7</definedName>
    <definedName name="Revenue" localSheetId="7">'LG Public - Jefferson Total'!$I$7</definedName>
    <definedName name="Revenue" localSheetId="8">'LG Public - Mill Hauls'!$I$7</definedName>
    <definedName name="Revenue">#REF!</definedName>
    <definedName name="RevenuePF1">#REF!</definedName>
    <definedName name="Reverse">#REF!</definedName>
    <definedName name="ReviewByMe">#REF!</definedName>
    <definedName name="REVMAT">#REF!</definedName>
    <definedName name="RID">#REF!</definedName>
    <definedName name="rngBodyText">#REF!</definedName>
    <definedName name="RngBottomRight">#REF!</definedName>
    <definedName name="rngColDelChars">#REF!</definedName>
    <definedName name="rngColumnDelete">#REF!</definedName>
    <definedName name="rngCreateLog">#REF!</definedName>
    <definedName name="rngDeleteColumns">#REF!</definedName>
    <definedName name="rngDeleteRows">#REF!</definedName>
    <definedName name="rngEmail">#REF!</definedName>
    <definedName name="rngFileDir">#REF!</definedName>
    <definedName name="rngFileFormat">#REF!</definedName>
    <definedName name="rngFileName">#REF!</definedName>
    <definedName name="rngFilePassword">#REF!</definedName>
    <definedName name="rngPassword">#REF!</definedName>
    <definedName name="rngPasswordProtect">#REF!</definedName>
    <definedName name="rngPrint">#REF!</definedName>
    <definedName name="rngRetainFormulas">#REF!</definedName>
    <definedName name="rngSaveFile">#REF!</definedName>
    <definedName name="rngSourceTab">#REF!</definedName>
    <definedName name="rngSubjectLine">#REF!</definedName>
    <definedName name="rngTabName">#REF!</definedName>
    <definedName name="rngTopLeft">#REF!</definedName>
    <definedName name="ROCE">#REF!,#REF!</definedName>
    <definedName name="rolloff1">#REF!</definedName>
    <definedName name="rolloff2">#REF!</definedName>
    <definedName name="rolloff3">#REF!</definedName>
    <definedName name="rolloff4">#REF!</definedName>
    <definedName name="rolloff5">#REF!</definedName>
    <definedName name="ROW_SUPRESS">#REF!</definedName>
    <definedName name="rowgroup">#REF!</definedName>
    <definedName name="rowsegment">#REF!</definedName>
    <definedName name="RptEmailAddress">#REF!</definedName>
    <definedName name="rtr">#REF!</definedName>
    <definedName name="RTT">#REF!</definedName>
    <definedName name="sale">#REF!</definedName>
    <definedName name="SALES_TAX_RETURN">#REF!</definedName>
    <definedName name="Sbst">#REF!</definedName>
    <definedName name="SCN">#REF!</definedName>
    <definedName name="seffasfasdfsd" localSheetId="6">#REF!</definedName>
    <definedName name="seffasfasdfsd" localSheetId="7">#REF!</definedName>
    <definedName name="seffasfasdfsd" localSheetId="8">#REF!</definedName>
    <definedName name="seffasfasdfsd">#REF!</definedName>
    <definedName name="SEPARATE">#REF!</definedName>
    <definedName name="Separation">#REF!</definedName>
    <definedName name="Sequential_Group">#REF!</definedName>
    <definedName name="Sequential_Segment">#REF!</definedName>
    <definedName name="Sequential_sort">#REF!</definedName>
    <definedName name="Setting_DeprFactor">#REF!</definedName>
    <definedName name="Setting_LFDeplUnitAcct">#REF!</definedName>
    <definedName name="Setting_LFUnitCost">#REF!</definedName>
    <definedName name="Setting_LFUnitCostNY">#REF!</definedName>
    <definedName name="Setting_LFUnitRow">#REF!</definedName>
    <definedName name="SFD">#REF!</definedName>
    <definedName name="SFD_BU">#REF!</definedName>
    <definedName name="SFD_DEPTID">#REF!</definedName>
    <definedName name="SFD_OP">#REF!</definedName>
    <definedName name="SFD_PROD">#REF!</definedName>
    <definedName name="SFD_PROJ">#REF!</definedName>
    <definedName name="sfdbusunit">#REF!</definedName>
    <definedName name="SFV">#REF!</definedName>
    <definedName name="SFV_BU">#REF!</definedName>
    <definedName name="SFV_CUR">#REF!</definedName>
    <definedName name="SFV_CUR1">#REF!</definedName>
    <definedName name="SFV_CUR5">#REF!</definedName>
    <definedName name="SFV_DEPTID">#REF!</definedName>
    <definedName name="SFV_OP">#REF!</definedName>
    <definedName name="SFV_PROD">#REF!</definedName>
    <definedName name="SFV_PROJ">#REF!</definedName>
    <definedName name="ShowHundreds">#REF!</definedName>
    <definedName name="ShowSaved">#REF!</definedName>
    <definedName name="SIC_Table" localSheetId="6">#REF!</definedName>
    <definedName name="SIC_Table" localSheetId="7">#REF!</definedName>
    <definedName name="SIC_Table" localSheetId="8">#REF!</definedName>
    <definedName name="SIC_Table">#REF!</definedName>
    <definedName name="sics">#REF!</definedName>
    <definedName name="slope" localSheetId="6">'LG Public - Clallam Total'!$Y$57</definedName>
    <definedName name="slope" localSheetId="7">'LG Public - Jefferson Total'!$Y$57</definedName>
    <definedName name="slope" localSheetId="8">'LG Public - Mill Hauls'!$Y$57</definedName>
    <definedName name="slope">#REF!</definedName>
    <definedName name="SLOPE1">#REF!</definedName>
    <definedName name="sort">#REF!</definedName>
    <definedName name="Sort1">#REF!</definedName>
    <definedName name="sortcol" localSheetId="4">#REF!</definedName>
    <definedName name="sortcol" localSheetId="2">#REF!</definedName>
    <definedName name="sortcol" localSheetId="6">#REF!</definedName>
    <definedName name="sortcol" localSheetId="7">#REF!</definedName>
    <definedName name="sortcol" localSheetId="8">#REF!</definedName>
    <definedName name="sortcol">#REF!</definedName>
    <definedName name="Source" localSheetId="6">#REF!</definedName>
    <definedName name="Source" localSheetId="7">#REF!</definedName>
    <definedName name="Source" localSheetId="8">#REF!</definedName>
    <definedName name="Source">#REF!</definedName>
    <definedName name="SPWS_WBID">"115966228744984"</definedName>
    <definedName name="sSRCDate" localSheetId="4">#REF!</definedName>
    <definedName name="sSRCDate" localSheetId="2">#REF!</definedName>
    <definedName name="sSRCDate" localSheetId="6">#REF!</definedName>
    <definedName name="sSRCDate" localSheetId="7">#REF!</definedName>
    <definedName name="sSRCDate" localSheetId="8">#REF!</definedName>
    <definedName name="sSRCDate">#REF!</definedName>
    <definedName name="start">#REF!</definedName>
    <definedName name="StartOfEntry">#REF!</definedName>
    <definedName name="StartPoint">#REF!</definedName>
    <definedName name="Stop">#REF!</definedName>
    <definedName name="SubSystem" localSheetId="6">#REF!</definedName>
    <definedName name="SubSystem" localSheetId="7">#REF!</definedName>
    <definedName name="SubSystem" localSheetId="8">#REF!</definedName>
    <definedName name="SubSystems" localSheetId="6">#REF!</definedName>
    <definedName name="SubSystems" localSheetId="7">#REF!</definedName>
    <definedName name="SubSystems" localSheetId="8">#REF!</definedName>
    <definedName name="SubSystems">#REF!</definedName>
    <definedName name="SubtypeToTruckType">#REF!</definedName>
    <definedName name="SUMM">#REF!</definedName>
    <definedName name="SUMMARY">#REF!</definedName>
    <definedName name="Summary_DistrictName">#REF!</definedName>
    <definedName name="Summary_DistrictNo">#REF!</definedName>
    <definedName name="SUMMARY01">#REF!</definedName>
    <definedName name="SUMMARY1">#REF!</definedName>
    <definedName name="Supplemental_filter">#REF!</definedName>
    <definedName name="SWDisposal">#N/A</definedName>
    <definedName name="Syst">#REF!</definedName>
    <definedName name="System" localSheetId="6">#REF!</definedName>
    <definedName name="System" localSheetId="7">#REF!</definedName>
    <definedName name="System" localSheetId="8">#REF!</definedName>
    <definedName name="System">#REF!</definedName>
    <definedName name="System_1">#REF!</definedName>
    <definedName name="Systems" localSheetId="6">#REF!</definedName>
    <definedName name="Systems" localSheetId="7">#REF!</definedName>
    <definedName name="Systems" localSheetId="8">#REF!</definedName>
    <definedName name="Systems">#REF!</definedName>
    <definedName name="Table_SIC" localSheetId="6">#REF!</definedName>
    <definedName name="Table_SIC" localSheetId="7">#REF!</definedName>
    <definedName name="Table_SIC" localSheetId="8">#REF!</definedName>
    <definedName name="Table_SIC">#REF!</definedName>
    <definedName name="TargetMonths">#REF!</definedName>
    <definedName name="taxrate" localSheetId="6">'LG Public - Clallam Total'!$J$38</definedName>
    <definedName name="taxrate" localSheetId="7">'LG Public - Jefferson Total'!$J$38</definedName>
    <definedName name="taxrate" localSheetId="8">'LG Public - Mill Hauls'!$J$38</definedName>
    <definedName name="TemplateEnd" localSheetId="4">#REF!</definedName>
    <definedName name="TemplateEnd" localSheetId="2">#REF!</definedName>
    <definedName name="TemplateEnd" localSheetId="6">#REF!</definedName>
    <definedName name="TemplateEnd" localSheetId="7">#REF!</definedName>
    <definedName name="TemplateEnd" localSheetId="8">#REF!</definedName>
    <definedName name="TemplateEnd">#REF!</definedName>
    <definedName name="TemplateStart" localSheetId="4">#REF!</definedName>
    <definedName name="TemplateStart" localSheetId="2">#REF!</definedName>
    <definedName name="TemplateStart" localSheetId="6">#REF!</definedName>
    <definedName name="TemplateStart" localSheetId="7">#REF!</definedName>
    <definedName name="TemplateStart" localSheetId="8">#REF!</definedName>
    <definedName name="TemplateStart">#REF!</definedName>
    <definedName name="test">#REF!</definedName>
    <definedName name="TheTable" localSheetId="4">#REF!</definedName>
    <definedName name="TheTable" localSheetId="2">#REF!</definedName>
    <definedName name="TheTable" localSheetId="6">#REF!</definedName>
    <definedName name="TheTable" localSheetId="7">#REF!</definedName>
    <definedName name="TheTable" localSheetId="8">#REF!</definedName>
    <definedName name="TheTable">#REF!</definedName>
    <definedName name="TheTableOLD" localSheetId="4">#REF!</definedName>
    <definedName name="TheTableOLD" localSheetId="2">#REF!</definedName>
    <definedName name="TheTableOLD" localSheetId="6">#REF!</definedName>
    <definedName name="TheTableOLD" localSheetId="7">#REF!</definedName>
    <definedName name="TheTableOLD" localSheetId="8">#REF!</definedName>
    <definedName name="TheTableOLD">#REF!</definedName>
    <definedName name="Thousands1">#REF!</definedName>
    <definedName name="Thousands2">#REF!</definedName>
    <definedName name="Thousands3">#REF!</definedName>
    <definedName name="Thousands4">#REF!</definedName>
    <definedName name="timeseries">#REF!</definedName>
    <definedName name="Title2">#REF!</definedName>
    <definedName name="ToMonth" localSheetId="6">#REF!</definedName>
    <definedName name="ToMonth" localSheetId="7">#REF!</definedName>
    <definedName name="ToMonth" localSheetId="8">#REF!</definedName>
    <definedName name="ToMonth">#REF!</definedName>
    <definedName name="Tons" localSheetId="6">#REF!</definedName>
    <definedName name="Tons" localSheetId="7">#REF!</definedName>
    <definedName name="Tons" localSheetId="8">#REF!</definedName>
    <definedName name="Tons">#REF!</definedName>
    <definedName name="TOP">#REF!</definedName>
    <definedName name="TOT">#REF!</definedName>
    <definedName name="Total_Comm" localSheetId="6">#REF!</definedName>
    <definedName name="Total_Comm" localSheetId="7">#REF!</definedName>
    <definedName name="Total_Comm" localSheetId="8">#REF!</definedName>
    <definedName name="Total_Comm">#REF!</definedName>
    <definedName name="Total_DB" localSheetId="6">#REF!</definedName>
    <definedName name="Total_DB" localSheetId="7">#REF!</definedName>
    <definedName name="Total_DB" localSheetId="8">#REF!</definedName>
    <definedName name="Total_DB">#REF!</definedName>
    <definedName name="Total_Interest">#REF!</definedName>
    <definedName name="Total_Resi" localSheetId="6">#REF!</definedName>
    <definedName name="Total_Resi" localSheetId="7">#REF!</definedName>
    <definedName name="Total_Resi" localSheetId="8">#REF!</definedName>
    <definedName name="Total_Resi">#REF!</definedName>
    <definedName name="Totalcapacity">#REF!</definedName>
    <definedName name="TotalYards">#REF!</definedName>
    <definedName name="TOTCONT">#REF!</definedName>
    <definedName name="TOTCONTCONT">#REF!</definedName>
    <definedName name="TOTCONTCUST">#REF!</definedName>
    <definedName name="TOTCONTDH">#REF!</definedName>
    <definedName name="TOTCONTREV">#REF!</definedName>
    <definedName name="TOTCONTTH">#REF!</definedName>
    <definedName name="TOTCRECCONT">#REF!</definedName>
    <definedName name="TOTCRECCUST" localSheetId="6">#REF!</definedName>
    <definedName name="TOTCRECCUST" localSheetId="7">#REF!</definedName>
    <definedName name="TOTCRECCUST" localSheetId="8">#REF!</definedName>
    <definedName name="TOTCRECCUST">#REF!</definedName>
    <definedName name="TOTCRECDH" localSheetId="6">#REF!</definedName>
    <definedName name="TOTCRECDH" localSheetId="7">#REF!</definedName>
    <definedName name="TOTCRECDH" localSheetId="8">#REF!</definedName>
    <definedName name="TOTCRECDH">#REF!</definedName>
    <definedName name="TOTCRECREV" localSheetId="6">#REF!</definedName>
    <definedName name="TOTCRECREV" localSheetId="7">#REF!</definedName>
    <definedName name="TOTCRECREV" localSheetId="8">#REF!</definedName>
    <definedName name="TOTCRECREV">#REF!</definedName>
    <definedName name="TOTCRECTDEP" localSheetId="6">#REF!</definedName>
    <definedName name="TOTCRECTDEP" localSheetId="7">#REF!</definedName>
    <definedName name="TOTCRECTDEP" localSheetId="8">#REF!</definedName>
    <definedName name="TOTCRECTDEP">#REF!</definedName>
    <definedName name="TOTCRECTH">#REF!</definedName>
    <definedName name="TOTCRECTV" localSheetId="6">#REF!</definedName>
    <definedName name="TOTCRECTV" localSheetId="7">#REF!</definedName>
    <definedName name="TOTCRECTV" localSheetId="8">#REF!</definedName>
    <definedName name="TOTCRECTV">#REF!</definedName>
    <definedName name="TOTCUST" localSheetId="6">#REF!</definedName>
    <definedName name="TOTCUST" localSheetId="7">#REF!</definedName>
    <definedName name="TOTCUST" localSheetId="8">#REF!</definedName>
    <definedName name="TOTCUST">#REF!</definedName>
    <definedName name="TOTDBCONT" localSheetId="6">#REF!</definedName>
    <definedName name="TOTDBCONT" localSheetId="7">#REF!</definedName>
    <definedName name="TOTDBCONT" localSheetId="8">#REF!</definedName>
    <definedName name="TOTDBCONT">#REF!</definedName>
    <definedName name="TOTDBCUST" localSheetId="6">#REF!</definedName>
    <definedName name="TOTDBCUST" localSheetId="7">#REF!</definedName>
    <definedName name="TOTDBCUST" localSheetId="8">#REF!</definedName>
    <definedName name="TOTDBCUST">#REF!</definedName>
    <definedName name="TOTDBDH" localSheetId="6">#REF!</definedName>
    <definedName name="TOTDBDH" localSheetId="7">#REF!</definedName>
    <definedName name="TOTDBDH" localSheetId="8">#REF!</definedName>
    <definedName name="TOTDBDH">#REF!</definedName>
    <definedName name="TOTDBREV" localSheetId="6">#REF!</definedName>
    <definedName name="TOTDBREV" localSheetId="7">#REF!</definedName>
    <definedName name="TOTDBREV" localSheetId="8">#REF!</definedName>
    <definedName name="TOTDBREV">#REF!</definedName>
    <definedName name="TOTDBTDEP" localSheetId="6">#REF!</definedName>
    <definedName name="TOTDBTDEP" localSheetId="7">#REF!</definedName>
    <definedName name="TOTDBTDEP" localSheetId="8">#REF!</definedName>
    <definedName name="TOTDBTDEP">#REF!</definedName>
    <definedName name="TOTDBTH" localSheetId="6">#REF!</definedName>
    <definedName name="TOTDBTH" localSheetId="7">#REF!</definedName>
    <definedName name="TOTDBTH" localSheetId="8">#REF!</definedName>
    <definedName name="TOTDBTH">#REF!</definedName>
    <definedName name="TOTDBTV" localSheetId="6">#REF!</definedName>
    <definedName name="TOTDBTV" localSheetId="7">#REF!</definedName>
    <definedName name="TOTDBTV" localSheetId="8">#REF!</definedName>
    <definedName name="TOTDBTV">#REF!</definedName>
    <definedName name="TOTDEBCONT" localSheetId="6">#REF!</definedName>
    <definedName name="TOTDEBCONT" localSheetId="7">#REF!</definedName>
    <definedName name="TOTDEBCONT" localSheetId="8">#REF!</definedName>
    <definedName name="TOTDEBCONT">#REF!</definedName>
    <definedName name="TOTDEBCUST" localSheetId="6">#REF!</definedName>
    <definedName name="TOTDEBCUST" localSheetId="7">#REF!</definedName>
    <definedName name="TOTDEBCUST" localSheetId="8">#REF!</definedName>
    <definedName name="TOTDEBCUST">#REF!</definedName>
    <definedName name="TOTDEBDH" localSheetId="6">#REF!</definedName>
    <definedName name="TOTDEBDH" localSheetId="7">#REF!</definedName>
    <definedName name="TOTDEBDH" localSheetId="8">#REF!</definedName>
    <definedName name="TOTDEBDH">#REF!</definedName>
    <definedName name="TOTDEBREV" localSheetId="6">#REF!</definedName>
    <definedName name="TOTDEBREV" localSheetId="7">#REF!</definedName>
    <definedName name="TOTDEBREV" localSheetId="8">#REF!</definedName>
    <definedName name="TOTDEBREV">#REF!</definedName>
    <definedName name="TOTDEBTH">#REF!</definedName>
    <definedName name="TOTDH" localSheetId="6">#REF!</definedName>
    <definedName name="TOTDH" localSheetId="7">#REF!</definedName>
    <definedName name="TOTDH" localSheetId="8">#REF!</definedName>
    <definedName name="TOTDH">#REF!</definedName>
    <definedName name="TOTFELCONT" localSheetId="6">#REF!</definedName>
    <definedName name="TOTFELCONT" localSheetId="7">#REF!</definedName>
    <definedName name="TOTFELCONT" localSheetId="8">#REF!</definedName>
    <definedName name="TOTFELCONT">#REF!</definedName>
    <definedName name="TOTFELCUST" localSheetId="6">#REF!</definedName>
    <definedName name="TOTFELCUST" localSheetId="7">#REF!</definedName>
    <definedName name="TOTFELCUST" localSheetId="8">#REF!</definedName>
    <definedName name="TOTFELCUST">#REF!</definedName>
    <definedName name="TOTFELDH" localSheetId="6">#REF!</definedName>
    <definedName name="TOTFELDH" localSheetId="7">#REF!</definedName>
    <definedName name="TOTFELDH" localSheetId="8">#REF!</definedName>
    <definedName name="TOTFELDH">#REF!</definedName>
    <definedName name="TOTFELREV" localSheetId="6">#REF!</definedName>
    <definedName name="TOTFELREV" localSheetId="7">#REF!</definedName>
    <definedName name="TOTFELREV" localSheetId="8">#REF!</definedName>
    <definedName name="TOTFELREV">#REF!</definedName>
    <definedName name="TOTFELTDEP" localSheetId="6">#REF!</definedName>
    <definedName name="TOTFELTDEP" localSheetId="7">#REF!</definedName>
    <definedName name="TOTFELTDEP" localSheetId="8">#REF!</definedName>
    <definedName name="TOTFELTDEP">#REF!</definedName>
    <definedName name="TOTFELTH" localSheetId="6">#REF!</definedName>
    <definedName name="TOTFELTH" localSheetId="7">#REF!</definedName>
    <definedName name="TOTFELTH" localSheetId="8">#REF!</definedName>
    <definedName name="TOTFELTH">#REF!</definedName>
    <definedName name="TOTFELTV" localSheetId="6">#REF!</definedName>
    <definedName name="TOTFELTV" localSheetId="7">#REF!</definedName>
    <definedName name="TOTFELTV" localSheetId="8">#REF!</definedName>
    <definedName name="TOTFELTV">#REF!</definedName>
    <definedName name="TOTRESCONT" localSheetId="6">#REF!</definedName>
    <definedName name="TOTRESCONT" localSheetId="7">#REF!</definedName>
    <definedName name="TOTRESCONT" localSheetId="8">#REF!</definedName>
    <definedName name="TOTRESCONT">#REF!</definedName>
    <definedName name="TOTRESCUST" localSheetId="6">#REF!</definedName>
    <definedName name="TOTRESCUST" localSheetId="7">#REF!</definedName>
    <definedName name="TOTRESCUST" localSheetId="8">#REF!</definedName>
    <definedName name="TOTRESCUST">#REF!</definedName>
    <definedName name="TOTRESDH" localSheetId="6">#REF!</definedName>
    <definedName name="TOTRESDH" localSheetId="7">#REF!</definedName>
    <definedName name="TOTRESDH" localSheetId="8">#REF!</definedName>
    <definedName name="TOTRESDH">#REF!</definedName>
    <definedName name="TOTRESRCONT" localSheetId="6">#REF!</definedName>
    <definedName name="TOTRESRCONT" localSheetId="7">#REF!</definedName>
    <definedName name="TOTRESRCONT" localSheetId="8">#REF!</definedName>
    <definedName name="TOTRESRCONT">#REF!</definedName>
    <definedName name="TOTRESRCUST" localSheetId="6">#REF!</definedName>
    <definedName name="TOTRESRCUST" localSheetId="7">#REF!</definedName>
    <definedName name="TOTRESRCUST" localSheetId="8">#REF!</definedName>
    <definedName name="TOTRESRCUST">#REF!</definedName>
    <definedName name="TOTRESRDH" localSheetId="6">#REF!</definedName>
    <definedName name="TOTRESRDH" localSheetId="7">#REF!</definedName>
    <definedName name="TOTRESRDH" localSheetId="8">#REF!</definedName>
    <definedName name="TOTRESRDH">#REF!</definedName>
    <definedName name="TOTRESREV" localSheetId="6">#REF!</definedName>
    <definedName name="TOTRESREV" localSheetId="7">#REF!</definedName>
    <definedName name="TOTRESREV" localSheetId="8">#REF!</definedName>
    <definedName name="TOTRESREV">#REF!</definedName>
    <definedName name="TOTRESRREV" localSheetId="6">#REF!</definedName>
    <definedName name="TOTRESRREV" localSheetId="7">#REF!</definedName>
    <definedName name="TOTRESRREV" localSheetId="8">#REF!</definedName>
    <definedName name="TOTRESRREV">#REF!</definedName>
    <definedName name="TOTRESRTDEP" localSheetId="6">#REF!</definedName>
    <definedName name="TOTRESRTDEP" localSheetId="7">#REF!</definedName>
    <definedName name="TOTRESRTDEP" localSheetId="8">#REF!</definedName>
    <definedName name="TOTRESRTDEP">#REF!</definedName>
    <definedName name="TOTRESRTH" localSheetId="6">#REF!</definedName>
    <definedName name="TOTRESRTH" localSheetId="7">#REF!</definedName>
    <definedName name="TOTRESRTH" localSheetId="8">#REF!</definedName>
    <definedName name="TOTRESRTH">#REF!</definedName>
    <definedName name="TOTRESRTV" localSheetId="6">#REF!</definedName>
    <definedName name="TOTRESRTV" localSheetId="7">#REF!</definedName>
    <definedName name="TOTRESRTV" localSheetId="8">#REF!</definedName>
    <definedName name="TOTRESRTV">#REF!</definedName>
    <definedName name="TOTRESTDEP" localSheetId="6">#REF!</definedName>
    <definedName name="TOTRESTDEP" localSheetId="7">#REF!</definedName>
    <definedName name="TOTRESTDEP" localSheetId="8">#REF!</definedName>
    <definedName name="TOTRESTDEP">#REF!</definedName>
    <definedName name="TOTRESTH" localSheetId="6">#REF!</definedName>
    <definedName name="TOTRESTH" localSheetId="7">#REF!</definedName>
    <definedName name="TOTRESTH" localSheetId="8">#REF!</definedName>
    <definedName name="TOTRESTH">#REF!</definedName>
    <definedName name="TOTRESTV" localSheetId="6">#REF!</definedName>
    <definedName name="TOTRESTV" localSheetId="7">#REF!</definedName>
    <definedName name="TOTRESTV" localSheetId="8">#REF!</definedName>
    <definedName name="TOTRESTV">#REF!</definedName>
    <definedName name="TOTREV" localSheetId="6">#REF!</definedName>
    <definedName name="TOTREV" localSheetId="7">#REF!</definedName>
    <definedName name="TOTREV" localSheetId="8">#REF!</definedName>
    <definedName name="TOTREV">#REF!</definedName>
    <definedName name="TOTTDEP" localSheetId="6">#REF!</definedName>
    <definedName name="TOTTDEP" localSheetId="7">#REF!</definedName>
    <definedName name="TOTTDEP" localSheetId="8">#REF!</definedName>
    <definedName name="TOTTDEP">#REF!</definedName>
    <definedName name="TOTTH" localSheetId="6">#REF!</definedName>
    <definedName name="TOTTH" localSheetId="7">#REF!</definedName>
    <definedName name="TOTTH" localSheetId="8">#REF!</definedName>
    <definedName name="TOTTH">#REF!</definedName>
    <definedName name="TOTTV" localSheetId="6">#REF!</definedName>
    <definedName name="TOTTV" localSheetId="7">#REF!</definedName>
    <definedName name="TOTTV" localSheetId="8">#REF!</definedName>
    <definedName name="TOTTV">#REF!</definedName>
    <definedName name="TOTUNREGCONT">#REF!</definedName>
    <definedName name="TOTUNREGCUST">#REF!</definedName>
    <definedName name="TOTUNREGDH">#REF!</definedName>
    <definedName name="TOTUNREGREV">#REF!</definedName>
    <definedName name="TOTUNREGTH">#REF!</definedName>
    <definedName name="Transactions" localSheetId="4">#REF!</definedName>
    <definedName name="Transactions" localSheetId="2">#REF!</definedName>
    <definedName name="Transactions" localSheetId="6">#REF!</definedName>
    <definedName name="Transactions" localSheetId="7">#REF!</definedName>
    <definedName name="Transactions" localSheetId="8">#REF!</definedName>
    <definedName name="Transactions">#REF!</definedName>
    <definedName name="TYPE">#REF!</definedName>
    <definedName name="TypeSelection">#REF!</definedName>
    <definedName name="UnformattedIS" localSheetId="6">#REF!</definedName>
    <definedName name="UnformattedIS" localSheetId="7">#REF!</definedName>
    <definedName name="UnformattedIS" localSheetId="8">#REF!</definedName>
    <definedName name="UnformattedIS">#REF!</definedName>
    <definedName name="UNID">#REF!</definedName>
    <definedName name="UnregulatedIS" localSheetId="6">#REF!</definedName>
    <definedName name="UnregulatedIS" localSheetId="7">#REF!</definedName>
    <definedName name="UnregulatedIS" localSheetId="8">#REF!</definedName>
    <definedName name="UnregulatedIS">#REF!</definedName>
    <definedName name="UserTestMode">#REF!</definedName>
    <definedName name="ValidFormats">#REF!</definedName>
    <definedName name="variable">#REF!</definedName>
    <definedName name="Variables">#REF!</definedName>
    <definedName name="VarianceStatus">#REF!</definedName>
    <definedName name="VarianceTolerance">#REF!</definedName>
    <definedName name="VendorCode" localSheetId="6">#REF!</definedName>
    <definedName name="VendorCode" localSheetId="7">#REF!</definedName>
    <definedName name="VendorCode" localSheetId="8">#REF!</definedName>
    <definedName name="VendorCode">#REF!</definedName>
    <definedName name="VendorName">#REF!</definedName>
    <definedName name="Version" localSheetId="6">#REF!</definedName>
    <definedName name="Version" localSheetId="7">#REF!</definedName>
    <definedName name="Version" localSheetId="8">#REF!</definedName>
    <definedName name="Version">#REF!</definedName>
    <definedName name="Waste_Connections__Inc.">#REF!</definedName>
    <definedName name="Waste_Management__Inc.">#REF!</definedName>
    <definedName name="WksInYr" localSheetId="6">#REF!</definedName>
    <definedName name="WksInYr" localSheetId="7">#REF!</definedName>
    <definedName name="WksInYr" localSheetId="8">#REF!</definedName>
    <definedName name="WksInYr">#REF!</definedName>
    <definedName name="WM">#REF!</definedName>
    <definedName name="wrn.PrintReview." localSheetId="6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." localSheetId="7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." localSheetId="8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.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2" localSheetId="6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2" localSheetId="7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2" localSheetId="8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2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PDXAM" localSheetId="6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PDXAM" localSheetId="7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PDXAM" localSheetId="8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PDXAM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nPg1_Pg11." localSheetId="6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wrn.PrnPg1_Pg11." localSheetId="7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wrn.PrnPg1_Pg11." localSheetId="8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wrn.PrnPg1_Pg11.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wrn.test." localSheetId="6" hidden="1">{"Page1",#N/A,TRUE,"SUMM";"Page2",#N/A,TRUE,"Rev";"Page3",#N/A,TRUE,"Dir_Costs"}</definedName>
    <definedName name="wrn.test." localSheetId="7" hidden="1">{"Page1",#N/A,TRUE,"SUMM";"Page2",#N/A,TRUE,"Rev";"Page3",#N/A,TRUE,"Dir_Costs"}</definedName>
    <definedName name="wrn.test." localSheetId="8" hidden="1">{"Page1",#N/A,TRUE,"SUMM";"Page2",#N/A,TRUE,"Rev";"Page3",#N/A,TRUE,"Dir_Costs"}</definedName>
    <definedName name="wrn.test." hidden="1">{"Page1",#N/A,TRUE,"SUMM";"Page2",#N/A,TRUE,"Rev";"Page3",#N/A,TRUE,"Dir_Costs"}</definedName>
    <definedName name="WTable" localSheetId="4">#REF!</definedName>
    <definedName name="WTable" localSheetId="2">#REF!</definedName>
    <definedName name="WTable" localSheetId="6">#REF!</definedName>
    <definedName name="WTable" localSheetId="7">#REF!</definedName>
    <definedName name="WTable" localSheetId="8">#REF!</definedName>
    <definedName name="WTable">#REF!</definedName>
    <definedName name="WTableOld" localSheetId="4">#REF!</definedName>
    <definedName name="WTableOld" localSheetId="2">#REF!</definedName>
    <definedName name="WTableOld" localSheetId="6">#REF!</definedName>
    <definedName name="WTableOld" localSheetId="7">#REF!</definedName>
    <definedName name="WTableOld" localSheetId="8">#REF!</definedName>
    <definedName name="WTableOld">#REF!</definedName>
    <definedName name="ww" localSheetId="6">#REF!</definedName>
    <definedName name="ww" localSheetId="7">#REF!</definedName>
    <definedName name="ww" localSheetId="8">#REF!</definedName>
    <definedName name="ww">#REF!</definedName>
    <definedName name="x" localSheetId="6">rank</definedName>
    <definedName name="x" localSheetId="7">rank</definedName>
    <definedName name="x" localSheetId="8">rank</definedName>
    <definedName name="x">rank</definedName>
    <definedName name="xperiod">#REF!</definedName>
    <definedName name="xtabin" localSheetId="4">#REF!</definedName>
    <definedName name="xtabin" localSheetId="2">#REF!</definedName>
    <definedName name="xtabin" localSheetId="6">#REF!</definedName>
    <definedName name="xtabin" localSheetId="7">#REF!</definedName>
    <definedName name="xtabin" localSheetId="8">#REF!</definedName>
    <definedName name="xtabin">#REF!</definedName>
    <definedName name="xx" localSheetId="4">#REF!</definedName>
    <definedName name="xx" localSheetId="2">#REF!</definedName>
    <definedName name="xx" localSheetId="6">#REF!</definedName>
    <definedName name="xx" localSheetId="7">#REF!</definedName>
    <definedName name="xx" localSheetId="8">#REF!</definedName>
    <definedName name="xx">#REF!</definedName>
    <definedName name="xxx" localSheetId="6">#REF!</definedName>
    <definedName name="xxx" localSheetId="7">#REF!</definedName>
    <definedName name="xxx" localSheetId="8">#REF!</definedName>
    <definedName name="xxx">#REF!</definedName>
    <definedName name="xxxx" localSheetId="6">#REF!</definedName>
    <definedName name="xxxx" localSheetId="7">#REF!</definedName>
    <definedName name="xxxx" localSheetId="8">#REF!</definedName>
    <definedName name="xxxx">#REF!</definedName>
    <definedName name="y_inter1" localSheetId="6">'LG Public - Clallam Total'!$X$54</definedName>
    <definedName name="y_inter1" localSheetId="7">'LG Public - Jefferson Total'!$X$54</definedName>
    <definedName name="y_inter1" localSheetId="8">'LG Public - Mill Hauls'!$X$54</definedName>
    <definedName name="y_inter1">#REF!</definedName>
    <definedName name="y_inter2" localSheetId="6">'LG Public - Clallam Total'!$X$55</definedName>
    <definedName name="y_inter2" localSheetId="7">'LG Public - Jefferson Total'!$X$55</definedName>
    <definedName name="y_inter2" localSheetId="8">'LG Public - Mill Hauls'!$X$55</definedName>
    <definedName name="y_inter2">#REF!</definedName>
    <definedName name="y_inter3" localSheetId="6">'LG Public - Clallam Total'!$Z$54</definedName>
    <definedName name="y_inter3" localSheetId="7">'LG Public - Jefferson Total'!$Z$54</definedName>
    <definedName name="y_inter3" localSheetId="8">'LG Public - Mill Hauls'!$Z$54</definedName>
    <definedName name="y_inter3">#REF!</definedName>
    <definedName name="y_inter4" localSheetId="6">'LG Public - Clallam Total'!$Z$55</definedName>
    <definedName name="y_inter4" localSheetId="7">'LG Public - Jefferson Total'!$Z$55</definedName>
    <definedName name="y_inter4" localSheetId="8">'LG Public - Mill Hauls'!$Z$55</definedName>
    <definedName name="y_inter4">#REF!</definedName>
    <definedName name="Year">#REF!</definedName>
    <definedName name="Year_of_Review">#REF!</definedName>
    <definedName name="YEAR4">#REF!</definedName>
    <definedName name="yearlycf">#REF!</definedName>
    <definedName name="yearlypl">#REF!</definedName>
    <definedName name="YearMonth" localSheetId="6">#REF!</definedName>
    <definedName name="YearMonth" localSheetId="7">#REF!</definedName>
    <definedName name="YearMonth" localSheetId="8">#REF!</definedName>
    <definedName name="YearMonth">#REF!</definedName>
    <definedName name="YearMonth_1">#REF!</definedName>
    <definedName name="YearMonthDate">#REF!</definedName>
    <definedName name="YearMonthDate2">#REF!</definedName>
    <definedName name="YearMonthDate3">#REF!</definedName>
    <definedName name="YearMonthDate4">#REF!</definedName>
    <definedName name="YearMonthDate5">#REF!</definedName>
    <definedName name="years">#REF!</definedName>
    <definedName name="yrCur">#REF!</definedName>
    <definedName name="yrNext">#REF!</definedName>
    <definedName name="YTD">#REF!</definedName>
    <definedName name="ytd_95">#REF!</definedName>
    <definedName name="YWMedWasteDisp">#N/A</definedName>
    <definedName name="yy" localSheetId="6">#REF!</definedName>
    <definedName name="yy" localSheetId="7">#REF!</definedName>
    <definedName name="yy" localSheetId="8">#REF!</definedName>
    <definedName name="yy">#REF!</definedName>
    <definedName name="Zero_Format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9" i="6" l="1"/>
  <c r="C147" i="6"/>
  <c r="C145" i="6"/>
  <c r="C143" i="6"/>
  <c r="C141" i="6"/>
  <c r="C140" i="6"/>
  <c r="C139" i="6"/>
  <c r="C138" i="6"/>
  <c r="C135" i="6"/>
  <c r="C134" i="6"/>
  <c r="C133" i="6"/>
  <c r="C132" i="6"/>
  <c r="C130" i="6"/>
  <c r="C129" i="6"/>
  <c r="C126" i="6"/>
  <c r="C124" i="6"/>
  <c r="C123" i="6"/>
  <c r="C122" i="6"/>
  <c r="C120" i="6"/>
  <c r="C118" i="6"/>
  <c r="C116" i="6"/>
  <c r="C115" i="6"/>
  <c r="C113" i="6"/>
  <c r="C112" i="6"/>
  <c r="C110" i="6"/>
  <c r="C109" i="6"/>
  <c r="C105" i="6"/>
  <c r="C103" i="6"/>
  <c r="C101" i="6"/>
  <c r="C100" i="6"/>
  <c r="C99" i="6"/>
  <c r="C98" i="6"/>
  <c r="C97" i="6"/>
  <c r="C95" i="6"/>
  <c r="C94" i="6"/>
  <c r="C93" i="6"/>
  <c r="C92" i="6"/>
  <c r="C91" i="6"/>
  <c r="C89" i="6"/>
  <c r="C88" i="6"/>
  <c r="C87" i="6"/>
  <c r="C86" i="6"/>
  <c r="C85" i="6"/>
  <c r="C83" i="6"/>
  <c r="C82" i="6"/>
  <c r="C81" i="6"/>
  <c r="C80" i="6"/>
  <c r="C79" i="6"/>
  <c r="C77" i="6"/>
  <c r="C76" i="6"/>
  <c r="C75" i="6"/>
  <c r="C74" i="6"/>
  <c r="C73" i="6"/>
  <c r="C72" i="6"/>
  <c r="C70" i="6"/>
  <c r="C69" i="6"/>
  <c r="C68" i="6"/>
  <c r="C67" i="6"/>
  <c r="C66" i="6"/>
  <c r="C65" i="6"/>
  <c r="C63" i="6"/>
  <c r="C62" i="6"/>
  <c r="C61" i="6"/>
  <c r="C60" i="6"/>
  <c r="C59" i="6"/>
  <c r="C58" i="6"/>
  <c r="C50" i="6"/>
  <c r="C49" i="6"/>
  <c r="C46" i="6"/>
  <c r="C45" i="6"/>
  <c r="C44" i="6"/>
  <c r="C43" i="6"/>
  <c r="C42" i="6"/>
  <c r="C39" i="6"/>
  <c r="C38" i="6"/>
  <c r="C37" i="6"/>
  <c r="C36" i="6"/>
  <c r="C35" i="6"/>
  <c r="C34" i="6"/>
  <c r="C33" i="6"/>
  <c r="C31" i="6"/>
  <c r="C30" i="6"/>
  <c r="C26" i="6"/>
  <c r="C25" i="6"/>
  <c r="C23" i="6"/>
  <c r="C22" i="6"/>
  <c r="C21" i="6"/>
  <c r="C20" i="6"/>
  <c r="C19" i="6"/>
  <c r="C18" i="6"/>
  <c r="C17" i="6"/>
  <c r="C16" i="6"/>
  <c r="C15" i="6"/>
  <c r="C12" i="6"/>
  <c r="C11" i="6"/>
  <c r="C8" i="6"/>
  <c r="D8" i="5"/>
  <c r="E155" i="5"/>
  <c r="D20" i="5"/>
  <c r="D23" i="5"/>
  <c r="D24" i="5"/>
  <c r="D28" i="5"/>
  <c r="D29" i="5"/>
  <c r="D30" i="5"/>
  <c r="D31" i="5"/>
  <c r="D32" i="5"/>
  <c r="D33" i="5"/>
  <c r="D34" i="5"/>
  <c r="D35" i="5"/>
  <c r="D36" i="5"/>
  <c r="D37" i="5"/>
  <c r="D42" i="5"/>
  <c r="D43" i="5"/>
  <c r="D46" i="5"/>
  <c r="D47" i="5"/>
  <c r="D50" i="5"/>
  <c r="D53" i="5"/>
  <c r="D55" i="5"/>
  <c r="D58" i="5"/>
  <c r="D59" i="5"/>
  <c r="D60" i="5"/>
  <c r="D62" i="5"/>
  <c r="D65" i="5"/>
  <c r="D66" i="5"/>
  <c r="D67" i="5"/>
  <c r="D68" i="5"/>
  <c r="D69" i="5"/>
  <c r="D70" i="5"/>
  <c r="D71" i="5"/>
  <c r="D72" i="5"/>
  <c r="D73" i="5"/>
  <c r="D75" i="5"/>
  <c r="D76" i="5"/>
  <c r="D79" i="5"/>
  <c r="D80" i="5"/>
  <c r="D82" i="5"/>
  <c r="D83" i="5"/>
  <c r="D84" i="5"/>
  <c r="D85" i="5"/>
  <c r="D86" i="5"/>
  <c r="D87" i="5"/>
  <c r="D88" i="5"/>
  <c r="D91" i="5"/>
  <c r="D92" i="5"/>
  <c r="D93" i="5"/>
  <c r="D94" i="5"/>
  <c r="D95" i="5"/>
  <c r="D100" i="5"/>
  <c r="D101" i="5"/>
  <c r="D102" i="5"/>
  <c r="D105" i="5"/>
  <c r="D106" i="5"/>
  <c r="D107" i="5"/>
  <c r="D110" i="5"/>
  <c r="D111" i="5"/>
  <c r="D112" i="5"/>
  <c r="D116" i="5"/>
  <c r="D117" i="5"/>
  <c r="D118" i="5"/>
  <c r="D121" i="5"/>
  <c r="D122" i="5"/>
  <c r="D123" i="5"/>
  <c r="D126" i="5"/>
  <c r="D127" i="5"/>
  <c r="D128" i="5"/>
  <c r="D132" i="5"/>
  <c r="D133" i="5"/>
  <c r="D134" i="5"/>
  <c r="D135" i="5"/>
  <c r="D138" i="5"/>
  <c r="D139" i="5"/>
  <c r="D143" i="5"/>
  <c r="D144" i="5"/>
  <c r="D147" i="5"/>
  <c r="D148" i="5"/>
  <c r="D151" i="5"/>
  <c r="D152" i="5"/>
  <c r="D161" i="5"/>
  <c r="D162" i="5"/>
  <c r="D163" i="5"/>
  <c r="D164" i="5"/>
  <c r="D165" i="5"/>
  <c r="D166" i="5"/>
  <c r="D167" i="5"/>
  <c r="D170" i="5"/>
  <c r="D171" i="5"/>
  <c r="D172" i="5"/>
  <c r="D173" i="5"/>
  <c r="D174" i="5"/>
  <c r="D175" i="5"/>
  <c r="D176" i="5"/>
  <c r="D179" i="5"/>
  <c r="D180" i="5"/>
  <c r="D181" i="5"/>
  <c r="D182" i="5"/>
  <c r="D183" i="5"/>
  <c r="D184" i="5"/>
  <c r="D185" i="5"/>
  <c r="D189" i="5"/>
  <c r="D190" i="5"/>
  <c r="D191" i="5"/>
  <c r="D192" i="5"/>
  <c r="D193" i="5"/>
  <c r="D196" i="5"/>
  <c r="D197" i="5"/>
  <c r="D198" i="5"/>
  <c r="D199" i="5"/>
  <c r="D200" i="5"/>
  <c r="D203" i="5"/>
  <c r="D204" i="5"/>
  <c r="D205" i="5"/>
  <c r="D206" i="5"/>
  <c r="D207" i="5"/>
  <c r="D210" i="5"/>
  <c r="D211" i="5"/>
  <c r="D212" i="5"/>
  <c r="D213" i="5"/>
  <c r="D214" i="5"/>
  <c r="D216" i="5"/>
  <c r="D218" i="5"/>
  <c r="D222" i="5"/>
  <c r="D223" i="5"/>
  <c r="D225" i="5"/>
  <c r="D226" i="5"/>
  <c r="D228" i="5"/>
  <c r="D229" i="5"/>
  <c r="D231" i="5"/>
  <c r="D233" i="5"/>
  <c r="D235" i="5"/>
  <c r="D236" i="5"/>
  <c r="D237" i="5"/>
  <c r="D239" i="5"/>
  <c r="D243" i="5"/>
  <c r="D244" i="5"/>
  <c r="D246" i="5"/>
  <c r="D247" i="5"/>
  <c r="D248" i="5"/>
  <c r="D249" i="5"/>
  <c r="D251" i="5"/>
  <c r="D252" i="5"/>
  <c r="D253" i="5"/>
  <c r="D254" i="5"/>
  <c r="D256" i="5"/>
  <c r="D258" i="5"/>
  <c r="D260" i="5"/>
  <c r="D262" i="5"/>
  <c r="D265" i="5"/>
  <c r="D266" i="5"/>
  <c r="D268" i="5"/>
  <c r="D270" i="5"/>
  <c r="D274" i="5"/>
  <c r="D275" i="5"/>
  <c r="D276" i="5"/>
  <c r="D277" i="5"/>
  <c r="D278" i="5"/>
  <c r="D282" i="5"/>
  <c r="D283" i="5"/>
  <c r="D284" i="5"/>
  <c r="D285" i="5"/>
  <c r="D286" i="5"/>
  <c r="D289" i="5"/>
  <c r="D290" i="5"/>
  <c r="D291" i="5"/>
  <c r="D292" i="5"/>
  <c r="D293" i="5"/>
  <c r="D296" i="5"/>
  <c r="D297" i="5"/>
  <c r="D298" i="5"/>
  <c r="D299" i="5"/>
  <c r="D300" i="5"/>
  <c r="D304" i="5"/>
  <c r="D305" i="5"/>
  <c r="D306" i="5"/>
  <c r="D307" i="5"/>
  <c r="D308" i="5"/>
  <c r="D311" i="5"/>
  <c r="D312" i="5"/>
  <c r="D313" i="5"/>
  <c r="D314" i="5"/>
  <c r="D315" i="5"/>
  <c r="D317" i="5"/>
  <c r="D321" i="5"/>
  <c r="D322" i="5"/>
  <c r="D325" i="5"/>
  <c r="D326" i="5"/>
  <c r="D328" i="5"/>
  <c r="D330" i="5"/>
  <c r="D335" i="5"/>
  <c r="D336" i="5"/>
  <c r="D337" i="5"/>
  <c r="D338" i="5"/>
  <c r="D339" i="5"/>
  <c r="D343" i="5"/>
  <c r="D344" i="5"/>
  <c r="D345" i="5"/>
  <c r="D346" i="5"/>
  <c r="D347" i="5"/>
  <c r="D349" i="5"/>
  <c r="D351" i="5"/>
  <c r="D353" i="5"/>
  <c r="D358" i="5"/>
  <c r="D359" i="5"/>
  <c r="D360" i="5"/>
  <c r="D361" i="5"/>
  <c r="D362" i="5"/>
  <c r="D363" i="5"/>
  <c r="D365" i="5"/>
  <c r="D367" i="5"/>
  <c r="D369" i="5"/>
  <c r="D371" i="5"/>
  <c r="D17" i="5"/>
  <c r="D15" i="5"/>
  <c r="D16" i="5"/>
  <c r="D14" i="5"/>
  <c r="D11" i="5"/>
  <c r="B149" i="6"/>
  <c r="S58" i="9" l="1"/>
  <c r="U56" i="9"/>
  <c r="U55" i="9"/>
  <c r="J45" i="9"/>
  <c r="J44" i="9"/>
  <c r="J43" i="9"/>
  <c r="V39" i="9"/>
  <c r="V38" i="9"/>
  <c r="K38" i="9"/>
  <c r="Z67" i="9" s="1"/>
  <c r="J38" i="9"/>
  <c r="Y67" i="9" s="1"/>
  <c r="V37" i="9"/>
  <c r="V36" i="9"/>
  <c r="V34" i="9"/>
  <c r="V33" i="9"/>
  <c r="V32" i="9"/>
  <c r="V31" i="9"/>
  <c r="V29" i="9"/>
  <c r="V28" i="9"/>
  <c r="V27" i="9"/>
  <c r="V26" i="9"/>
  <c r="V24" i="9"/>
  <c r="V23" i="9"/>
  <c r="V22" i="9"/>
  <c r="V21" i="9"/>
  <c r="AC19" i="9"/>
  <c r="V19" i="9"/>
  <c r="V18" i="9"/>
  <c r="V17" i="9"/>
  <c r="V16" i="9"/>
  <c r="V14" i="9"/>
  <c r="J46" i="9"/>
  <c r="V13" i="9"/>
  <c r="V12" i="9"/>
  <c r="V11" i="9"/>
  <c r="F11" i="9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48" i="9" s="1"/>
  <c r="F49" i="9" s="1"/>
  <c r="V9" i="9"/>
  <c r="F9" i="9"/>
  <c r="F10" i="9" s="1"/>
  <c r="K27" i="9"/>
  <c r="V8" i="9"/>
  <c r="I8" i="9"/>
  <c r="F8" i="9"/>
  <c r="I27" i="9"/>
  <c r="AC26" i="9" s="1"/>
  <c r="V7" i="9"/>
  <c r="J28" i="9"/>
  <c r="AC6" i="9"/>
  <c r="Y6" i="9"/>
  <c r="Y7" i="9" s="1"/>
  <c r="Y8" i="9" s="1"/>
  <c r="Y9" i="9" s="1"/>
  <c r="Y11" i="9" s="1"/>
  <c r="Y12" i="9" s="1"/>
  <c r="Y13" i="9" s="1"/>
  <c r="Y14" i="9" s="1"/>
  <c r="Y16" i="9" s="1"/>
  <c r="Y17" i="9" s="1"/>
  <c r="Y18" i="9" s="1"/>
  <c r="Y19" i="9" s="1"/>
  <c r="Y21" i="9" s="1"/>
  <c r="Y22" i="9" s="1"/>
  <c r="Y23" i="9" s="1"/>
  <c r="Y24" i="9" s="1"/>
  <c r="Y26" i="9" s="1"/>
  <c r="Y27" i="9" s="1"/>
  <c r="Y28" i="9" s="1"/>
  <c r="Y29" i="9" s="1"/>
  <c r="Y31" i="9" s="1"/>
  <c r="Y32" i="9" s="1"/>
  <c r="Y33" i="9" s="1"/>
  <c r="Y34" i="9" s="1"/>
  <c r="Y36" i="9" s="1"/>
  <c r="Y37" i="9" s="1"/>
  <c r="Y38" i="9" s="1"/>
  <c r="Y39" i="9" s="1"/>
  <c r="V6" i="9"/>
  <c r="I7" i="9"/>
  <c r="S6" i="9" l="1"/>
  <c r="I9" i="9"/>
  <c r="S7" i="9"/>
  <c r="J19" i="9"/>
  <c r="I16" i="9"/>
  <c r="K8" i="9"/>
  <c r="S8" i="9"/>
  <c r="S9" i="9"/>
  <c r="L27" i="9"/>
  <c r="AC23" i="9"/>
  <c r="AC7" i="9"/>
  <c r="AC21" i="9"/>
  <c r="AC37" i="9"/>
  <c r="AC29" i="9"/>
  <c r="AC28" i="9"/>
  <c r="AC27" i="9"/>
  <c r="I26" i="9"/>
  <c r="AC33" i="9"/>
  <c r="AC39" i="9"/>
  <c r="AC38" i="9"/>
  <c r="AC36" i="9"/>
  <c r="J27" i="9"/>
  <c r="M27" i="9" s="1"/>
  <c r="K11" i="9" s="1"/>
  <c r="AC34" i="9"/>
  <c r="AC32" i="9"/>
  <c r="AC31" i="9"/>
  <c r="AC24" i="9"/>
  <c r="AC8" i="9"/>
  <c r="AC9" i="9"/>
  <c r="AC11" i="9"/>
  <c r="AC12" i="9"/>
  <c r="AC13" i="9"/>
  <c r="AC14" i="9"/>
  <c r="AC16" i="9"/>
  <c r="AC17" i="9"/>
  <c r="AC18" i="9"/>
  <c r="AC22" i="9"/>
  <c r="J47" i="9"/>
  <c r="I11" i="9" l="1"/>
  <c r="M11" i="9"/>
  <c r="I28" i="9"/>
  <c r="J26" i="9"/>
  <c r="T8" i="9"/>
  <c r="U8" i="9" s="1"/>
  <c r="W8" i="9" s="1"/>
  <c r="X8" i="9" s="1"/>
  <c r="Z8" i="9" s="1"/>
  <c r="AA8" i="9" s="1"/>
  <c r="AB8" i="9" s="1"/>
  <c r="AD8" i="9" s="1"/>
  <c r="AE8" i="9" s="1"/>
  <c r="AF8" i="9" s="1"/>
  <c r="AG8" i="9" s="1"/>
  <c r="AH8" i="9" s="1"/>
  <c r="T9" i="9"/>
  <c r="U9" i="9" s="1"/>
  <c r="W9" i="9" s="1"/>
  <c r="X9" i="9" s="1"/>
  <c r="Z9" i="9" s="1"/>
  <c r="AA9" i="9" s="1"/>
  <c r="AB9" i="9" s="1"/>
  <c r="AD9" i="9" s="1"/>
  <c r="AE9" i="9" s="1"/>
  <c r="AF9" i="9" s="1"/>
  <c r="AG9" i="9" s="1"/>
  <c r="AH9" i="9" s="1"/>
  <c r="T7" i="9"/>
  <c r="U7" i="9" s="1"/>
  <c r="W7" i="9" s="1"/>
  <c r="X7" i="9" s="1"/>
  <c r="Z7" i="9" s="1"/>
  <c r="AA7" i="9" s="1"/>
  <c r="AB7" i="9" s="1"/>
  <c r="AD7" i="9" s="1"/>
  <c r="AE7" i="9" s="1"/>
  <c r="AF7" i="9" s="1"/>
  <c r="AG7" i="9" s="1"/>
  <c r="AH7" i="9" s="1"/>
  <c r="T6" i="9"/>
  <c r="U6" i="9" s="1"/>
  <c r="W6" i="9" s="1"/>
  <c r="X6" i="9" s="1"/>
  <c r="Z6" i="9" s="1"/>
  <c r="AA6" i="9" s="1"/>
  <c r="AB6" i="9" s="1"/>
  <c r="AD6" i="9" s="1"/>
  <c r="AE6" i="9" s="1"/>
  <c r="AF6" i="9" s="1"/>
  <c r="AG6" i="9" s="1"/>
  <c r="AH6" i="9" s="1"/>
  <c r="G5" i="6" l="1"/>
  <c r="H5" i="5"/>
  <c r="H6" i="5" s="1"/>
  <c r="S58" i="8"/>
  <c r="U56" i="8"/>
  <c r="U55" i="8"/>
  <c r="J45" i="8"/>
  <c r="J44" i="8"/>
  <c r="J43" i="8"/>
  <c r="V39" i="8"/>
  <c r="V38" i="8"/>
  <c r="K38" i="8"/>
  <c r="Z67" i="8" s="1"/>
  <c r="J38" i="8"/>
  <c r="Y67" i="8" s="1"/>
  <c r="V37" i="8"/>
  <c r="V36" i="8"/>
  <c r="V34" i="8"/>
  <c r="V33" i="8"/>
  <c r="V32" i="8"/>
  <c r="V31" i="8"/>
  <c r="V29" i="8"/>
  <c r="V28" i="8"/>
  <c r="V27" i="8"/>
  <c r="V26" i="8"/>
  <c r="V24" i="8"/>
  <c r="V23" i="8"/>
  <c r="V22" i="8"/>
  <c r="V21" i="8"/>
  <c r="V19" i="8"/>
  <c r="V18" i="8"/>
  <c r="V17" i="8"/>
  <c r="V16" i="8"/>
  <c r="V14" i="8"/>
  <c r="J46" i="8"/>
  <c r="V13" i="8"/>
  <c r="V12" i="8"/>
  <c r="V11" i="8"/>
  <c r="V9" i="8"/>
  <c r="K27" i="8"/>
  <c r="V8" i="8"/>
  <c r="F8" i="8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I27" i="8"/>
  <c r="V7" i="8"/>
  <c r="J28" i="8"/>
  <c r="Y6" i="8"/>
  <c r="Y7" i="8" s="1"/>
  <c r="Y8" i="8" s="1"/>
  <c r="Y9" i="8" s="1"/>
  <c r="Y11" i="8" s="1"/>
  <c r="Y12" i="8" s="1"/>
  <c r="Y13" i="8" s="1"/>
  <c r="Y14" i="8" s="1"/>
  <c r="Y16" i="8" s="1"/>
  <c r="Y17" i="8" s="1"/>
  <c r="Y18" i="8" s="1"/>
  <c r="Y19" i="8" s="1"/>
  <c r="Y21" i="8" s="1"/>
  <c r="Y22" i="8" s="1"/>
  <c r="Y23" i="8" s="1"/>
  <c r="Y24" i="8" s="1"/>
  <c r="Y26" i="8" s="1"/>
  <c r="Y27" i="8" s="1"/>
  <c r="Y28" i="8" s="1"/>
  <c r="Y29" i="8" s="1"/>
  <c r="Y31" i="8" s="1"/>
  <c r="Y32" i="8" s="1"/>
  <c r="Y33" i="8" s="1"/>
  <c r="Y34" i="8" s="1"/>
  <c r="Y36" i="8" s="1"/>
  <c r="Y37" i="8" s="1"/>
  <c r="Y38" i="8" s="1"/>
  <c r="Y39" i="8" s="1"/>
  <c r="V6" i="8"/>
  <c r="I8" i="8"/>
  <c r="I7" i="8"/>
  <c r="S58" i="7"/>
  <c r="U56" i="7"/>
  <c r="U55" i="7"/>
  <c r="J45" i="7"/>
  <c r="J44" i="7"/>
  <c r="J43" i="7"/>
  <c r="V39" i="7"/>
  <c r="V38" i="7"/>
  <c r="J38" i="7"/>
  <c r="Y67" i="7" s="1"/>
  <c r="V37" i="7"/>
  <c r="V36" i="7"/>
  <c r="V34" i="7"/>
  <c r="V33" i="7"/>
  <c r="V32" i="7"/>
  <c r="V31" i="7"/>
  <c r="V29" i="7"/>
  <c r="V28" i="7"/>
  <c r="V27" i="7"/>
  <c r="V26" i="7"/>
  <c r="V24" i="7"/>
  <c r="V23" i="7"/>
  <c r="V22" i="7"/>
  <c r="V21" i="7"/>
  <c r="V19" i="7"/>
  <c r="V18" i="7"/>
  <c r="V17" i="7"/>
  <c r="V16" i="7"/>
  <c r="V14" i="7"/>
  <c r="J46" i="7"/>
  <c r="V13" i="7"/>
  <c r="V12" i="7"/>
  <c r="V11" i="7"/>
  <c r="V9" i="7"/>
  <c r="F9" i="7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K27" i="7"/>
  <c r="V8" i="7"/>
  <c r="F8" i="7"/>
  <c r="I27" i="7"/>
  <c r="AC7" i="7" s="1"/>
  <c r="V7" i="7"/>
  <c r="J28" i="7"/>
  <c r="Y6" i="7"/>
  <c r="Y7" i="7" s="1"/>
  <c r="Y8" i="7" s="1"/>
  <c r="Y9" i="7" s="1"/>
  <c r="Y11" i="7" s="1"/>
  <c r="Y12" i="7" s="1"/>
  <c r="Y13" i="7" s="1"/>
  <c r="Y14" i="7" s="1"/>
  <c r="Y16" i="7" s="1"/>
  <c r="Y17" i="7" s="1"/>
  <c r="Y18" i="7" s="1"/>
  <c r="Y19" i="7" s="1"/>
  <c r="Y21" i="7" s="1"/>
  <c r="Y22" i="7" s="1"/>
  <c r="Y23" i="7" s="1"/>
  <c r="Y24" i="7" s="1"/>
  <c r="Y26" i="7" s="1"/>
  <c r="Y27" i="7" s="1"/>
  <c r="Y28" i="7" s="1"/>
  <c r="Y29" i="7" s="1"/>
  <c r="Y31" i="7" s="1"/>
  <c r="Y32" i="7" s="1"/>
  <c r="Y33" i="7" s="1"/>
  <c r="Y34" i="7" s="1"/>
  <c r="Y36" i="7" s="1"/>
  <c r="Y37" i="7" s="1"/>
  <c r="Y38" i="7" s="1"/>
  <c r="Y39" i="7" s="1"/>
  <c r="V6" i="7"/>
  <c r="I8" i="7"/>
  <c r="I7" i="7"/>
  <c r="C55" i="6"/>
  <c r="C54" i="6"/>
  <c r="D53" i="6"/>
  <c r="E157" i="5"/>
  <c r="E156" i="5"/>
  <c r="AF9" i="4"/>
  <c r="AE9" i="4"/>
  <c r="AD9" i="4"/>
  <c r="AC9" i="4"/>
  <c r="AB9" i="4"/>
  <c r="AA9" i="4"/>
  <c r="Z9" i="4"/>
  <c r="Y9" i="4"/>
  <c r="X9" i="4"/>
  <c r="W9" i="4"/>
  <c r="V9" i="4"/>
  <c r="U9" i="4"/>
  <c r="AG9" i="4" s="1"/>
  <c r="AF8" i="4"/>
  <c r="AE8" i="4"/>
  <c r="AD8" i="4"/>
  <c r="AC8" i="4"/>
  <c r="AB8" i="4"/>
  <c r="AA8" i="4"/>
  <c r="Z8" i="4"/>
  <c r="Y8" i="4"/>
  <c r="X8" i="4"/>
  <c r="W8" i="4"/>
  <c r="V8" i="4"/>
  <c r="U8" i="4"/>
  <c r="AG8" i="4" s="1"/>
  <c r="AF7" i="4"/>
  <c r="AE7" i="4"/>
  <c r="AD7" i="4"/>
  <c r="AC7" i="4"/>
  <c r="AB7" i="4"/>
  <c r="AA7" i="4"/>
  <c r="Z7" i="4"/>
  <c r="Y7" i="4"/>
  <c r="X7" i="4"/>
  <c r="W7" i="4"/>
  <c r="V7" i="4"/>
  <c r="U7" i="4"/>
  <c r="AG7" i="4" s="1"/>
  <c r="AF6" i="4"/>
  <c r="AE6" i="4"/>
  <c r="AD6" i="4"/>
  <c r="AC6" i="4"/>
  <c r="AB6" i="4"/>
  <c r="AA6" i="4"/>
  <c r="Z6" i="4"/>
  <c r="Y6" i="4"/>
  <c r="X6" i="4"/>
  <c r="W6" i="4"/>
  <c r="V6" i="4"/>
  <c r="U6" i="4"/>
  <c r="AG6" i="4" s="1"/>
  <c r="J4" i="4"/>
  <c r="K4" i="4" s="1"/>
  <c r="L4" i="4" s="1"/>
  <c r="M4" i="4" s="1"/>
  <c r="N4" i="4" s="1"/>
  <c r="O4" i="4" s="1"/>
  <c r="P4" i="4" s="1"/>
  <c r="Q4" i="4" s="1"/>
  <c r="R4" i="4" s="1"/>
  <c r="I4" i="4"/>
  <c r="A4" i="4"/>
  <c r="A2" i="4"/>
  <c r="A1" i="4"/>
  <c r="AU69" i="3"/>
  <c r="AW60" i="3"/>
  <c r="AV60" i="3"/>
  <c r="S59" i="3"/>
  <c r="R59" i="3"/>
  <c r="Q59" i="3"/>
  <c r="P59" i="3"/>
  <c r="O59" i="3"/>
  <c r="N59" i="3"/>
  <c r="M59" i="3"/>
  <c r="L59" i="3"/>
  <c r="K59" i="3"/>
  <c r="J59" i="3"/>
  <c r="I59" i="3"/>
  <c r="H59" i="3"/>
  <c r="T57" i="3"/>
  <c r="A57" i="3"/>
  <c r="T56" i="3"/>
  <c r="T59" i="3" s="1"/>
  <c r="E56" i="3"/>
  <c r="A56" i="3"/>
  <c r="S54" i="3"/>
  <c r="R54" i="3"/>
  <c r="Q54" i="3"/>
  <c r="P54" i="3"/>
  <c r="O54" i="3"/>
  <c r="N54" i="3"/>
  <c r="M54" i="3"/>
  <c r="L54" i="3"/>
  <c r="K54" i="3"/>
  <c r="J54" i="3"/>
  <c r="I54" i="3"/>
  <c r="H54" i="3"/>
  <c r="T54" i="3" s="1"/>
  <c r="AV52" i="3"/>
  <c r="T52" i="3"/>
  <c r="E52" i="3"/>
  <c r="A52" i="3"/>
  <c r="AW50" i="3"/>
  <c r="AV50" i="3"/>
  <c r="AU50" i="3"/>
  <c r="S49" i="3"/>
  <c r="R49" i="3"/>
  <c r="Q49" i="3"/>
  <c r="P49" i="3"/>
  <c r="O49" i="3"/>
  <c r="N49" i="3"/>
  <c r="M49" i="3"/>
  <c r="L49" i="3"/>
  <c r="K49" i="3"/>
  <c r="J49" i="3"/>
  <c r="I49" i="3"/>
  <c r="H49" i="3"/>
  <c r="T49" i="3" s="1"/>
  <c r="T47" i="3"/>
  <c r="AV47" i="3" s="1"/>
  <c r="AW47" i="3" s="1"/>
  <c r="E47" i="3"/>
  <c r="A47" i="3"/>
  <c r="AQ44" i="3"/>
  <c r="AO44" i="3"/>
  <c r="S44" i="3"/>
  <c r="R44" i="3"/>
  <c r="Q44" i="3"/>
  <c r="P44" i="3"/>
  <c r="O44" i="3"/>
  <c r="N44" i="3"/>
  <c r="M44" i="3"/>
  <c r="L44" i="3"/>
  <c r="K44" i="3"/>
  <c r="J44" i="3"/>
  <c r="I44" i="3"/>
  <c r="H44" i="3"/>
  <c r="AG42" i="3"/>
  <c r="AF42" i="3"/>
  <c r="AE42" i="3"/>
  <c r="AD42" i="3"/>
  <c r="AC42" i="3"/>
  <c r="AB42" i="3"/>
  <c r="AA42" i="3"/>
  <c r="Z42" i="3"/>
  <c r="Y42" i="3"/>
  <c r="X42" i="3"/>
  <c r="W42" i="3"/>
  <c r="AI42" i="3" s="1"/>
  <c r="T42" i="3"/>
  <c r="E42" i="3"/>
  <c r="AH42" i="3" s="1"/>
  <c r="A42" i="3"/>
  <c r="AH41" i="3"/>
  <c r="AG41" i="3"/>
  <c r="AF41" i="3"/>
  <c r="AE41" i="3"/>
  <c r="AD41" i="3"/>
  <c r="AC41" i="3"/>
  <c r="AB41" i="3"/>
  <c r="AA41" i="3"/>
  <c r="Z41" i="3"/>
  <c r="Y41" i="3"/>
  <c r="X41" i="3"/>
  <c r="W41" i="3"/>
  <c r="T41" i="3"/>
  <c r="E41" i="3"/>
  <c r="A41" i="3"/>
  <c r="AH40" i="3"/>
  <c r="AG40" i="3"/>
  <c r="AF40" i="3"/>
  <c r="AE40" i="3"/>
  <c r="AD40" i="3"/>
  <c r="AC40" i="3"/>
  <c r="AB40" i="3"/>
  <c r="AA40" i="3"/>
  <c r="Z40" i="3"/>
  <c r="Y40" i="3"/>
  <c r="X40" i="3"/>
  <c r="W40" i="3"/>
  <c r="T40" i="3"/>
  <c r="E40" i="3"/>
  <c r="A40" i="3"/>
  <c r="AH39" i="3"/>
  <c r="AG39" i="3"/>
  <c r="AF39" i="3"/>
  <c r="AE39" i="3"/>
  <c r="AD39" i="3"/>
  <c r="AC39" i="3"/>
  <c r="AB39" i="3"/>
  <c r="AA39" i="3"/>
  <c r="Z39" i="3"/>
  <c r="Y39" i="3"/>
  <c r="X39" i="3"/>
  <c r="W39" i="3"/>
  <c r="AI39" i="3" s="1"/>
  <c r="T39" i="3"/>
  <c r="E39" i="3"/>
  <c r="A39" i="3"/>
  <c r="AH38" i="3"/>
  <c r="AG38" i="3"/>
  <c r="AF38" i="3"/>
  <c r="AE38" i="3"/>
  <c r="AD38" i="3"/>
  <c r="AC38" i="3"/>
  <c r="AB38" i="3"/>
  <c r="AA38" i="3"/>
  <c r="Z38" i="3"/>
  <c r="Y38" i="3"/>
  <c r="X38" i="3"/>
  <c r="W38" i="3"/>
  <c r="AI38" i="3" s="1"/>
  <c r="AS38" i="3" s="1"/>
  <c r="T38" i="3"/>
  <c r="E38" i="3"/>
  <c r="A38" i="3"/>
  <c r="AH37" i="3"/>
  <c r="AG37" i="3"/>
  <c r="AF37" i="3"/>
  <c r="AE37" i="3"/>
  <c r="AD37" i="3"/>
  <c r="AC37" i="3"/>
  <c r="AB37" i="3"/>
  <c r="AA37" i="3"/>
  <c r="Z37" i="3"/>
  <c r="Y37" i="3"/>
  <c r="X37" i="3"/>
  <c r="W37" i="3"/>
  <c r="AI37" i="3" s="1"/>
  <c r="AS37" i="3" s="1"/>
  <c r="T37" i="3"/>
  <c r="E37" i="3"/>
  <c r="A37" i="3"/>
  <c r="AH36" i="3"/>
  <c r="AG36" i="3"/>
  <c r="AF36" i="3"/>
  <c r="AE36" i="3"/>
  <c r="AD36" i="3"/>
  <c r="AC36" i="3"/>
  <c r="AB36" i="3"/>
  <c r="AA36" i="3"/>
  <c r="Z36" i="3"/>
  <c r="Y36" i="3"/>
  <c r="X36" i="3"/>
  <c r="W36" i="3"/>
  <c r="AI36" i="3" s="1"/>
  <c r="AS36" i="3" s="1"/>
  <c r="T36" i="3"/>
  <c r="E36" i="3"/>
  <c r="A36" i="3"/>
  <c r="AH35" i="3"/>
  <c r="AG35" i="3"/>
  <c r="AF35" i="3"/>
  <c r="AE35" i="3"/>
  <c r="AD35" i="3"/>
  <c r="AC35" i="3"/>
  <c r="AB35" i="3"/>
  <c r="AA35" i="3"/>
  <c r="Z35" i="3"/>
  <c r="Y35" i="3"/>
  <c r="X35" i="3"/>
  <c r="W35" i="3"/>
  <c r="AI35" i="3" s="1"/>
  <c r="T35" i="3"/>
  <c r="E35" i="3"/>
  <c r="A35" i="3"/>
  <c r="AH34" i="3"/>
  <c r="AG34" i="3"/>
  <c r="AF34" i="3"/>
  <c r="AE34" i="3"/>
  <c r="AD34" i="3"/>
  <c r="AC34" i="3"/>
  <c r="AB34" i="3"/>
  <c r="AA34" i="3"/>
  <c r="Z34" i="3"/>
  <c r="Y34" i="3"/>
  <c r="X34" i="3"/>
  <c r="W34" i="3"/>
  <c r="T34" i="3"/>
  <c r="E34" i="3"/>
  <c r="A34" i="3"/>
  <c r="AH33" i="3"/>
  <c r="AG33" i="3"/>
  <c r="AF33" i="3"/>
  <c r="AE33" i="3"/>
  <c r="AD33" i="3"/>
  <c r="AC33" i="3"/>
  <c r="AB33" i="3"/>
  <c r="AA33" i="3"/>
  <c r="Z33" i="3"/>
  <c r="Y33" i="3"/>
  <c r="X33" i="3"/>
  <c r="W33" i="3"/>
  <c r="T33" i="3"/>
  <c r="E33" i="3"/>
  <c r="A33" i="3"/>
  <c r="AH32" i="3"/>
  <c r="AG32" i="3"/>
  <c r="AF32" i="3"/>
  <c r="AE32" i="3"/>
  <c r="AD32" i="3"/>
  <c r="AC32" i="3"/>
  <c r="AB32" i="3"/>
  <c r="AA32" i="3"/>
  <c r="Z32" i="3"/>
  <c r="Y32" i="3"/>
  <c r="X32" i="3"/>
  <c r="W32" i="3"/>
  <c r="AI32" i="3" s="1"/>
  <c r="T32" i="3"/>
  <c r="E32" i="3"/>
  <c r="A32" i="3"/>
  <c r="AH31" i="3"/>
  <c r="AG31" i="3"/>
  <c r="AF31" i="3"/>
  <c r="AE31" i="3"/>
  <c r="AD31" i="3"/>
  <c r="AC31" i="3"/>
  <c r="AB31" i="3"/>
  <c r="AA31" i="3"/>
  <c r="Z31" i="3"/>
  <c r="Y31" i="3"/>
  <c r="X31" i="3"/>
  <c r="W31" i="3"/>
  <c r="AI31" i="3" s="1"/>
  <c r="T31" i="3"/>
  <c r="E31" i="3"/>
  <c r="A31" i="3"/>
  <c r="AG30" i="3"/>
  <c r="AF30" i="3"/>
  <c r="AE30" i="3"/>
  <c r="AD30" i="3"/>
  <c r="AC30" i="3"/>
  <c r="AB30" i="3"/>
  <c r="AA30" i="3"/>
  <c r="Z30" i="3"/>
  <c r="Y30" i="3"/>
  <c r="X30" i="3"/>
  <c r="W30" i="3"/>
  <c r="AI30" i="3" s="1"/>
  <c r="T30" i="3"/>
  <c r="E30" i="3"/>
  <c r="AH30" i="3" s="1"/>
  <c r="A30" i="3"/>
  <c r="AH29" i="3"/>
  <c r="AG29" i="3"/>
  <c r="AF29" i="3"/>
  <c r="AE29" i="3"/>
  <c r="AD29" i="3"/>
  <c r="AC29" i="3"/>
  <c r="AB29" i="3"/>
  <c r="AA29" i="3"/>
  <c r="Z29" i="3"/>
  <c r="Y29" i="3"/>
  <c r="X29" i="3"/>
  <c r="W29" i="3"/>
  <c r="AI29" i="3" s="1"/>
  <c r="T29" i="3"/>
  <c r="E29" i="3"/>
  <c r="A29" i="3"/>
  <c r="AS28" i="3"/>
  <c r="AG28" i="3"/>
  <c r="AF28" i="3"/>
  <c r="AE28" i="3"/>
  <c r="AD28" i="3"/>
  <c r="AC28" i="3"/>
  <c r="AB28" i="3"/>
  <c r="AA28" i="3"/>
  <c r="Z28" i="3"/>
  <c r="Y28" i="3"/>
  <c r="X28" i="3"/>
  <c r="W28" i="3"/>
  <c r="T28" i="3"/>
  <c r="E28" i="3"/>
  <c r="AH28" i="3" s="1"/>
  <c r="A28" i="3"/>
  <c r="AG27" i="3"/>
  <c r="AG44" i="3" s="1"/>
  <c r="AF27" i="3"/>
  <c r="AF44" i="3" s="1"/>
  <c r="AE27" i="3"/>
  <c r="AD27" i="3"/>
  <c r="AC27" i="3"/>
  <c r="AC44" i="3" s="1"/>
  <c r="AB27" i="3"/>
  <c r="AB44" i="3" s="1"/>
  <c r="AA27" i="3"/>
  <c r="Z27" i="3"/>
  <c r="Y27" i="3"/>
  <c r="Y44" i="3" s="1"/>
  <c r="X27" i="3"/>
  <c r="X44" i="3" s="1"/>
  <c r="W27" i="3"/>
  <c r="T27" i="3"/>
  <c r="E27" i="3"/>
  <c r="AH27" i="3" s="1"/>
  <c r="A27" i="3"/>
  <c r="AH26" i="3"/>
  <c r="AG26" i="3"/>
  <c r="AF26" i="3"/>
  <c r="AE26" i="3"/>
  <c r="AD26" i="3"/>
  <c r="AC26" i="3"/>
  <c r="AB26" i="3"/>
  <c r="AA26" i="3"/>
  <c r="Z26" i="3"/>
  <c r="Y26" i="3"/>
  <c r="X26" i="3"/>
  <c r="W26" i="3"/>
  <c r="AI26" i="3" s="1"/>
  <c r="T26" i="3"/>
  <c r="E26" i="3"/>
  <c r="A26" i="3"/>
  <c r="AS21" i="3"/>
  <c r="AO21" i="3"/>
  <c r="AO64" i="3" s="1"/>
  <c r="S21" i="3"/>
  <c r="S64" i="3" s="1"/>
  <c r="R21" i="3"/>
  <c r="R64" i="3" s="1"/>
  <c r="Q21" i="3"/>
  <c r="Q64" i="3" s="1"/>
  <c r="P21" i="3"/>
  <c r="O21" i="3"/>
  <c r="O64" i="3" s="1"/>
  <c r="N21" i="3"/>
  <c r="N64" i="3" s="1"/>
  <c r="M21" i="3"/>
  <c r="M64" i="3" s="1"/>
  <c r="L21" i="3"/>
  <c r="K21" i="3"/>
  <c r="K64" i="3" s="1"/>
  <c r="J21" i="3"/>
  <c r="J64" i="3" s="1"/>
  <c r="I21" i="3"/>
  <c r="I64" i="3" s="1"/>
  <c r="H21" i="3"/>
  <c r="AH19" i="3"/>
  <c r="AG19" i="3"/>
  <c r="AF19" i="3"/>
  <c r="AE19" i="3"/>
  <c r="AD19" i="3"/>
  <c r="AC19" i="3"/>
  <c r="AB19" i="3"/>
  <c r="AA19" i="3"/>
  <c r="Z19" i="3"/>
  <c r="Y19" i="3"/>
  <c r="X19" i="3"/>
  <c r="W19" i="3"/>
  <c r="AI19" i="3" s="1"/>
  <c r="T19" i="3"/>
  <c r="E19" i="3"/>
  <c r="A19" i="3"/>
  <c r="AH18" i="3"/>
  <c r="AG18" i="3"/>
  <c r="AF18" i="3"/>
  <c r="AE18" i="3"/>
  <c r="AD18" i="3"/>
  <c r="AC18" i="3"/>
  <c r="AB18" i="3"/>
  <c r="AA18" i="3"/>
  <c r="Z18" i="3"/>
  <c r="Y18" i="3"/>
  <c r="X18" i="3"/>
  <c r="W18" i="3"/>
  <c r="AI18" i="3" s="1"/>
  <c r="T18" i="3"/>
  <c r="E18" i="3"/>
  <c r="A18" i="3"/>
  <c r="AG17" i="3"/>
  <c r="AF17" i="3"/>
  <c r="AE17" i="3"/>
  <c r="AD17" i="3"/>
  <c r="AC17" i="3"/>
  <c r="AB17" i="3"/>
  <c r="AA17" i="3"/>
  <c r="Z17" i="3"/>
  <c r="Y17" i="3"/>
  <c r="X17" i="3"/>
  <c r="W17" i="3"/>
  <c r="T17" i="3"/>
  <c r="E17" i="3"/>
  <c r="AH17" i="3" s="1"/>
  <c r="A17" i="3"/>
  <c r="AG16" i="3"/>
  <c r="AF16" i="3"/>
  <c r="AE16" i="3"/>
  <c r="AD16" i="3"/>
  <c r="AC16" i="3"/>
  <c r="AB16" i="3"/>
  <c r="AA16" i="3"/>
  <c r="Z16" i="3"/>
  <c r="Y16" i="3"/>
  <c r="X16" i="3"/>
  <c r="W16" i="3"/>
  <c r="AI16" i="3" s="1"/>
  <c r="AQ16" i="3" s="1"/>
  <c r="T16" i="3"/>
  <c r="E16" i="3"/>
  <c r="AH16" i="3" s="1"/>
  <c r="A16" i="3"/>
  <c r="AG15" i="3"/>
  <c r="AG21" i="3" s="1"/>
  <c r="AF15" i="3"/>
  <c r="AE15" i="3"/>
  <c r="AD15" i="3"/>
  <c r="AC15" i="3"/>
  <c r="AC21" i="3" s="1"/>
  <c r="AB15" i="3"/>
  <c r="AA15" i="3"/>
  <c r="Z15" i="3"/>
  <c r="Y15" i="3"/>
  <c r="Y21" i="3" s="1"/>
  <c r="X15" i="3"/>
  <c r="W15" i="3"/>
  <c r="T15" i="3"/>
  <c r="E15" i="3"/>
  <c r="AH15" i="3" s="1"/>
  <c r="A15" i="3"/>
  <c r="AT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AI14" i="3" s="1"/>
  <c r="AQ14" i="3" s="1"/>
  <c r="T14" i="3"/>
  <c r="E14" i="3"/>
  <c r="A14" i="3"/>
  <c r="AT13" i="3"/>
  <c r="AG13" i="3"/>
  <c r="AF13" i="3"/>
  <c r="AE13" i="3"/>
  <c r="AD13" i="3"/>
  <c r="AC13" i="3"/>
  <c r="AB13" i="3"/>
  <c r="AA13" i="3"/>
  <c r="Z13" i="3"/>
  <c r="Y13" i="3"/>
  <c r="X13" i="3"/>
  <c r="W13" i="3"/>
  <c r="AI13" i="3" s="1"/>
  <c r="AQ13" i="3" s="1"/>
  <c r="T13" i="3"/>
  <c r="E13" i="3"/>
  <c r="AH13" i="3" s="1"/>
  <c r="A13" i="3"/>
  <c r="AG12" i="3"/>
  <c r="AF12" i="3"/>
  <c r="AE12" i="3"/>
  <c r="AD12" i="3"/>
  <c r="AC12" i="3"/>
  <c r="AB12" i="3"/>
  <c r="AA12" i="3"/>
  <c r="Z12" i="3"/>
  <c r="Y12" i="3"/>
  <c r="X12" i="3"/>
  <c r="W12" i="3"/>
  <c r="T12" i="3"/>
  <c r="E12" i="3"/>
  <c r="AH12" i="3" s="1"/>
  <c r="A12" i="3"/>
  <c r="AT11" i="3"/>
  <c r="AH11" i="3"/>
  <c r="AH21" i="3" s="1"/>
  <c r="AG11" i="3"/>
  <c r="AF11" i="3"/>
  <c r="AF21" i="3" s="1"/>
  <c r="AE11" i="3"/>
  <c r="AE21" i="3" s="1"/>
  <c r="AD11" i="3"/>
  <c r="AD21" i="3" s="1"/>
  <c r="AC11" i="3"/>
  <c r="AB11" i="3"/>
  <c r="AB21" i="3" s="1"/>
  <c r="AA11" i="3"/>
  <c r="AA21" i="3" s="1"/>
  <c r="Z11" i="3"/>
  <c r="Z21" i="3" s="1"/>
  <c r="Y11" i="3"/>
  <c r="X11" i="3"/>
  <c r="X21" i="3" s="1"/>
  <c r="W11" i="3"/>
  <c r="W21" i="3" s="1"/>
  <c r="T11" i="3"/>
  <c r="E11" i="3"/>
  <c r="A11" i="3"/>
  <c r="J10" i="3"/>
  <c r="I10" i="3"/>
  <c r="H5" i="3"/>
  <c r="W5" i="3" s="1"/>
  <c r="B4" i="3"/>
  <c r="AZ2" i="3"/>
  <c r="AT187" i="2"/>
  <c r="R187" i="2"/>
  <c r="Q187" i="2"/>
  <c r="Q189" i="2" s="1"/>
  <c r="P187" i="2"/>
  <c r="O187" i="2"/>
  <c r="N187" i="2"/>
  <c r="M187" i="2"/>
  <c r="M189" i="2" s="1"/>
  <c r="L187" i="2"/>
  <c r="K187" i="2"/>
  <c r="J187" i="2"/>
  <c r="I187" i="2"/>
  <c r="I189" i="2" s="1"/>
  <c r="H187" i="2"/>
  <c r="G187" i="2"/>
  <c r="S185" i="2"/>
  <c r="A185" i="2"/>
  <c r="I184" i="2"/>
  <c r="H184" i="2"/>
  <c r="AT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S182" i="2" s="1"/>
  <c r="AU182" i="2" s="1"/>
  <c r="S180" i="2"/>
  <c r="A180" i="2"/>
  <c r="AO177" i="2"/>
  <c r="AM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S177" i="2" s="1"/>
  <c r="AG175" i="2"/>
  <c r="AF175" i="2"/>
  <c r="AE175" i="2"/>
  <c r="AD175" i="2"/>
  <c r="AC175" i="2"/>
  <c r="AB175" i="2"/>
  <c r="AA175" i="2"/>
  <c r="Z175" i="2"/>
  <c r="Y175" i="2"/>
  <c r="X175" i="2"/>
  <c r="W175" i="2"/>
  <c r="V175" i="2"/>
  <c r="AH175" i="2" s="1"/>
  <c r="S175" i="2"/>
  <c r="A175" i="2"/>
  <c r="AG174" i="2"/>
  <c r="AF174" i="2"/>
  <c r="AE174" i="2"/>
  <c r="AD174" i="2"/>
  <c r="AC174" i="2"/>
  <c r="AB174" i="2"/>
  <c r="AA174" i="2"/>
  <c r="Z174" i="2"/>
  <c r="Y174" i="2"/>
  <c r="X174" i="2"/>
  <c r="W174" i="2"/>
  <c r="V174" i="2"/>
  <c r="AH174" i="2" s="1"/>
  <c r="AQ174" i="2" s="1"/>
  <c r="S174" i="2"/>
  <c r="A174" i="2"/>
  <c r="AG173" i="2"/>
  <c r="AF173" i="2"/>
  <c r="AE173" i="2"/>
  <c r="AD173" i="2"/>
  <c r="AC173" i="2"/>
  <c r="AB173" i="2"/>
  <c r="AA173" i="2"/>
  <c r="Z173" i="2"/>
  <c r="Y173" i="2"/>
  <c r="X173" i="2"/>
  <c r="W173" i="2"/>
  <c r="V173" i="2"/>
  <c r="AH173" i="2" s="1"/>
  <c r="AQ173" i="2" s="1"/>
  <c r="S173" i="2"/>
  <c r="A173" i="2"/>
  <c r="AG172" i="2"/>
  <c r="AF172" i="2"/>
  <c r="AE172" i="2"/>
  <c r="AD172" i="2"/>
  <c r="AC172" i="2"/>
  <c r="AB172" i="2"/>
  <c r="AA172" i="2"/>
  <c r="Z172" i="2"/>
  <c r="Y172" i="2"/>
  <c r="X172" i="2"/>
  <c r="W172" i="2"/>
  <c r="V172" i="2"/>
  <c r="AH172" i="2" s="1"/>
  <c r="AQ172" i="2" s="1"/>
  <c r="S172" i="2"/>
  <c r="A172" i="2"/>
  <c r="AG171" i="2"/>
  <c r="AF171" i="2"/>
  <c r="AE171" i="2"/>
  <c r="AE177" i="2" s="1"/>
  <c r="AD171" i="2"/>
  <c r="AC171" i="2"/>
  <c r="AB171" i="2"/>
  <c r="AA171" i="2"/>
  <c r="AA177" i="2" s="1"/>
  <c r="Z171" i="2"/>
  <c r="Y171" i="2"/>
  <c r="X171" i="2"/>
  <c r="W171" i="2"/>
  <c r="W177" i="2" s="1"/>
  <c r="V171" i="2"/>
  <c r="AH171" i="2" s="1"/>
  <c r="S171" i="2"/>
  <c r="A171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AH170" i="2" s="1"/>
  <c r="S170" i="2"/>
  <c r="A170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AH169" i="2" s="1"/>
  <c r="S169" i="2"/>
  <c r="A169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AH168" i="2" s="1"/>
  <c r="S168" i="2"/>
  <c r="A168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AH167" i="2" s="1"/>
  <c r="S167" i="2"/>
  <c r="A167" i="2"/>
  <c r="AG166" i="2"/>
  <c r="AF166" i="2"/>
  <c r="AE166" i="2"/>
  <c r="AD166" i="2"/>
  <c r="AC166" i="2"/>
  <c r="AB166" i="2"/>
  <c r="AA166" i="2"/>
  <c r="Z166" i="2"/>
  <c r="Y166" i="2"/>
  <c r="X166" i="2"/>
  <c r="W166" i="2"/>
  <c r="V166" i="2"/>
  <c r="AH166" i="2" s="1"/>
  <c r="S166" i="2"/>
  <c r="A166" i="2"/>
  <c r="AG165" i="2"/>
  <c r="AF165" i="2"/>
  <c r="AE165" i="2"/>
  <c r="AD165" i="2"/>
  <c r="AC165" i="2"/>
  <c r="AB165" i="2"/>
  <c r="AA165" i="2"/>
  <c r="Z165" i="2"/>
  <c r="Y165" i="2"/>
  <c r="X165" i="2"/>
  <c r="W165" i="2"/>
  <c r="V165" i="2"/>
  <c r="AH165" i="2" s="1"/>
  <c r="S165" i="2"/>
  <c r="A165" i="2"/>
  <c r="AG164" i="2"/>
  <c r="AF164" i="2"/>
  <c r="AE164" i="2"/>
  <c r="AD164" i="2"/>
  <c r="AC164" i="2"/>
  <c r="AB164" i="2"/>
  <c r="AA164" i="2"/>
  <c r="Z164" i="2"/>
  <c r="Y164" i="2"/>
  <c r="X164" i="2"/>
  <c r="W164" i="2"/>
  <c r="V164" i="2"/>
  <c r="AH164" i="2" s="1"/>
  <c r="S164" i="2"/>
  <c r="A164" i="2"/>
  <c r="AG163" i="2"/>
  <c r="AF163" i="2"/>
  <c r="AE163" i="2"/>
  <c r="AD163" i="2"/>
  <c r="AC163" i="2"/>
  <c r="AB163" i="2"/>
  <c r="AA163" i="2"/>
  <c r="Z163" i="2"/>
  <c r="Y163" i="2"/>
  <c r="X163" i="2"/>
  <c r="W163" i="2"/>
  <c r="V163" i="2"/>
  <c r="AH163" i="2" s="1"/>
  <c r="S163" i="2"/>
  <c r="A163" i="2"/>
  <c r="AG162" i="2"/>
  <c r="AF162" i="2"/>
  <c r="AE162" i="2"/>
  <c r="AD162" i="2"/>
  <c r="AD177" i="2" s="1"/>
  <c r="AC162" i="2"/>
  <c r="AB162" i="2"/>
  <c r="AA162" i="2"/>
  <c r="Z162" i="2"/>
  <c r="Z177" i="2" s="1"/>
  <c r="Y162" i="2"/>
  <c r="X162" i="2"/>
  <c r="W162" i="2"/>
  <c r="V162" i="2"/>
  <c r="V177" i="2" s="1"/>
  <c r="S162" i="2"/>
  <c r="A162" i="2"/>
  <c r="AG161" i="2"/>
  <c r="AG177" i="2" s="1"/>
  <c r="AF161" i="2"/>
  <c r="AF177" i="2" s="1"/>
  <c r="AE161" i="2"/>
  <c r="AD161" i="2"/>
  <c r="AC161" i="2"/>
  <c r="AC177" i="2" s="1"/>
  <c r="AB161" i="2"/>
  <c r="AB177" i="2" s="1"/>
  <c r="AA161" i="2"/>
  <c r="Z161" i="2"/>
  <c r="Y161" i="2"/>
  <c r="Y177" i="2" s="1"/>
  <c r="X161" i="2"/>
  <c r="X177" i="2" s="1"/>
  <c r="W161" i="2"/>
  <c r="V161" i="2"/>
  <c r="S161" i="2"/>
  <c r="A161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AH160" i="2" s="1"/>
  <c r="S160" i="2"/>
  <c r="A160" i="2"/>
  <c r="AQ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S155" i="2" s="1"/>
  <c r="AH154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AH153" i="2" s="1"/>
  <c r="S153" i="2"/>
  <c r="A153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AH152" i="2" s="1"/>
  <c r="S152" i="2"/>
  <c r="A152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AH151" i="2" s="1"/>
  <c r="S151" i="2"/>
  <c r="A151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AH150" i="2" s="1"/>
  <c r="S150" i="2"/>
  <c r="A150" i="2"/>
  <c r="AG149" i="2"/>
  <c r="AF149" i="2"/>
  <c r="AE149" i="2"/>
  <c r="AD149" i="2"/>
  <c r="AC149" i="2"/>
  <c r="AB149" i="2"/>
  <c r="AA149" i="2"/>
  <c r="Z149" i="2"/>
  <c r="Y149" i="2"/>
  <c r="X149" i="2"/>
  <c r="W149" i="2"/>
  <c r="V149" i="2"/>
  <c r="AH149" i="2" s="1"/>
  <c r="S149" i="2"/>
  <c r="A149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AH148" i="2" s="1"/>
  <c r="S148" i="2"/>
  <c r="A148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AH147" i="2" s="1"/>
  <c r="S147" i="2"/>
  <c r="A147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AH146" i="2" s="1"/>
  <c r="S146" i="2"/>
  <c r="A146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S145" i="2"/>
  <c r="A145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AH144" i="2" s="1"/>
  <c r="S144" i="2"/>
  <c r="A144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AH143" i="2" s="1"/>
  <c r="S143" i="2"/>
  <c r="A143" i="2"/>
  <c r="AS142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AH142" i="2" s="1"/>
  <c r="AO142" i="2" s="1"/>
  <c r="S142" i="2"/>
  <c r="A142" i="2"/>
  <c r="AS141" i="2"/>
  <c r="AG141" i="2"/>
  <c r="AF141" i="2"/>
  <c r="AE141" i="2"/>
  <c r="AD141" i="2"/>
  <c r="AC141" i="2"/>
  <c r="AB141" i="2"/>
  <c r="AA141" i="2"/>
  <c r="Z141" i="2"/>
  <c r="Y141" i="2"/>
  <c r="X141" i="2"/>
  <c r="W141" i="2"/>
  <c r="V141" i="2"/>
  <c r="S141" i="2"/>
  <c r="A141" i="2"/>
  <c r="AG140" i="2"/>
  <c r="AF140" i="2"/>
  <c r="AE140" i="2"/>
  <c r="AD140" i="2"/>
  <c r="AC140" i="2"/>
  <c r="AB140" i="2"/>
  <c r="AA140" i="2"/>
  <c r="Z140" i="2"/>
  <c r="Y140" i="2"/>
  <c r="X140" i="2"/>
  <c r="W140" i="2"/>
  <c r="V140" i="2"/>
  <c r="S140" i="2"/>
  <c r="A140" i="2"/>
  <c r="AS139" i="2"/>
  <c r="AG139" i="2"/>
  <c r="AF139" i="2"/>
  <c r="AE139" i="2"/>
  <c r="AD139" i="2"/>
  <c r="AC139" i="2"/>
  <c r="AB139" i="2"/>
  <c r="AA139" i="2"/>
  <c r="Z139" i="2"/>
  <c r="Y139" i="2"/>
  <c r="X139" i="2"/>
  <c r="W139" i="2"/>
  <c r="V139" i="2"/>
  <c r="AH139" i="2" s="1"/>
  <c r="S139" i="2"/>
  <c r="A139" i="2"/>
  <c r="AG138" i="2"/>
  <c r="AE138" i="2"/>
  <c r="AC138" i="2"/>
  <c r="AA138" i="2"/>
  <c r="Y138" i="2"/>
  <c r="W138" i="2"/>
  <c r="S138" i="2"/>
  <c r="D138" i="2"/>
  <c r="AD138" i="2" s="1"/>
  <c r="A138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AH137" i="2" s="1"/>
  <c r="S137" i="2"/>
  <c r="A137" i="2"/>
  <c r="AS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S136" i="2"/>
  <c r="A136" i="2"/>
  <c r="AS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S135" i="2"/>
  <c r="A135" i="2"/>
  <c r="AS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AH134" i="2" s="1"/>
  <c r="AM134" i="2" s="1"/>
  <c r="S134" i="2"/>
  <c r="A134" i="2"/>
  <c r="AG133" i="2"/>
  <c r="AF133" i="2"/>
  <c r="AE133" i="2"/>
  <c r="AD133" i="2"/>
  <c r="AC133" i="2"/>
  <c r="AB133" i="2"/>
  <c r="AA133" i="2"/>
  <c r="Z133" i="2"/>
  <c r="Y133" i="2"/>
  <c r="X133" i="2"/>
  <c r="W133" i="2"/>
  <c r="V133" i="2"/>
  <c r="AH133" i="2" s="1"/>
  <c r="S133" i="2"/>
  <c r="A133" i="2"/>
  <c r="AS132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S132" i="2"/>
  <c r="A132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AH131" i="2" s="1"/>
  <c r="S131" i="2"/>
  <c r="A131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AH130" i="2" s="1"/>
  <c r="S130" i="2"/>
  <c r="A130" i="2"/>
  <c r="AS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AH129" i="2" s="1"/>
  <c r="AO129" i="2" s="1"/>
  <c r="S129" i="2"/>
  <c r="A129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S128" i="2"/>
  <c r="A128" i="2"/>
  <c r="AS127" i="2"/>
  <c r="AG127" i="2"/>
  <c r="AF127" i="2"/>
  <c r="AE127" i="2"/>
  <c r="AD127" i="2"/>
  <c r="AC127" i="2"/>
  <c r="AB127" i="2"/>
  <c r="AA127" i="2"/>
  <c r="Z127" i="2"/>
  <c r="Y127" i="2"/>
  <c r="X127" i="2"/>
  <c r="W127" i="2"/>
  <c r="V127" i="2"/>
  <c r="S127" i="2"/>
  <c r="A127" i="2"/>
  <c r="AG126" i="2"/>
  <c r="AF126" i="2"/>
  <c r="AE126" i="2"/>
  <c r="AD126" i="2"/>
  <c r="AC126" i="2"/>
  <c r="AB126" i="2"/>
  <c r="AA126" i="2"/>
  <c r="Z126" i="2"/>
  <c r="Y126" i="2"/>
  <c r="X126" i="2"/>
  <c r="W126" i="2"/>
  <c r="V126" i="2"/>
  <c r="AH126" i="2" s="1"/>
  <c r="S126" i="2"/>
  <c r="A126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S125" i="2"/>
  <c r="A125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AH124" i="2" s="1"/>
  <c r="S124" i="2"/>
  <c r="A124" i="2"/>
  <c r="AG123" i="2"/>
  <c r="AF123" i="2"/>
  <c r="AE123" i="2"/>
  <c r="AD123" i="2"/>
  <c r="AC123" i="2"/>
  <c r="AB123" i="2"/>
  <c r="AA123" i="2"/>
  <c r="Z123" i="2"/>
  <c r="Y123" i="2"/>
  <c r="X123" i="2"/>
  <c r="W123" i="2"/>
  <c r="V123" i="2"/>
  <c r="S123" i="2"/>
  <c r="A123" i="2"/>
  <c r="AS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S122" i="2"/>
  <c r="A122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AH121" i="2" s="1"/>
  <c r="S121" i="2"/>
  <c r="A121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S120" i="2"/>
  <c r="A120" i="2"/>
  <c r="AS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S119" i="2"/>
  <c r="A119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AH118" i="2" s="1"/>
  <c r="S118" i="2"/>
  <c r="A118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S117" i="2"/>
  <c r="A117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AH116" i="2" s="1"/>
  <c r="S116" i="2"/>
  <c r="A116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S115" i="2"/>
  <c r="A115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AH114" i="2" s="1"/>
  <c r="S114" i="2"/>
  <c r="A114" i="2"/>
  <c r="AS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S113" i="2"/>
  <c r="A113" i="2"/>
  <c r="AS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AH112" i="2" s="1"/>
  <c r="AO112" i="2" s="1"/>
  <c r="S112" i="2"/>
  <c r="A112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S111" i="2"/>
  <c r="A111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AH110" i="2" s="1"/>
  <c r="S110" i="2"/>
  <c r="A110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S109" i="2"/>
  <c r="A109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AH108" i="2" s="1"/>
  <c r="AO108" i="2" s="1"/>
  <c r="S108" i="2"/>
  <c r="A108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AH107" i="2" s="1"/>
  <c r="S107" i="2"/>
  <c r="A107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S106" i="2"/>
  <c r="A106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AH105" i="2" s="1"/>
  <c r="S105" i="2"/>
  <c r="A105" i="2"/>
  <c r="AS104" i="2"/>
  <c r="AG104" i="2"/>
  <c r="AF104" i="2"/>
  <c r="AE104" i="2"/>
  <c r="AD104" i="2"/>
  <c r="AC104" i="2"/>
  <c r="AB104" i="2"/>
  <c r="AA104" i="2"/>
  <c r="Z104" i="2"/>
  <c r="Y104" i="2"/>
  <c r="X104" i="2"/>
  <c r="W104" i="2"/>
  <c r="V104" i="2"/>
  <c r="AH104" i="2" s="1"/>
  <c r="AO104" i="2" s="1"/>
  <c r="S104" i="2"/>
  <c r="A104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S103" i="2"/>
  <c r="A103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AH102" i="2" s="1"/>
  <c r="S102" i="2"/>
  <c r="A102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AH101" i="2" s="1"/>
  <c r="S101" i="2"/>
  <c r="A101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AH100" i="2" s="1"/>
  <c r="AO100" i="2" s="1"/>
  <c r="S100" i="2"/>
  <c r="A100" i="2"/>
  <c r="AG99" i="2"/>
  <c r="AF99" i="2"/>
  <c r="AE99" i="2"/>
  <c r="AD99" i="2"/>
  <c r="AC99" i="2"/>
  <c r="AB99" i="2"/>
  <c r="AA99" i="2"/>
  <c r="Z99" i="2"/>
  <c r="Y99" i="2"/>
  <c r="X99" i="2"/>
  <c r="W99" i="2"/>
  <c r="V99" i="2"/>
  <c r="AH99" i="2" s="1"/>
  <c r="AO99" i="2" s="1"/>
  <c r="S99" i="2"/>
  <c r="A99" i="2"/>
  <c r="AG98" i="2"/>
  <c r="AF98" i="2"/>
  <c r="AE98" i="2"/>
  <c r="AD98" i="2"/>
  <c r="AC98" i="2"/>
  <c r="AB98" i="2"/>
  <c r="AA98" i="2"/>
  <c r="Z98" i="2"/>
  <c r="Y98" i="2"/>
  <c r="X98" i="2"/>
  <c r="W98" i="2"/>
  <c r="V98" i="2"/>
  <c r="S98" i="2"/>
  <c r="A98" i="2"/>
  <c r="AG97" i="2"/>
  <c r="AF97" i="2"/>
  <c r="AE97" i="2"/>
  <c r="AD97" i="2"/>
  <c r="AC97" i="2"/>
  <c r="AB97" i="2"/>
  <c r="AA97" i="2"/>
  <c r="Z97" i="2"/>
  <c r="Y97" i="2"/>
  <c r="X97" i="2"/>
  <c r="W97" i="2"/>
  <c r="V97" i="2"/>
  <c r="AH97" i="2" s="1"/>
  <c r="S97" i="2"/>
  <c r="A97" i="2"/>
  <c r="AG96" i="2"/>
  <c r="AF96" i="2"/>
  <c r="AE96" i="2"/>
  <c r="AD96" i="2"/>
  <c r="AC96" i="2"/>
  <c r="AB96" i="2"/>
  <c r="AA96" i="2"/>
  <c r="Z96" i="2"/>
  <c r="Y96" i="2"/>
  <c r="X96" i="2"/>
  <c r="W96" i="2"/>
  <c r="V96" i="2"/>
  <c r="AH96" i="2" s="1"/>
  <c r="S96" i="2"/>
  <c r="A96" i="2"/>
  <c r="AG95" i="2"/>
  <c r="AF95" i="2"/>
  <c r="AE95" i="2"/>
  <c r="AD95" i="2"/>
  <c r="AC95" i="2"/>
  <c r="AB95" i="2"/>
  <c r="AA95" i="2"/>
  <c r="Z95" i="2"/>
  <c r="Y95" i="2"/>
  <c r="X95" i="2"/>
  <c r="W95" i="2"/>
  <c r="V95" i="2"/>
  <c r="AH95" i="2" s="1"/>
  <c r="S95" i="2"/>
  <c r="A95" i="2"/>
  <c r="AG94" i="2"/>
  <c r="AF94" i="2"/>
  <c r="AE94" i="2"/>
  <c r="AD94" i="2"/>
  <c r="AC94" i="2"/>
  <c r="AB94" i="2"/>
  <c r="AA94" i="2"/>
  <c r="Z94" i="2"/>
  <c r="Y94" i="2"/>
  <c r="X94" i="2"/>
  <c r="W94" i="2"/>
  <c r="V94" i="2"/>
  <c r="S94" i="2"/>
  <c r="A94" i="2"/>
  <c r="AG93" i="2"/>
  <c r="AF93" i="2"/>
  <c r="AE93" i="2"/>
  <c r="AD93" i="2"/>
  <c r="AC93" i="2"/>
  <c r="AB93" i="2"/>
  <c r="AA93" i="2"/>
  <c r="Z93" i="2"/>
  <c r="Y93" i="2"/>
  <c r="X93" i="2"/>
  <c r="W93" i="2"/>
  <c r="V93" i="2"/>
  <c r="AH93" i="2" s="1"/>
  <c r="S93" i="2"/>
  <c r="A93" i="2"/>
  <c r="AG92" i="2"/>
  <c r="AF92" i="2"/>
  <c r="AE92" i="2"/>
  <c r="AD92" i="2"/>
  <c r="AC92" i="2"/>
  <c r="AB92" i="2"/>
  <c r="AA92" i="2"/>
  <c r="Z92" i="2"/>
  <c r="Y92" i="2"/>
  <c r="X92" i="2"/>
  <c r="W92" i="2"/>
  <c r="V92" i="2"/>
  <c r="AH92" i="2" s="1"/>
  <c r="S92" i="2"/>
  <c r="A92" i="2"/>
  <c r="AG91" i="2"/>
  <c r="AF91" i="2"/>
  <c r="AE91" i="2"/>
  <c r="AD91" i="2"/>
  <c r="AC91" i="2"/>
  <c r="AB91" i="2"/>
  <c r="AA91" i="2"/>
  <c r="Z91" i="2"/>
  <c r="Y91" i="2"/>
  <c r="X91" i="2"/>
  <c r="W91" i="2"/>
  <c r="V91" i="2"/>
  <c r="AH91" i="2" s="1"/>
  <c r="S91" i="2"/>
  <c r="A91" i="2"/>
  <c r="AG90" i="2"/>
  <c r="AF90" i="2"/>
  <c r="AE90" i="2"/>
  <c r="AD90" i="2"/>
  <c r="AC90" i="2"/>
  <c r="AB90" i="2"/>
  <c r="AA90" i="2"/>
  <c r="Z90" i="2"/>
  <c r="Y90" i="2"/>
  <c r="X90" i="2"/>
  <c r="W90" i="2"/>
  <c r="V90" i="2"/>
  <c r="S90" i="2"/>
  <c r="A90" i="2"/>
  <c r="AG89" i="2"/>
  <c r="AF89" i="2"/>
  <c r="AE89" i="2"/>
  <c r="AD89" i="2"/>
  <c r="AC89" i="2"/>
  <c r="AB89" i="2"/>
  <c r="AA89" i="2"/>
  <c r="Z89" i="2"/>
  <c r="Y89" i="2"/>
  <c r="X89" i="2"/>
  <c r="W89" i="2"/>
  <c r="V89" i="2"/>
  <c r="AH89" i="2" s="1"/>
  <c r="S89" i="2"/>
  <c r="A89" i="2"/>
  <c r="AG88" i="2"/>
  <c r="AF88" i="2"/>
  <c r="AE88" i="2"/>
  <c r="AD88" i="2"/>
  <c r="AC88" i="2"/>
  <c r="AB88" i="2"/>
  <c r="AA88" i="2"/>
  <c r="Z88" i="2"/>
  <c r="Y88" i="2"/>
  <c r="X88" i="2"/>
  <c r="W88" i="2"/>
  <c r="V88" i="2"/>
  <c r="S88" i="2"/>
  <c r="A88" i="2"/>
  <c r="AS87" i="2"/>
  <c r="AG87" i="2"/>
  <c r="AF87" i="2"/>
  <c r="AE87" i="2"/>
  <c r="AD87" i="2"/>
  <c r="AC87" i="2"/>
  <c r="AB87" i="2"/>
  <c r="AA87" i="2"/>
  <c r="Z87" i="2"/>
  <c r="Y87" i="2"/>
  <c r="X87" i="2"/>
  <c r="W87" i="2"/>
  <c r="V87" i="2"/>
  <c r="S87" i="2"/>
  <c r="A87" i="2"/>
  <c r="AS86" i="2"/>
  <c r="AG86" i="2"/>
  <c r="AF86" i="2"/>
  <c r="AE86" i="2"/>
  <c r="AD86" i="2"/>
  <c r="AC86" i="2"/>
  <c r="AB86" i="2"/>
  <c r="AA86" i="2"/>
  <c r="Z86" i="2"/>
  <c r="Y86" i="2"/>
  <c r="X86" i="2"/>
  <c r="W86" i="2"/>
  <c r="V86" i="2"/>
  <c r="S86" i="2"/>
  <c r="A86" i="2"/>
  <c r="AS85" i="2"/>
  <c r="AG85" i="2"/>
  <c r="AF85" i="2"/>
  <c r="AE85" i="2"/>
  <c r="AD85" i="2"/>
  <c r="AC85" i="2"/>
  <c r="AB85" i="2"/>
  <c r="AA85" i="2"/>
  <c r="Z85" i="2"/>
  <c r="Y85" i="2"/>
  <c r="X85" i="2"/>
  <c r="W85" i="2"/>
  <c r="V85" i="2"/>
  <c r="S85" i="2"/>
  <c r="A85" i="2"/>
  <c r="AG84" i="2"/>
  <c r="AF84" i="2"/>
  <c r="AE84" i="2"/>
  <c r="AD84" i="2"/>
  <c r="AC84" i="2"/>
  <c r="AB84" i="2"/>
  <c r="AA84" i="2"/>
  <c r="Z84" i="2"/>
  <c r="Y84" i="2"/>
  <c r="X84" i="2"/>
  <c r="W84" i="2"/>
  <c r="V84" i="2"/>
  <c r="AH84" i="2" s="1"/>
  <c r="AO84" i="2" s="1"/>
  <c r="S84" i="2"/>
  <c r="A84" i="2"/>
  <c r="AS83" i="2"/>
  <c r="AG83" i="2"/>
  <c r="AF83" i="2"/>
  <c r="AE83" i="2"/>
  <c r="AD83" i="2"/>
  <c r="AC83" i="2"/>
  <c r="AB83" i="2"/>
  <c r="AA83" i="2"/>
  <c r="Z83" i="2"/>
  <c r="Y83" i="2"/>
  <c r="X83" i="2"/>
  <c r="W83" i="2"/>
  <c r="V83" i="2"/>
  <c r="S83" i="2"/>
  <c r="A83" i="2"/>
  <c r="AS82" i="2"/>
  <c r="AG82" i="2"/>
  <c r="AF82" i="2"/>
  <c r="AE82" i="2"/>
  <c r="AD82" i="2"/>
  <c r="AC82" i="2"/>
  <c r="AB82" i="2"/>
  <c r="AA82" i="2"/>
  <c r="Z82" i="2"/>
  <c r="Y82" i="2"/>
  <c r="X82" i="2"/>
  <c r="W82" i="2"/>
  <c r="V82" i="2"/>
  <c r="AH82" i="2" s="1"/>
  <c r="AO82" i="2" s="1"/>
  <c r="S82" i="2"/>
  <c r="A82" i="2"/>
  <c r="AS81" i="2"/>
  <c r="AG81" i="2"/>
  <c r="AF81" i="2"/>
  <c r="AE81" i="2"/>
  <c r="AD81" i="2"/>
  <c r="AC81" i="2"/>
  <c r="AB81" i="2"/>
  <c r="AA81" i="2"/>
  <c r="Z81" i="2"/>
  <c r="Y81" i="2"/>
  <c r="X81" i="2"/>
  <c r="W81" i="2"/>
  <c r="V81" i="2"/>
  <c r="AH81" i="2" s="1"/>
  <c r="AO81" i="2" s="1"/>
  <c r="S81" i="2"/>
  <c r="A81" i="2"/>
  <c r="AG80" i="2"/>
  <c r="AF80" i="2"/>
  <c r="AE80" i="2"/>
  <c r="AD80" i="2"/>
  <c r="AC80" i="2"/>
  <c r="AB80" i="2"/>
  <c r="AA80" i="2"/>
  <c r="Z80" i="2"/>
  <c r="Y80" i="2"/>
  <c r="X80" i="2"/>
  <c r="W80" i="2"/>
  <c r="V80" i="2"/>
  <c r="AH80" i="2" s="1"/>
  <c r="AO80" i="2" s="1"/>
  <c r="S80" i="2"/>
  <c r="A80" i="2"/>
  <c r="AS79" i="2"/>
  <c r="AG79" i="2"/>
  <c r="AF79" i="2"/>
  <c r="AE79" i="2"/>
  <c r="AD79" i="2"/>
  <c r="AC79" i="2"/>
  <c r="AB79" i="2"/>
  <c r="AA79" i="2"/>
  <c r="Z79" i="2"/>
  <c r="Y79" i="2"/>
  <c r="X79" i="2"/>
  <c r="W79" i="2"/>
  <c r="V79" i="2"/>
  <c r="AH79" i="2" s="1"/>
  <c r="AO79" i="2" s="1"/>
  <c r="S79" i="2"/>
  <c r="A79" i="2"/>
  <c r="AS78" i="2"/>
  <c r="AG78" i="2"/>
  <c r="AF78" i="2"/>
  <c r="AE78" i="2"/>
  <c r="AD78" i="2"/>
  <c r="AC78" i="2"/>
  <c r="AB78" i="2"/>
  <c r="AA78" i="2"/>
  <c r="Z78" i="2"/>
  <c r="Y78" i="2"/>
  <c r="X78" i="2"/>
  <c r="W78" i="2"/>
  <c r="V78" i="2"/>
  <c r="AH78" i="2" s="1"/>
  <c r="AO78" i="2" s="1"/>
  <c r="S78" i="2"/>
  <c r="A78" i="2"/>
  <c r="AG77" i="2"/>
  <c r="AF77" i="2"/>
  <c r="AE77" i="2"/>
  <c r="AD77" i="2"/>
  <c r="AC77" i="2"/>
  <c r="AB77" i="2"/>
  <c r="AA77" i="2"/>
  <c r="Z77" i="2"/>
  <c r="Y77" i="2"/>
  <c r="X77" i="2"/>
  <c r="W77" i="2"/>
  <c r="V77" i="2"/>
  <c r="AH77" i="2" s="1"/>
  <c r="AO77" i="2" s="1"/>
  <c r="S77" i="2"/>
  <c r="A77" i="2"/>
  <c r="AS76" i="2"/>
  <c r="AG76" i="2"/>
  <c r="AF76" i="2"/>
  <c r="AE76" i="2"/>
  <c r="AD76" i="2"/>
  <c r="AC76" i="2"/>
  <c r="AB76" i="2"/>
  <c r="AA76" i="2"/>
  <c r="Z76" i="2"/>
  <c r="Y76" i="2"/>
  <c r="X76" i="2"/>
  <c r="W76" i="2"/>
  <c r="V76" i="2"/>
  <c r="AH76" i="2" s="1"/>
  <c r="AO76" i="2" s="1"/>
  <c r="S76" i="2"/>
  <c r="A76" i="2"/>
  <c r="AG75" i="2"/>
  <c r="AF75" i="2"/>
  <c r="AE75" i="2"/>
  <c r="AD75" i="2"/>
  <c r="AC75" i="2"/>
  <c r="AB75" i="2"/>
  <c r="AA75" i="2"/>
  <c r="Z75" i="2"/>
  <c r="Y75" i="2"/>
  <c r="X75" i="2"/>
  <c r="W75" i="2"/>
  <c r="V75" i="2"/>
  <c r="AH75" i="2" s="1"/>
  <c r="AO75" i="2" s="1"/>
  <c r="S75" i="2"/>
  <c r="A75" i="2"/>
  <c r="AS74" i="2"/>
  <c r="AS75" i="2" s="1"/>
  <c r="AG74" i="2"/>
  <c r="AF74" i="2"/>
  <c r="AE74" i="2"/>
  <c r="AD74" i="2"/>
  <c r="AC74" i="2"/>
  <c r="AB74" i="2"/>
  <c r="AA74" i="2"/>
  <c r="Z74" i="2"/>
  <c r="Y74" i="2"/>
  <c r="X74" i="2"/>
  <c r="W74" i="2"/>
  <c r="V74" i="2"/>
  <c r="AH74" i="2" s="1"/>
  <c r="AO74" i="2" s="1"/>
  <c r="S74" i="2"/>
  <c r="A74" i="2"/>
  <c r="AG73" i="2"/>
  <c r="AF73" i="2"/>
  <c r="AE73" i="2"/>
  <c r="AD73" i="2"/>
  <c r="AC73" i="2"/>
  <c r="AB73" i="2"/>
  <c r="AA73" i="2"/>
  <c r="Z73" i="2"/>
  <c r="Y73" i="2"/>
  <c r="X73" i="2"/>
  <c r="W73" i="2"/>
  <c r="V73" i="2"/>
  <c r="S73" i="2"/>
  <c r="A73" i="2"/>
  <c r="AS72" i="2"/>
  <c r="AG72" i="2"/>
  <c r="AF72" i="2"/>
  <c r="AE72" i="2"/>
  <c r="AD72" i="2"/>
  <c r="AC72" i="2"/>
  <c r="AB72" i="2"/>
  <c r="AA72" i="2"/>
  <c r="Z72" i="2"/>
  <c r="Y72" i="2"/>
  <c r="X72" i="2"/>
  <c r="W72" i="2"/>
  <c r="V72" i="2"/>
  <c r="S72" i="2"/>
  <c r="A72" i="2"/>
  <c r="AS71" i="2"/>
  <c r="AG71" i="2"/>
  <c r="AF71" i="2"/>
  <c r="AE71" i="2"/>
  <c r="AD71" i="2"/>
  <c r="AC71" i="2"/>
  <c r="AB71" i="2"/>
  <c r="AA71" i="2"/>
  <c r="Z71" i="2"/>
  <c r="Y71" i="2"/>
  <c r="X71" i="2"/>
  <c r="W71" i="2"/>
  <c r="V71" i="2"/>
  <c r="S71" i="2"/>
  <c r="A71" i="2"/>
  <c r="AS70" i="2"/>
  <c r="AG70" i="2"/>
  <c r="AF70" i="2"/>
  <c r="AE70" i="2"/>
  <c r="AD70" i="2"/>
  <c r="AC70" i="2"/>
  <c r="AB70" i="2"/>
  <c r="AA70" i="2"/>
  <c r="Z70" i="2"/>
  <c r="Y70" i="2"/>
  <c r="X70" i="2"/>
  <c r="W70" i="2"/>
  <c r="V70" i="2"/>
  <c r="S70" i="2"/>
  <c r="A70" i="2"/>
  <c r="AS69" i="2"/>
  <c r="AG69" i="2"/>
  <c r="AF69" i="2"/>
  <c r="AE69" i="2"/>
  <c r="AD69" i="2"/>
  <c r="AC69" i="2"/>
  <c r="AB69" i="2"/>
  <c r="AA69" i="2"/>
  <c r="Z69" i="2"/>
  <c r="Y69" i="2"/>
  <c r="X69" i="2"/>
  <c r="W69" i="2"/>
  <c r="V69" i="2"/>
  <c r="S69" i="2"/>
  <c r="A69" i="2"/>
  <c r="AS68" i="2"/>
  <c r="AG68" i="2"/>
  <c r="AF68" i="2"/>
  <c r="AE68" i="2"/>
  <c r="AD68" i="2"/>
  <c r="AC68" i="2"/>
  <c r="AB68" i="2"/>
  <c r="AA68" i="2"/>
  <c r="Z68" i="2"/>
  <c r="Y68" i="2"/>
  <c r="X68" i="2"/>
  <c r="W68" i="2"/>
  <c r="V68" i="2"/>
  <c r="S68" i="2"/>
  <c r="A68" i="2"/>
  <c r="AS67" i="2"/>
  <c r="AG67" i="2"/>
  <c r="AF67" i="2"/>
  <c r="AE67" i="2"/>
  <c r="AD67" i="2"/>
  <c r="AC67" i="2"/>
  <c r="AB67" i="2"/>
  <c r="AA67" i="2"/>
  <c r="Z67" i="2"/>
  <c r="Y67" i="2"/>
  <c r="X67" i="2"/>
  <c r="W67" i="2"/>
  <c r="V67" i="2"/>
  <c r="S67" i="2"/>
  <c r="A67" i="2"/>
  <c r="AG66" i="2"/>
  <c r="AF66" i="2"/>
  <c r="AE66" i="2"/>
  <c r="AD66" i="2"/>
  <c r="AC66" i="2"/>
  <c r="AB66" i="2"/>
  <c r="AA66" i="2"/>
  <c r="Z66" i="2"/>
  <c r="Y66" i="2"/>
  <c r="X66" i="2"/>
  <c r="W66" i="2"/>
  <c r="V66" i="2"/>
  <c r="AH66" i="2" s="1"/>
  <c r="AO66" i="2" s="1"/>
  <c r="S66" i="2"/>
  <c r="A66" i="2"/>
  <c r="AG65" i="2"/>
  <c r="AF65" i="2"/>
  <c r="AE65" i="2"/>
  <c r="AD65" i="2"/>
  <c r="AC65" i="2"/>
  <c r="AB65" i="2"/>
  <c r="AA65" i="2"/>
  <c r="Z65" i="2"/>
  <c r="Y65" i="2"/>
  <c r="X65" i="2"/>
  <c r="W65" i="2"/>
  <c r="V65" i="2"/>
  <c r="AH65" i="2" s="1"/>
  <c r="AO65" i="2" s="1"/>
  <c r="S65" i="2"/>
  <c r="A65" i="2"/>
  <c r="AG64" i="2"/>
  <c r="AF64" i="2"/>
  <c r="AE64" i="2"/>
  <c r="AD64" i="2"/>
  <c r="AC64" i="2"/>
  <c r="AB64" i="2"/>
  <c r="AA64" i="2"/>
  <c r="Z64" i="2"/>
  <c r="Y64" i="2"/>
  <c r="X64" i="2"/>
  <c r="W64" i="2"/>
  <c r="V64" i="2"/>
  <c r="AH64" i="2" s="1"/>
  <c r="AO64" i="2" s="1"/>
  <c r="S64" i="2"/>
  <c r="A64" i="2"/>
  <c r="AG63" i="2"/>
  <c r="AF63" i="2"/>
  <c r="AE63" i="2"/>
  <c r="AD63" i="2"/>
  <c r="AC63" i="2"/>
  <c r="AB63" i="2"/>
  <c r="AA63" i="2"/>
  <c r="Z63" i="2"/>
  <c r="Y63" i="2"/>
  <c r="X63" i="2"/>
  <c r="W63" i="2"/>
  <c r="V63" i="2"/>
  <c r="AH63" i="2" s="1"/>
  <c r="S63" i="2"/>
  <c r="A63" i="2"/>
  <c r="AG62" i="2"/>
  <c r="AF62" i="2"/>
  <c r="AE62" i="2"/>
  <c r="AD62" i="2"/>
  <c r="AC62" i="2"/>
  <c r="AB62" i="2"/>
  <c r="AA62" i="2"/>
  <c r="Z62" i="2"/>
  <c r="Y62" i="2"/>
  <c r="X62" i="2"/>
  <c r="W62" i="2"/>
  <c r="V62" i="2"/>
  <c r="AH62" i="2" s="1"/>
  <c r="S62" i="2"/>
  <c r="A62" i="2"/>
  <c r="AG61" i="2"/>
  <c r="AF61" i="2"/>
  <c r="AE61" i="2"/>
  <c r="AD61" i="2"/>
  <c r="AC61" i="2"/>
  <c r="AB61" i="2"/>
  <c r="AA61" i="2"/>
  <c r="Z61" i="2"/>
  <c r="Y61" i="2"/>
  <c r="X61" i="2"/>
  <c r="W61" i="2"/>
  <c r="V61" i="2"/>
  <c r="AH61" i="2" s="1"/>
  <c r="S61" i="2"/>
  <c r="A61" i="2"/>
  <c r="I57" i="2"/>
  <c r="H57" i="2"/>
  <c r="I56" i="2"/>
  <c r="H56" i="2"/>
  <c r="AQ55" i="2"/>
  <c r="AO55" i="2"/>
  <c r="AB55" i="2"/>
  <c r="R55" i="2"/>
  <c r="Q55" i="2"/>
  <c r="P55" i="2"/>
  <c r="O55" i="2"/>
  <c r="N55" i="2"/>
  <c r="M55" i="2"/>
  <c r="L55" i="2"/>
  <c r="K55" i="2"/>
  <c r="J55" i="2"/>
  <c r="I55" i="2"/>
  <c r="H55" i="2"/>
  <c r="G55" i="2"/>
  <c r="S55" i="2" s="1"/>
  <c r="AG53" i="2"/>
  <c r="AF53" i="2"/>
  <c r="AE53" i="2"/>
  <c r="AE55" i="2" s="1"/>
  <c r="AD53" i="2"/>
  <c r="AC53" i="2"/>
  <c r="AB53" i="2"/>
  <c r="AA53" i="2"/>
  <c r="AA55" i="2" s="1"/>
  <c r="Z53" i="2"/>
  <c r="Y53" i="2"/>
  <c r="X53" i="2"/>
  <c r="W53" i="2"/>
  <c r="W55" i="2" s="1"/>
  <c r="V53" i="2"/>
  <c r="AH53" i="2" s="1"/>
  <c r="AM53" i="2" s="1"/>
  <c r="S53" i="2"/>
  <c r="A53" i="2"/>
  <c r="AG52" i="2"/>
  <c r="AG55" i="2" s="1"/>
  <c r="AF52" i="2"/>
  <c r="AF55" i="2" s="1"/>
  <c r="AE52" i="2"/>
  <c r="AD52" i="2"/>
  <c r="AC52" i="2"/>
  <c r="AC55" i="2" s="1"/>
  <c r="AB52" i="2"/>
  <c r="AA52" i="2"/>
  <c r="Z52" i="2"/>
  <c r="Y52" i="2"/>
  <c r="Y55" i="2" s="1"/>
  <c r="X52" i="2"/>
  <c r="X55" i="2" s="1"/>
  <c r="W52" i="2"/>
  <c r="V52" i="2"/>
  <c r="S52" i="2"/>
  <c r="A52" i="2"/>
  <c r="I51" i="2"/>
  <c r="H51" i="2"/>
  <c r="I50" i="2"/>
  <c r="H50" i="2"/>
  <c r="AQ49" i="2"/>
  <c r="AO49" i="2"/>
  <c r="R49" i="2"/>
  <c r="Q49" i="2"/>
  <c r="P49" i="2"/>
  <c r="O49" i="2"/>
  <c r="N49" i="2"/>
  <c r="M49" i="2"/>
  <c r="L49" i="2"/>
  <c r="L57" i="2" s="1"/>
  <c r="K49" i="2"/>
  <c r="J49" i="2"/>
  <c r="I49" i="2"/>
  <c r="H49" i="2"/>
  <c r="G49" i="2"/>
  <c r="S49" i="2" s="1"/>
  <c r="AG47" i="2"/>
  <c r="AF47" i="2"/>
  <c r="AE47" i="2"/>
  <c r="AD47" i="2"/>
  <c r="AC47" i="2"/>
  <c r="AB47" i="2"/>
  <c r="AA47" i="2"/>
  <c r="Z47" i="2"/>
  <c r="Y47" i="2"/>
  <c r="X47" i="2"/>
  <c r="W47" i="2"/>
  <c r="V47" i="2"/>
  <c r="AH47" i="2" s="1"/>
  <c r="S47" i="2"/>
  <c r="A47" i="2"/>
  <c r="AG46" i="2"/>
  <c r="AF46" i="2"/>
  <c r="AE46" i="2"/>
  <c r="AD46" i="2"/>
  <c r="AC46" i="2"/>
  <c r="AB46" i="2"/>
  <c r="AA46" i="2"/>
  <c r="Z46" i="2"/>
  <c r="Y46" i="2"/>
  <c r="X46" i="2"/>
  <c r="W46" i="2"/>
  <c r="V46" i="2"/>
  <c r="AH46" i="2" s="1"/>
  <c r="S46" i="2"/>
  <c r="A46" i="2"/>
  <c r="AG45" i="2"/>
  <c r="AF45" i="2"/>
  <c r="AE45" i="2"/>
  <c r="AD45" i="2"/>
  <c r="AC45" i="2"/>
  <c r="AB45" i="2"/>
  <c r="AA45" i="2"/>
  <c r="Z45" i="2"/>
  <c r="Y45" i="2"/>
  <c r="X45" i="2"/>
  <c r="W45" i="2"/>
  <c r="V45" i="2"/>
  <c r="AH45" i="2" s="1"/>
  <c r="S45" i="2"/>
  <c r="A45" i="2"/>
  <c r="AG44" i="2"/>
  <c r="AF44" i="2"/>
  <c r="AE44" i="2"/>
  <c r="AD44" i="2"/>
  <c r="AC44" i="2"/>
  <c r="AB44" i="2"/>
  <c r="AA44" i="2"/>
  <c r="Z44" i="2"/>
  <c r="Y44" i="2"/>
  <c r="X44" i="2"/>
  <c r="W44" i="2"/>
  <c r="V44" i="2"/>
  <c r="AH44" i="2" s="1"/>
  <c r="S44" i="2"/>
  <c r="A44" i="2"/>
  <c r="AG43" i="2"/>
  <c r="AF43" i="2"/>
  <c r="AE43" i="2"/>
  <c r="AD43" i="2"/>
  <c r="AC43" i="2"/>
  <c r="AB43" i="2"/>
  <c r="AA43" i="2"/>
  <c r="Z43" i="2"/>
  <c r="Y43" i="2"/>
  <c r="X43" i="2"/>
  <c r="W43" i="2"/>
  <c r="V43" i="2"/>
  <c r="AH43" i="2" s="1"/>
  <c r="S43" i="2"/>
  <c r="A43" i="2"/>
  <c r="AG42" i="2"/>
  <c r="AF42" i="2"/>
  <c r="AE42" i="2"/>
  <c r="AD42" i="2"/>
  <c r="AC42" i="2"/>
  <c r="AB42" i="2"/>
  <c r="AA42" i="2"/>
  <c r="Z42" i="2"/>
  <c r="Y42" i="2"/>
  <c r="X42" i="2"/>
  <c r="W42" i="2"/>
  <c r="V42" i="2"/>
  <c r="AH42" i="2" s="1"/>
  <c r="S42" i="2"/>
  <c r="A42" i="2"/>
  <c r="AG41" i="2"/>
  <c r="AF41" i="2"/>
  <c r="AE41" i="2"/>
  <c r="AD41" i="2"/>
  <c r="AC41" i="2"/>
  <c r="AB41" i="2"/>
  <c r="AA41" i="2"/>
  <c r="Z41" i="2"/>
  <c r="Y41" i="2"/>
  <c r="X41" i="2"/>
  <c r="W41" i="2"/>
  <c r="V41" i="2"/>
  <c r="AH41" i="2" s="1"/>
  <c r="S41" i="2"/>
  <c r="A41" i="2"/>
  <c r="AG40" i="2"/>
  <c r="AF40" i="2"/>
  <c r="AE40" i="2"/>
  <c r="AD40" i="2"/>
  <c r="AC40" i="2"/>
  <c r="AB40" i="2"/>
  <c r="AA40" i="2"/>
  <c r="Z40" i="2"/>
  <c r="Y40" i="2"/>
  <c r="X40" i="2"/>
  <c r="W40" i="2"/>
  <c r="V40" i="2"/>
  <c r="AH40" i="2" s="1"/>
  <c r="S40" i="2"/>
  <c r="A40" i="2"/>
  <c r="AG39" i="2"/>
  <c r="AF39" i="2"/>
  <c r="AE39" i="2"/>
  <c r="AD39" i="2"/>
  <c r="AC39" i="2"/>
  <c r="AB39" i="2"/>
  <c r="AA39" i="2"/>
  <c r="Z39" i="2"/>
  <c r="Y39" i="2"/>
  <c r="X39" i="2"/>
  <c r="W39" i="2"/>
  <c r="V39" i="2"/>
  <c r="AH39" i="2" s="1"/>
  <c r="S39" i="2"/>
  <c r="A39" i="2"/>
  <c r="AG38" i="2"/>
  <c r="AF38" i="2"/>
  <c r="AE38" i="2"/>
  <c r="AD38" i="2"/>
  <c r="AC38" i="2"/>
  <c r="AB38" i="2"/>
  <c r="AA38" i="2"/>
  <c r="Z38" i="2"/>
  <c r="Y38" i="2"/>
  <c r="X38" i="2"/>
  <c r="W38" i="2"/>
  <c r="V38" i="2"/>
  <c r="AH38" i="2" s="1"/>
  <c r="S38" i="2"/>
  <c r="A38" i="2"/>
  <c r="AG37" i="2"/>
  <c r="AF37" i="2"/>
  <c r="AE37" i="2"/>
  <c r="AD37" i="2"/>
  <c r="AC37" i="2"/>
  <c r="AB37" i="2"/>
  <c r="AA37" i="2"/>
  <c r="Z37" i="2"/>
  <c r="Y37" i="2"/>
  <c r="X37" i="2"/>
  <c r="W37" i="2"/>
  <c r="V37" i="2"/>
  <c r="AH37" i="2" s="1"/>
  <c r="S37" i="2"/>
  <c r="A37" i="2"/>
  <c r="AG36" i="2"/>
  <c r="AF36" i="2"/>
  <c r="AE36" i="2"/>
  <c r="AD36" i="2"/>
  <c r="AC36" i="2"/>
  <c r="AB36" i="2"/>
  <c r="AA36" i="2"/>
  <c r="Z36" i="2"/>
  <c r="Y36" i="2"/>
  <c r="X36" i="2"/>
  <c r="W36" i="2"/>
  <c r="V36" i="2"/>
  <c r="AH36" i="2" s="1"/>
  <c r="S36" i="2"/>
  <c r="A36" i="2"/>
  <c r="AG35" i="2"/>
  <c r="AF35" i="2"/>
  <c r="AE35" i="2"/>
  <c r="AD35" i="2"/>
  <c r="AC35" i="2"/>
  <c r="AB35" i="2"/>
  <c r="AA35" i="2"/>
  <c r="Z35" i="2"/>
  <c r="Y35" i="2"/>
  <c r="X35" i="2"/>
  <c r="W35" i="2"/>
  <c r="V35" i="2"/>
  <c r="AH35" i="2" s="1"/>
  <c r="S35" i="2"/>
  <c r="A35" i="2"/>
  <c r="AG34" i="2"/>
  <c r="AF34" i="2"/>
  <c r="AE34" i="2"/>
  <c r="AD34" i="2"/>
  <c r="AC34" i="2"/>
  <c r="AB34" i="2"/>
  <c r="AA34" i="2"/>
  <c r="Z34" i="2"/>
  <c r="Y34" i="2"/>
  <c r="X34" i="2"/>
  <c r="W34" i="2"/>
  <c r="V34" i="2"/>
  <c r="AH34" i="2" s="1"/>
  <c r="S34" i="2"/>
  <c r="A34" i="2"/>
  <c r="AG33" i="2"/>
  <c r="AF33" i="2"/>
  <c r="AE33" i="2"/>
  <c r="AD33" i="2"/>
  <c r="AC33" i="2"/>
  <c r="AB33" i="2"/>
  <c r="AA33" i="2"/>
  <c r="Z33" i="2"/>
  <c r="Y33" i="2"/>
  <c r="X33" i="2"/>
  <c r="W33" i="2"/>
  <c r="V33" i="2"/>
  <c r="AH33" i="2" s="1"/>
  <c r="S33" i="2"/>
  <c r="A33" i="2"/>
  <c r="AG32" i="2"/>
  <c r="AF32" i="2"/>
  <c r="AE32" i="2"/>
  <c r="AD32" i="2"/>
  <c r="AC32" i="2"/>
  <c r="AB32" i="2"/>
  <c r="AA32" i="2"/>
  <c r="Z32" i="2"/>
  <c r="Y32" i="2"/>
  <c r="X32" i="2"/>
  <c r="W32" i="2"/>
  <c r="V32" i="2"/>
  <c r="AH32" i="2" s="1"/>
  <c r="AM32" i="2" s="1"/>
  <c r="S32" i="2"/>
  <c r="A32" i="2"/>
  <c r="AG31" i="2"/>
  <c r="AF31" i="2"/>
  <c r="AE31" i="2"/>
  <c r="AD31" i="2"/>
  <c r="AC31" i="2"/>
  <c r="AB31" i="2"/>
  <c r="AA31" i="2"/>
  <c r="Z31" i="2"/>
  <c r="Y31" i="2"/>
  <c r="X31" i="2"/>
  <c r="W31" i="2"/>
  <c r="V31" i="2"/>
  <c r="AH31" i="2" s="1"/>
  <c r="AM31" i="2" s="1"/>
  <c r="S31" i="2"/>
  <c r="A31" i="2"/>
  <c r="AS30" i="2"/>
  <c r="AG30" i="2"/>
  <c r="AF30" i="2"/>
  <c r="AE30" i="2"/>
  <c r="AD30" i="2"/>
  <c r="AC30" i="2"/>
  <c r="AB30" i="2"/>
  <c r="AA30" i="2"/>
  <c r="Z30" i="2"/>
  <c r="Y30" i="2"/>
  <c r="X30" i="2"/>
  <c r="W30" i="2"/>
  <c r="V30" i="2"/>
  <c r="AH30" i="2" s="1"/>
  <c r="AM30" i="2" s="1"/>
  <c r="S30" i="2"/>
  <c r="A30" i="2"/>
  <c r="AG29" i="2"/>
  <c r="AF29" i="2"/>
  <c r="AE29" i="2"/>
  <c r="AD29" i="2"/>
  <c r="AC29" i="2"/>
  <c r="AB29" i="2"/>
  <c r="AA29" i="2"/>
  <c r="Z29" i="2"/>
  <c r="Y29" i="2"/>
  <c r="X29" i="2"/>
  <c r="W29" i="2"/>
  <c r="V29" i="2"/>
  <c r="AH29" i="2" s="1"/>
  <c r="AM29" i="2" s="1"/>
  <c r="S29" i="2"/>
  <c r="A29" i="2"/>
  <c r="AS28" i="2"/>
  <c r="AG28" i="2"/>
  <c r="AF28" i="2"/>
  <c r="AE28" i="2"/>
  <c r="AD28" i="2"/>
  <c r="AC28" i="2"/>
  <c r="AB28" i="2"/>
  <c r="AA28" i="2"/>
  <c r="Z28" i="2"/>
  <c r="Y28" i="2"/>
  <c r="X28" i="2"/>
  <c r="W28" i="2"/>
  <c r="V28" i="2"/>
  <c r="S28" i="2"/>
  <c r="A28" i="2"/>
  <c r="AG27" i="2"/>
  <c r="AF27" i="2"/>
  <c r="AE27" i="2"/>
  <c r="AD27" i="2"/>
  <c r="AC27" i="2"/>
  <c r="AB27" i="2"/>
  <c r="AA27" i="2"/>
  <c r="Z27" i="2"/>
  <c r="Y27" i="2"/>
  <c r="X27" i="2"/>
  <c r="W27" i="2"/>
  <c r="V27" i="2"/>
  <c r="AH27" i="2" s="1"/>
  <c r="AM27" i="2" s="1"/>
  <c r="S27" i="2"/>
  <c r="A27" i="2"/>
  <c r="AG26" i="2"/>
  <c r="AF26" i="2"/>
  <c r="AE26" i="2"/>
  <c r="AD26" i="2"/>
  <c r="AC26" i="2"/>
  <c r="AB26" i="2"/>
  <c r="AA26" i="2"/>
  <c r="Z26" i="2"/>
  <c r="Y26" i="2"/>
  <c r="X26" i="2"/>
  <c r="W26" i="2"/>
  <c r="V26" i="2"/>
  <c r="AH26" i="2" s="1"/>
  <c r="AM26" i="2" s="1"/>
  <c r="S26" i="2"/>
  <c r="A26" i="2"/>
  <c r="AG25" i="2"/>
  <c r="AF25" i="2"/>
  <c r="AE25" i="2"/>
  <c r="AD25" i="2"/>
  <c r="AC25" i="2"/>
  <c r="AB25" i="2"/>
  <c r="AA25" i="2"/>
  <c r="Z25" i="2"/>
  <c r="Y25" i="2"/>
  <c r="X25" i="2"/>
  <c r="W25" i="2"/>
  <c r="V25" i="2"/>
  <c r="AH25" i="2" s="1"/>
  <c r="AM25" i="2" s="1"/>
  <c r="S25" i="2"/>
  <c r="A25" i="2"/>
  <c r="AG24" i="2"/>
  <c r="AF24" i="2"/>
  <c r="AE24" i="2"/>
  <c r="AD24" i="2"/>
  <c r="AC24" i="2"/>
  <c r="AB24" i="2"/>
  <c r="AA24" i="2"/>
  <c r="Z24" i="2"/>
  <c r="Y24" i="2"/>
  <c r="X24" i="2"/>
  <c r="W24" i="2"/>
  <c r="V24" i="2"/>
  <c r="AH24" i="2" s="1"/>
  <c r="AM24" i="2" s="1"/>
  <c r="S24" i="2"/>
  <c r="A24" i="2"/>
  <c r="AG23" i="2"/>
  <c r="AF23" i="2"/>
  <c r="AE23" i="2"/>
  <c r="AD23" i="2"/>
  <c r="AC23" i="2"/>
  <c r="AB23" i="2"/>
  <c r="AA23" i="2"/>
  <c r="Z23" i="2"/>
  <c r="Y23" i="2"/>
  <c r="X23" i="2"/>
  <c r="W23" i="2"/>
  <c r="V23" i="2"/>
  <c r="AH23" i="2" s="1"/>
  <c r="S23" i="2"/>
  <c r="A23" i="2"/>
  <c r="AG22" i="2"/>
  <c r="AF22" i="2"/>
  <c r="AE22" i="2"/>
  <c r="AD22" i="2"/>
  <c r="AC22" i="2"/>
  <c r="AB22" i="2"/>
  <c r="AA22" i="2"/>
  <c r="Z22" i="2"/>
  <c r="Y22" i="2"/>
  <c r="X22" i="2"/>
  <c r="W22" i="2"/>
  <c r="V22" i="2"/>
  <c r="AH22" i="2" s="1"/>
  <c r="S22" i="2"/>
  <c r="A22" i="2"/>
  <c r="AG21" i="2"/>
  <c r="AF21" i="2"/>
  <c r="AE21" i="2"/>
  <c r="AD21" i="2"/>
  <c r="AC21" i="2"/>
  <c r="AB21" i="2"/>
  <c r="AA21" i="2"/>
  <c r="Z21" i="2"/>
  <c r="Y21" i="2"/>
  <c r="X21" i="2"/>
  <c r="W21" i="2"/>
  <c r="V21" i="2"/>
  <c r="AH21" i="2" s="1"/>
  <c r="S21" i="2"/>
  <c r="A21" i="2"/>
  <c r="AG20" i="2"/>
  <c r="AF20" i="2"/>
  <c r="AE20" i="2"/>
  <c r="AD20" i="2"/>
  <c r="AC20" i="2"/>
  <c r="AB20" i="2"/>
  <c r="AA20" i="2"/>
  <c r="Z20" i="2"/>
  <c r="Y20" i="2"/>
  <c r="X20" i="2"/>
  <c r="W20" i="2"/>
  <c r="V20" i="2"/>
  <c r="AH20" i="2" s="1"/>
  <c r="S20" i="2"/>
  <c r="A20" i="2"/>
  <c r="AG19" i="2"/>
  <c r="AF19" i="2"/>
  <c r="AE19" i="2"/>
  <c r="AD19" i="2"/>
  <c r="AC19" i="2"/>
  <c r="AB19" i="2"/>
  <c r="AA19" i="2"/>
  <c r="Z19" i="2"/>
  <c r="Y19" i="2"/>
  <c r="X19" i="2"/>
  <c r="W19" i="2"/>
  <c r="V19" i="2"/>
  <c r="AH19" i="2" s="1"/>
  <c r="S19" i="2"/>
  <c r="A19" i="2"/>
  <c r="AG18" i="2"/>
  <c r="AF18" i="2"/>
  <c r="AE18" i="2"/>
  <c r="AD18" i="2"/>
  <c r="AC18" i="2"/>
  <c r="AB18" i="2"/>
  <c r="AA18" i="2"/>
  <c r="Z18" i="2"/>
  <c r="Y18" i="2"/>
  <c r="X18" i="2"/>
  <c r="W18" i="2"/>
  <c r="V18" i="2"/>
  <c r="AH18" i="2" s="1"/>
  <c r="S18" i="2"/>
  <c r="A18" i="2"/>
  <c r="AG17" i="2"/>
  <c r="AF17" i="2"/>
  <c r="AE17" i="2"/>
  <c r="AD17" i="2"/>
  <c r="AC17" i="2"/>
  <c r="AB17" i="2"/>
  <c r="AA17" i="2"/>
  <c r="Z17" i="2"/>
  <c r="Y17" i="2"/>
  <c r="X17" i="2"/>
  <c r="W17" i="2"/>
  <c r="V17" i="2"/>
  <c r="AH17" i="2" s="1"/>
  <c r="S17" i="2"/>
  <c r="A17" i="2"/>
  <c r="AG16" i="2"/>
  <c r="AF16" i="2"/>
  <c r="AE16" i="2"/>
  <c r="AD16" i="2"/>
  <c r="AC16" i="2"/>
  <c r="AB16" i="2"/>
  <c r="AA16" i="2"/>
  <c r="Z16" i="2"/>
  <c r="Y16" i="2"/>
  <c r="X16" i="2"/>
  <c r="W16" i="2"/>
  <c r="V16" i="2"/>
  <c r="AH16" i="2" s="1"/>
  <c r="AM16" i="2" s="1"/>
  <c r="S16" i="2"/>
  <c r="A16" i="2"/>
  <c r="AG15" i="2"/>
  <c r="AF15" i="2"/>
  <c r="AE15" i="2"/>
  <c r="AD15" i="2"/>
  <c r="AC15" i="2"/>
  <c r="AB15" i="2"/>
  <c r="AA15" i="2"/>
  <c r="Z15" i="2"/>
  <c r="Y15" i="2"/>
  <c r="X15" i="2"/>
  <c r="W15" i="2"/>
  <c r="V15" i="2"/>
  <c r="AH15" i="2" s="1"/>
  <c r="AM15" i="2" s="1"/>
  <c r="S15" i="2"/>
  <c r="A15" i="2"/>
  <c r="AG14" i="2"/>
  <c r="AF14" i="2"/>
  <c r="AE14" i="2"/>
  <c r="AD14" i="2"/>
  <c r="AC14" i="2"/>
  <c r="AB14" i="2"/>
  <c r="AB49" i="2" s="1"/>
  <c r="AA14" i="2"/>
  <c r="Z14" i="2"/>
  <c r="Y14" i="2"/>
  <c r="X14" i="2"/>
  <c r="X49" i="2" s="1"/>
  <c r="W14" i="2"/>
  <c r="V14" i="2"/>
  <c r="AH14" i="2" s="1"/>
  <c r="S14" i="2"/>
  <c r="A14" i="2"/>
  <c r="AG13" i="2"/>
  <c r="AG49" i="2" s="1"/>
  <c r="AF13" i="2"/>
  <c r="AF49" i="2" s="1"/>
  <c r="AE13" i="2"/>
  <c r="AE49" i="2" s="1"/>
  <c r="AD13" i="2"/>
  <c r="AD49" i="2" s="1"/>
  <c r="AC13" i="2"/>
  <c r="AC49" i="2" s="1"/>
  <c r="AB13" i="2"/>
  <c r="AA13" i="2"/>
  <c r="AA49" i="2" s="1"/>
  <c r="Z13" i="2"/>
  <c r="Z49" i="2" s="1"/>
  <c r="Y13" i="2"/>
  <c r="Y49" i="2" s="1"/>
  <c r="X13" i="2"/>
  <c r="W13" i="2"/>
  <c r="W49" i="2" s="1"/>
  <c r="V13" i="2"/>
  <c r="V49" i="2" s="1"/>
  <c r="S13" i="2"/>
  <c r="A13" i="2"/>
  <c r="V5" i="2"/>
  <c r="I5" i="2"/>
  <c r="J5" i="3" s="1"/>
  <c r="Y5" i="3" s="1"/>
  <c r="H5" i="2"/>
  <c r="I5" i="3" s="1"/>
  <c r="X5" i="3" s="1"/>
  <c r="R171" i="1"/>
  <c r="Q171" i="1"/>
  <c r="P171" i="1"/>
  <c r="O171" i="1"/>
  <c r="N171" i="1"/>
  <c r="M171" i="1"/>
  <c r="L171" i="1"/>
  <c r="K171" i="1"/>
  <c r="J171" i="1"/>
  <c r="I171" i="1"/>
  <c r="H171" i="1"/>
  <c r="G171" i="1"/>
  <c r="S170" i="1"/>
  <c r="S169" i="1"/>
  <c r="S168" i="1"/>
  <c r="S171" i="1" s="1"/>
  <c r="A168" i="1"/>
  <c r="AV163" i="1"/>
  <c r="BA19" i="1" s="1"/>
  <c r="R162" i="1"/>
  <c r="Q162" i="1"/>
  <c r="P162" i="1"/>
  <c r="O162" i="1"/>
  <c r="N162" i="1"/>
  <c r="M162" i="1"/>
  <c r="L162" i="1"/>
  <c r="K162" i="1"/>
  <c r="J162" i="1"/>
  <c r="I162" i="1"/>
  <c r="H162" i="1"/>
  <c r="G162" i="1"/>
  <c r="S162" i="1" s="1"/>
  <c r="AW160" i="1" s="1"/>
  <c r="AW163" i="1" s="1"/>
  <c r="S160" i="1"/>
  <c r="A160" i="1"/>
  <c r="AV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S157" i="1" s="1"/>
  <c r="AW153" i="1"/>
  <c r="AW157" i="1" s="1"/>
  <c r="S153" i="1"/>
  <c r="A153" i="1"/>
  <c r="AO150" i="1"/>
  <c r="AM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S150" i="1" s="1"/>
  <c r="AV149" i="1"/>
  <c r="AW149" i="1" s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AH148" i="1" s="1"/>
  <c r="AQ148" i="1" s="1"/>
  <c r="S148" i="1"/>
  <c r="A148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AH147" i="1" s="1"/>
  <c r="S147" i="1"/>
  <c r="A147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AH146" i="1" s="1"/>
  <c r="S146" i="1"/>
  <c r="A146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AH145" i="1" s="1"/>
  <c r="S145" i="1"/>
  <c r="A145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AH144" i="1" s="1"/>
  <c r="AQ144" i="1" s="1"/>
  <c r="S144" i="1"/>
  <c r="A144" i="1"/>
  <c r="AG143" i="1"/>
  <c r="AF143" i="1"/>
  <c r="AE143" i="1"/>
  <c r="AE150" i="1" s="1"/>
  <c r="AD143" i="1"/>
  <c r="AC143" i="1"/>
  <c r="AB143" i="1"/>
  <c r="AA143" i="1"/>
  <c r="AA150" i="1" s="1"/>
  <c r="Z143" i="1"/>
  <c r="Y143" i="1"/>
  <c r="X143" i="1"/>
  <c r="W143" i="1"/>
  <c r="W150" i="1" s="1"/>
  <c r="V143" i="1"/>
  <c r="AH143" i="1" s="1"/>
  <c r="AQ143" i="1" s="1"/>
  <c r="S143" i="1"/>
  <c r="A143" i="1"/>
  <c r="AH142" i="1"/>
  <c r="AQ142" i="1" s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S142" i="1"/>
  <c r="A142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AH141" i="1" s="1"/>
  <c r="AQ141" i="1" s="1"/>
  <c r="AQ150" i="1" s="1"/>
  <c r="S141" i="1"/>
  <c r="A141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AH140" i="1" s="1"/>
  <c r="S140" i="1"/>
  <c r="A140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AH139" i="1" s="1"/>
  <c r="S139" i="1"/>
  <c r="A139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AH138" i="1" s="1"/>
  <c r="S138" i="1"/>
  <c r="A138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AH137" i="1" s="1"/>
  <c r="S137" i="1"/>
  <c r="A137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AH136" i="1" s="1"/>
  <c r="S136" i="1"/>
  <c r="A136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AH135" i="1" s="1"/>
  <c r="S135" i="1"/>
  <c r="A135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AH134" i="1" s="1"/>
  <c r="S134" i="1"/>
  <c r="A134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S133" i="1"/>
  <c r="A133" i="1"/>
  <c r="AG132" i="1"/>
  <c r="AG150" i="1" s="1"/>
  <c r="AF132" i="1"/>
  <c r="AF150" i="1" s="1"/>
  <c r="AE132" i="1"/>
  <c r="AD132" i="1"/>
  <c r="AD150" i="1" s="1"/>
  <c r="AC132" i="1"/>
  <c r="AC150" i="1" s="1"/>
  <c r="AB132" i="1"/>
  <c r="AB150" i="1" s="1"/>
  <c r="AA132" i="1"/>
  <c r="Z132" i="1"/>
  <c r="Z150" i="1" s="1"/>
  <c r="Y132" i="1"/>
  <c r="Y150" i="1" s="1"/>
  <c r="X132" i="1"/>
  <c r="X150" i="1" s="1"/>
  <c r="W132" i="1"/>
  <c r="V132" i="1"/>
  <c r="AH132" i="1" s="1"/>
  <c r="AH150" i="1" s="1"/>
  <c r="S132" i="1"/>
  <c r="A132" i="1"/>
  <c r="AS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AH131" i="1" s="1"/>
  <c r="S131" i="1"/>
  <c r="A131" i="1"/>
  <c r="AQ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S125" i="1" s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AH123" i="1" s="1"/>
  <c r="S123" i="1"/>
  <c r="A123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S122" i="1"/>
  <c r="A122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S121" i="1"/>
  <c r="A121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S120" i="1"/>
  <c r="A120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AH119" i="1" s="1"/>
  <c r="S119" i="1"/>
  <c r="A119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AH118" i="1" s="1"/>
  <c r="S118" i="1"/>
  <c r="A118" i="1"/>
  <c r="S117" i="1"/>
  <c r="D117" i="1"/>
  <c r="AD117" i="1" s="1"/>
  <c r="A117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AH116" i="1" s="1"/>
  <c r="S116" i="1"/>
  <c r="A116" i="1"/>
  <c r="AH115" i="1"/>
  <c r="AO115" i="1" s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S115" i="1"/>
  <c r="A115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AH114" i="1" s="1"/>
  <c r="S114" i="1"/>
  <c r="A114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AH113" i="1" s="1"/>
  <c r="S113" i="1"/>
  <c r="A113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AH112" i="1" s="1"/>
  <c r="AO112" i="1" s="1"/>
  <c r="S112" i="1"/>
  <c r="A112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AH111" i="1" s="1"/>
  <c r="AO111" i="1" s="1"/>
  <c r="S111" i="1"/>
  <c r="A111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AH110" i="1" s="1"/>
  <c r="AO110" i="1" s="1"/>
  <c r="S110" i="1"/>
  <c r="A110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AH109" i="1" s="1"/>
  <c r="AO109" i="1" s="1"/>
  <c r="S109" i="1"/>
  <c r="A109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AH108" i="1" s="1"/>
  <c r="AO108" i="1" s="1"/>
  <c r="S108" i="1"/>
  <c r="A108" i="1"/>
  <c r="AG107" i="1"/>
  <c r="AE107" i="1"/>
  <c r="AD107" i="1"/>
  <c r="AC107" i="1"/>
  <c r="AA107" i="1"/>
  <c r="Z107" i="1"/>
  <c r="Y107" i="1"/>
  <c r="W107" i="1"/>
  <c r="V107" i="1"/>
  <c r="S107" i="1"/>
  <c r="D107" i="1"/>
  <c r="AF107" i="1" s="1"/>
  <c r="A107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AH106" i="1" s="1"/>
  <c r="AM106" i="1" s="1"/>
  <c r="S106" i="1"/>
  <c r="A106" i="1"/>
  <c r="AH105" i="1"/>
  <c r="AM105" i="1" s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S105" i="1"/>
  <c r="A105" i="1"/>
  <c r="AB104" i="1"/>
  <c r="S104" i="1"/>
  <c r="D104" i="1"/>
  <c r="X104" i="1" s="1"/>
  <c r="A104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S103" i="1"/>
  <c r="A103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AH102" i="1" s="1"/>
  <c r="S102" i="1"/>
  <c r="A102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AH101" i="1" s="1"/>
  <c r="S101" i="1"/>
  <c r="A101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S100" i="1"/>
  <c r="A100" i="1"/>
  <c r="AG99" i="1"/>
  <c r="AF99" i="1"/>
  <c r="AE99" i="1"/>
  <c r="AD99" i="1"/>
  <c r="AC99" i="1"/>
  <c r="AB99" i="1"/>
  <c r="AA99" i="1"/>
  <c r="Z99" i="1"/>
  <c r="Y99" i="1"/>
  <c r="X99" i="1"/>
  <c r="W99" i="1"/>
  <c r="V99" i="1"/>
  <c r="AH99" i="1" s="1"/>
  <c r="S99" i="1"/>
  <c r="A99" i="1"/>
  <c r="AG98" i="1"/>
  <c r="AF98" i="1"/>
  <c r="AE98" i="1"/>
  <c r="AD98" i="1"/>
  <c r="AC98" i="1"/>
  <c r="AB98" i="1"/>
  <c r="AA98" i="1"/>
  <c r="Z98" i="1"/>
  <c r="Y98" i="1"/>
  <c r="X98" i="1"/>
  <c r="W98" i="1"/>
  <c r="V98" i="1"/>
  <c r="AH98" i="1" s="1"/>
  <c r="S98" i="1"/>
  <c r="A98" i="1"/>
  <c r="AG97" i="1"/>
  <c r="AF97" i="1"/>
  <c r="AE97" i="1"/>
  <c r="AD97" i="1"/>
  <c r="AC97" i="1"/>
  <c r="AB97" i="1"/>
  <c r="AA97" i="1"/>
  <c r="Z97" i="1"/>
  <c r="Y97" i="1"/>
  <c r="X97" i="1"/>
  <c r="W97" i="1"/>
  <c r="V97" i="1"/>
  <c r="AH97" i="1" s="1"/>
  <c r="AO97" i="1" s="1"/>
  <c r="S97" i="1"/>
  <c r="A97" i="1"/>
  <c r="AG96" i="1"/>
  <c r="AF96" i="1"/>
  <c r="AE96" i="1"/>
  <c r="AD96" i="1"/>
  <c r="AC96" i="1"/>
  <c r="AB96" i="1"/>
  <c r="AA96" i="1"/>
  <c r="Z96" i="1"/>
  <c r="Y96" i="1"/>
  <c r="X96" i="1"/>
  <c r="W96" i="1"/>
  <c r="V96" i="1"/>
  <c r="S96" i="1"/>
  <c r="A96" i="1"/>
  <c r="AG95" i="1"/>
  <c r="AF95" i="1"/>
  <c r="AE95" i="1"/>
  <c r="AD95" i="1"/>
  <c r="AC95" i="1"/>
  <c r="AB95" i="1"/>
  <c r="AA95" i="1"/>
  <c r="Z95" i="1"/>
  <c r="Y95" i="1"/>
  <c r="X95" i="1"/>
  <c r="W95" i="1"/>
  <c r="V95" i="1"/>
  <c r="S95" i="1"/>
  <c r="A95" i="1"/>
  <c r="AG94" i="1"/>
  <c r="AF94" i="1"/>
  <c r="AE94" i="1"/>
  <c r="AD94" i="1"/>
  <c r="AC94" i="1"/>
  <c r="AB94" i="1"/>
  <c r="AA94" i="1"/>
  <c r="Z94" i="1"/>
  <c r="Y94" i="1"/>
  <c r="X94" i="1"/>
  <c r="W94" i="1"/>
  <c r="V94" i="1"/>
  <c r="AH94" i="1" s="1"/>
  <c r="AO94" i="1" s="1"/>
  <c r="S94" i="1"/>
  <c r="A94" i="1"/>
  <c r="AG93" i="1"/>
  <c r="AF93" i="1"/>
  <c r="AE93" i="1"/>
  <c r="AD93" i="1"/>
  <c r="AC93" i="1"/>
  <c r="AB93" i="1"/>
  <c r="AA93" i="1"/>
  <c r="Z93" i="1"/>
  <c r="Y93" i="1"/>
  <c r="X93" i="1"/>
  <c r="W93" i="1"/>
  <c r="V93" i="1"/>
  <c r="AH93" i="1" s="1"/>
  <c r="AO93" i="1" s="1"/>
  <c r="S93" i="1"/>
  <c r="A93" i="1"/>
  <c r="AG92" i="1"/>
  <c r="AF92" i="1"/>
  <c r="AE92" i="1"/>
  <c r="AD92" i="1"/>
  <c r="AC92" i="1"/>
  <c r="AB92" i="1"/>
  <c r="AA92" i="1"/>
  <c r="Z92" i="1"/>
  <c r="Y92" i="1"/>
  <c r="X92" i="1"/>
  <c r="W92" i="1"/>
  <c r="V92" i="1"/>
  <c r="AH92" i="1" s="1"/>
  <c r="AO92" i="1" s="1"/>
  <c r="S92" i="1"/>
  <c r="A92" i="1"/>
  <c r="AG91" i="1"/>
  <c r="AF91" i="1"/>
  <c r="AE91" i="1"/>
  <c r="AD91" i="1"/>
  <c r="AC91" i="1"/>
  <c r="AB91" i="1"/>
  <c r="AA91" i="1"/>
  <c r="Z91" i="1"/>
  <c r="Y91" i="1"/>
  <c r="X91" i="1"/>
  <c r="W91" i="1"/>
  <c r="V91" i="1"/>
  <c r="AH91" i="1" s="1"/>
  <c r="AO91" i="1" s="1"/>
  <c r="S91" i="1"/>
  <c r="A91" i="1"/>
  <c r="AG90" i="1"/>
  <c r="AF90" i="1"/>
  <c r="AE90" i="1"/>
  <c r="AD90" i="1"/>
  <c r="AC90" i="1"/>
  <c r="AB90" i="1"/>
  <c r="AA90" i="1"/>
  <c r="Z90" i="1"/>
  <c r="Y90" i="1"/>
  <c r="X90" i="1"/>
  <c r="W90" i="1"/>
  <c r="V90" i="1"/>
  <c r="S90" i="1"/>
  <c r="A90" i="1"/>
  <c r="AG89" i="1"/>
  <c r="AF89" i="1"/>
  <c r="AE89" i="1"/>
  <c r="AD89" i="1"/>
  <c r="AC89" i="1"/>
  <c r="AB89" i="1"/>
  <c r="AA89" i="1"/>
  <c r="Z89" i="1"/>
  <c r="Y89" i="1"/>
  <c r="X89" i="1"/>
  <c r="W89" i="1"/>
  <c r="V89" i="1"/>
  <c r="S89" i="1"/>
  <c r="A89" i="1"/>
  <c r="AG88" i="1"/>
  <c r="AF88" i="1"/>
  <c r="AE88" i="1"/>
  <c r="AD88" i="1"/>
  <c r="AC88" i="1"/>
  <c r="AB88" i="1"/>
  <c r="AA88" i="1"/>
  <c r="Z88" i="1"/>
  <c r="Y88" i="1"/>
  <c r="X88" i="1"/>
  <c r="W88" i="1"/>
  <c r="V88" i="1"/>
  <c r="AH88" i="1" s="1"/>
  <c r="S88" i="1"/>
  <c r="A88" i="1"/>
  <c r="AT87" i="1"/>
  <c r="AG87" i="1"/>
  <c r="AF87" i="1"/>
  <c r="AE87" i="1"/>
  <c r="AD87" i="1"/>
  <c r="AC87" i="1"/>
  <c r="AB87" i="1"/>
  <c r="AA87" i="1"/>
  <c r="Z87" i="1"/>
  <c r="Y87" i="1"/>
  <c r="X87" i="1"/>
  <c r="W87" i="1"/>
  <c r="V87" i="1"/>
  <c r="AH87" i="1" s="1"/>
  <c r="AO87" i="1" s="1"/>
  <c r="S87" i="1"/>
  <c r="A87" i="1"/>
  <c r="AT86" i="1"/>
  <c r="AG86" i="1"/>
  <c r="AF86" i="1"/>
  <c r="AE86" i="1"/>
  <c r="AD86" i="1"/>
  <c r="AC86" i="1"/>
  <c r="AB86" i="1"/>
  <c r="AA86" i="1"/>
  <c r="Z86" i="1"/>
  <c r="Y86" i="1"/>
  <c r="X86" i="1"/>
  <c r="W86" i="1"/>
  <c r="V86" i="1"/>
  <c r="AH86" i="1" s="1"/>
  <c r="AO86" i="1" s="1"/>
  <c r="S86" i="1"/>
  <c r="A86" i="1"/>
  <c r="AG85" i="1"/>
  <c r="AF85" i="1"/>
  <c r="AE85" i="1"/>
  <c r="AD85" i="1"/>
  <c r="AC85" i="1"/>
  <c r="AB85" i="1"/>
  <c r="AA85" i="1"/>
  <c r="Z85" i="1"/>
  <c r="Y85" i="1"/>
  <c r="X85" i="1"/>
  <c r="W85" i="1"/>
  <c r="V85" i="1"/>
  <c r="AH85" i="1" s="1"/>
  <c r="S85" i="1"/>
  <c r="A85" i="1"/>
  <c r="AG84" i="1"/>
  <c r="AF84" i="1"/>
  <c r="AE84" i="1"/>
  <c r="AD84" i="1"/>
  <c r="AC84" i="1"/>
  <c r="AB84" i="1"/>
  <c r="AA84" i="1"/>
  <c r="Z84" i="1"/>
  <c r="Y84" i="1"/>
  <c r="X84" i="1"/>
  <c r="W84" i="1"/>
  <c r="V84" i="1"/>
  <c r="S84" i="1"/>
  <c r="A84" i="1"/>
  <c r="AG83" i="1"/>
  <c r="AF83" i="1"/>
  <c r="AE83" i="1"/>
  <c r="AD83" i="1"/>
  <c r="AC83" i="1"/>
  <c r="AB83" i="1"/>
  <c r="AA83" i="1"/>
  <c r="Z83" i="1"/>
  <c r="Y83" i="1"/>
  <c r="X83" i="1"/>
  <c r="W83" i="1"/>
  <c r="V83" i="1"/>
  <c r="AH83" i="1" s="1"/>
  <c r="AO83" i="1" s="1"/>
  <c r="S83" i="1"/>
  <c r="A83" i="1"/>
  <c r="AG82" i="1"/>
  <c r="AF82" i="1"/>
  <c r="AE82" i="1"/>
  <c r="AD82" i="1"/>
  <c r="AC82" i="1"/>
  <c r="AB82" i="1"/>
  <c r="AA82" i="1"/>
  <c r="Z82" i="1"/>
  <c r="Y82" i="1"/>
  <c r="X82" i="1"/>
  <c r="W82" i="1"/>
  <c r="V82" i="1"/>
  <c r="AH82" i="1" s="1"/>
  <c r="S82" i="1"/>
  <c r="A82" i="1"/>
  <c r="AG81" i="1"/>
  <c r="AF81" i="1"/>
  <c r="AE81" i="1"/>
  <c r="AD81" i="1"/>
  <c r="AC81" i="1"/>
  <c r="AB81" i="1"/>
  <c r="AA81" i="1"/>
  <c r="Z81" i="1"/>
  <c r="Y81" i="1"/>
  <c r="X81" i="1"/>
  <c r="W81" i="1"/>
  <c r="V81" i="1"/>
  <c r="S81" i="1"/>
  <c r="A81" i="1"/>
  <c r="AG80" i="1"/>
  <c r="AF80" i="1"/>
  <c r="AE80" i="1"/>
  <c r="AD80" i="1"/>
  <c r="AC80" i="1"/>
  <c r="AB80" i="1"/>
  <c r="AA80" i="1"/>
  <c r="Z80" i="1"/>
  <c r="Y80" i="1"/>
  <c r="X80" i="1"/>
  <c r="W80" i="1"/>
  <c r="V80" i="1"/>
  <c r="AH80" i="1" s="1"/>
  <c r="S80" i="1"/>
  <c r="A80" i="1"/>
  <c r="AG79" i="1"/>
  <c r="AF79" i="1"/>
  <c r="AE79" i="1"/>
  <c r="AD79" i="1"/>
  <c r="AC79" i="1"/>
  <c r="AB79" i="1"/>
  <c r="AA79" i="1"/>
  <c r="Z79" i="1"/>
  <c r="Y79" i="1"/>
  <c r="X79" i="1"/>
  <c r="W79" i="1"/>
  <c r="V79" i="1"/>
  <c r="AH79" i="1" s="1"/>
  <c r="S79" i="1"/>
  <c r="A79" i="1"/>
  <c r="AG78" i="1"/>
  <c r="AF78" i="1"/>
  <c r="AE78" i="1"/>
  <c r="AD78" i="1"/>
  <c r="AC78" i="1"/>
  <c r="AB78" i="1"/>
  <c r="AA78" i="1"/>
  <c r="Z78" i="1"/>
  <c r="Y78" i="1"/>
  <c r="X78" i="1"/>
  <c r="W78" i="1"/>
  <c r="V78" i="1"/>
  <c r="AH78" i="1" s="1"/>
  <c r="S78" i="1"/>
  <c r="A78" i="1"/>
  <c r="AG77" i="1"/>
  <c r="AF77" i="1"/>
  <c r="AE77" i="1"/>
  <c r="AD77" i="1"/>
  <c r="AC77" i="1"/>
  <c r="AB77" i="1"/>
  <c r="AA77" i="1"/>
  <c r="Z77" i="1"/>
  <c r="Y77" i="1"/>
  <c r="X77" i="1"/>
  <c r="W77" i="1"/>
  <c r="V77" i="1"/>
  <c r="S77" i="1"/>
  <c r="A77" i="1"/>
  <c r="AG76" i="1"/>
  <c r="AF76" i="1"/>
  <c r="AE76" i="1"/>
  <c r="AD76" i="1"/>
  <c r="AC76" i="1"/>
  <c r="AB76" i="1"/>
  <c r="AA76" i="1"/>
  <c r="Z76" i="1"/>
  <c r="Y76" i="1"/>
  <c r="X76" i="1"/>
  <c r="W76" i="1"/>
  <c r="V76" i="1"/>
  <c r="S76" i="1"/>
  <c r="A76" i="1"/>
  <c r="AG75" i="1"/>
  <c r="AF75" i="1"/>
  <c r="AE75" i="1"/>
  <c r="AD75" i="1"/>
  <c r="AC75" i="1"/>
  <c r="AB75" i="1"/>
  <c r="AA75" i="1"/>
  <c r="Z75" i="1"/>
  <c r="Y75" i="1"/>
  <c r="X75" i="1"/>
  <c r="W75" i="1"/>
  <c r="V75" i="1"/>
  <c r="S75" i="1"/>
  <c r="A75" i="1"/>
  <c r="AG74" i="1"/>
  <c r="AF74" i="1"/>
  <c r="AE74" i="1"/>
  <c r="AD74" i="1"/>
  <c r="AC74" i="1"/>
  <c r="AB74" i="1"/>
  <c r="AA74" i="1"/>
  <c r="Z74" i="1"/>
  <c r="Y74" i="1"/>
  <c r="X74" i="1"/>
  <c r="W74" i="1"/>
  <c r="V74" i="1"/>
  <c r="AH74" i="1" s="1"/>
  <c r="AO74" i="1" s="1"/>
  <c r="S74" i="1"/>
  <c r="A74" i="1"/>
  <c r="AG73" i="1"/>
  <c r="AF73" i="1"/>
  <c r="AE73" i="1"/>
  <c r="AD73" i="1"/>
  <c r="AC73" i="1"/>
  <c r="AB73" i="1"/>
  <c r="AA73" i="1"/>
  <c r="Z73" i="1"/>
  <c r="Y73" i="1"/>
  <c r="X73" i="1"/>
  <c r="W73" i="1"/>
  <c r="V73" i="1"/>
  <c r="AH73" i="1" s="1"/>
  <c r="AO73" i="1" s="1"/>
  <c r="S73" i="1"/>
  <c r="A73" i="1"/>
  <c r="AG72" i="1"/>
  <c r="AF72" i="1"/>
  <c r="AE72" i="1"/>
  <c r="AD72" i="1"/>
  <c r="AC72" i="1"/>
  <c r="AB72" i="1"/>
  <c r="AA72" i="1"/>
  <c r="Z72" i="1"/>
  <c r="Y72" i="1"/>
  <c r="X72" i="1"/>
  <c r="W72" i="1"/>
  <c r="V72" i="1"/>
  <c r="S72" i="1"/>
  <c r="A72" i="1"/>
  <c r="AG71" i="1"/>
  <c r="AF71" i="1"/>
  <c r="AE71" i="1"/>
  <c r="AD71" i="1"/>
  <c r="AC71" i="1"/>
  <c r="AB71" i="1"/>
  <c r="AA71" i="1"/>
  <c r="Z71" i="1"/>
  <c r="Y71" i="1"/>
  <c r="X71" i="1"/>
  <c r="W71" i="1"/>
  <c r="V71" i="1"/>
  <c r="S71" i="1"/>
  <c r="A71" i="1"/>
  <c r="AG70" i="1"/>
  <c r="AF70" i="1"/>
  <c r="AE70" i="1"/>
  <c r="AD70" i="1"/>
  <c r="AC70" i="1"/>
  <c r="AB70" i="1"/>
  <c r="AA70" i="1"/>
  <c r="Z70" i="1"/>
  <c r="Y70" i="1"/>
  <c r="X70" i="1"/>
  <c r="W70" i="1"/>
  <c r="V70" i="1"/>
  <c r="AH70" i="1" s="1"/>
  <c r="AO70" i="1" s="1"/>
  <c r="S70" i="1"/>
  <c r="A70" i="1"/>
  <c r="AG69" i="1"/>
  <c r="AF69" i="1"/>
  <c r="AE69" i="1"/>
  <c r="AD69" i="1"/>
  <c r="AC69" i="1"/>
  <c r="AB69" i="1"/>
  <c r="AA69" i="1"/>
  <c r="Z69" i="1"/>
  <c r="Y69" i="1"/>
  <c r="X69" i="1"/>
  <c r="W69" i="1"/>
  <c r="V69" i="1"/>
  <c r="AH69" i="1" s="1"/>
  <c r="AO69" i="1" s="1"/>
  <c r="S69" i="1"/>
  <c r="A69" i="1"/>
  <c r="AG68" i="1"/>
  <c r="AF68" i="1"/>
  <c r="AE68" i="1"/>
  <c r="AD68" i="1"/>
  <c r="AC68" i="1"/>
  <c r="AB68" i="1"/>
  <c r="AA68" i="1"/>
  <c r="Z68" i="1"/>
  <c r="Y68" i="1"/>
  <c r="X68" i="1"/>
  <c r="W68" i="1"/>
  <c r="V68" i="1"/>
  <c r="AH68" i="1" s="1"/>
  <c r="AO68" i="1" s="1"/>
  <c r="S68" i="1"/>
  <c r="A68" i="1"/>
  <c r="AG67" i="1"/>
  <c r="AF67" i="1"/>
  <c r="AE67" i="1"/>
  <c r="AD67" i="1"/>
  <c r="AC67" i="1"/>
  <c r="AB67" i="1"/>
  <c r="AA67" i="1"/>
  <c r="Z67" i="1"/>
  <c r="Y67" i="1"/>
  <c r="X67" i="1"/>
  <c r="W67" i="1"/>
  <c r="V67" i="1"/>
  <c r="AH67" i="1" s="1"/>
  <c r="AO67" i="1" s="1"/>
  <c r="S67" i="1"/>
  <c r="A67" i="1"/>
  <c r="AG66" i="1"/>
  <c r="AF66" i="1"/>
  <c r="AE66" i="1"/>
  <c r="AD66" i="1"/>
  <c r="AC66" i="1"/>
  <c r="AB66" i="1"/>
  <c r="AA66" i="1"/>
  <c r="Z66" i="1"/>
  <c r="Y66" i="1"/>
  <c r="X66" i="1"/>
  <c r="W66" i="1"/>
  <c r="V66" i="1"/>
  <c r="AH66" i="1" s="1"/>
  <c r="AO66" i="1" s="1"/>
  <c r="S66" i="1"/>
  <c r="A66" i="1"/>
  <c r="AG65" i="1"/>
  <c r="AF65" i="1"/>
  <c r="AE65" i="1"/>
  <c r="AD65" i="1"/>
  <c r="AC65" i="1"/>
  <c r="AB65" i="1"/>
  <c r="AA65" i="1"/>
  <c r="Z65" i="1"/>
  <c r="Y65" i="1"/>
  <c r="X65" i="1"/>
  <c r="W65" i="1"/>
  <c r="V65" i="1"/>
  <c r="S65" i="1"/>
  <c r="A65" i="1"/>
  <c r="AG64" i="1"/>
  <c r="AF64" i="1"/>
  <c r="AE64" i="1"/>
  <c r="AD64" i="1"/>
  <c r="AC64" i="1"/>
  <c r="AB64" i="1"/>
  <c r="AA64" i="1"/>
  <c r="Z64" i="1"/>
  <c r="Y64" i="1"/>
  <c r="X64" i="1"/>
  <c r="W64" i="1"/>
  <c r="V64" i="1"/>
  <c r="S64" i="1"/>
  <c r="A64" i="1"/>
  <c r="AG63" i="1"/>
  <c r="AF63" i="1"/>
  <c r="AE63" i="1"/>
  <c r="AD63" i="1"/>
  <c r="AC63" i="1"/>
  <c r="AB63" i="1"/>
  <c r="AA63" i="1"/>
  <c r="Z63" i="1"/>
  <c r="Y63" i="1"/>
  <c r="X63" i="1"/>
  <c r="W63" i="1"/>
  <c r="V63" i="1"/>
  <c r="AH63" i="1" s="1"/>
  <c r="S63" i="1"/>
  <c r="A63" i="1"/>
  <c r="AG62" i="1"/>
  <c r="AF62" i="1"/>
  <c r="AE62" i="1"/>
  <c r="AD62" i="1"/>
  <c r="AC62" i="1"/>
  <c r="AB62" i="1"/>
  <c r="AA62" i="1"/>
  <c r="Z62" i="1"/>
  <c r="Y62" i="1"/>
  <c r="X62" i="1"/>
  <c r="W62" i="1"/>
  <c r="V62" i="1"/>
  <c r="AH62" i="1" s="1"/>
  <c r="S62" i="1"/>
  <c r="A62" i="1"/>
  <c r="I61" i="1"/>
  <c r="H61" i="1"/>
  <c r="I58" i="1"/>
  <c r="H58" i="1"/>
  <c r="I57" i="1"/>
  <c r="H57" i="1"/>
  <c r="AQ56" i="1"/>
  <c r="AO56" i="1"/>
  <c r="AG56" i="1"/>
  <c r="Y56" i="1"/>
  <c r="R56" i="1"/>
  <c r="R173" i="1" s="1"/>
  <c r="Q56" i="1"/>
  <c r="P56" i="1"/>
  <c r="O56" i="1"/>
  <c r="N56" i="1"/>
  <c r="N173" i="1" s="1"/>
  <c r="M56" i="1"/>
  <c r="L56" i="1"/>
  <c r="K56" i="1"/>
  <c r="J56" i="1"/>
  <c r="J173" i="1" s="1"/>
  <c r="I56" i="1"/>
  <c r="H56" i="1"/>
  <c r="G56" i="1"/>
  <c r="AU55" i="1"/>
  <c r="AV55" i="1" s="1"/>
  <c r="AW55" i="1" s="1"/>
  <c r="AG54" i="1"/>
  <c r="AF54" i="1"/>
  <c r="AE54" i="1"/>
  <c r="AD54" i="1"/>
  <c r="AD56" i="1" s="1"/>
  <c r="AC54" i="1"/>
  <c r="AB54" i="1"/>
  <c r="AA54" i="1"/>
  <c r="Z54" i="1"/>
  <c r="Z56" i="1" s="1"/>
  <c r="Y54" i="1"/>
  <c r="X54" i="1"/>
  <c r="W54" i="1"/>
  <c r="V54" i="1"/>
  <c r="AH54" i="1" s="1"/>
  <c r="AM54" i="1" s="1"/>
  <c r="S54" i="1"/>
  <c r="A54" i="1"/>
  <c r="AG53" i="1"/>
  <c r="AF53" i="1"/>
  <c r="AF56" i="1" s="1"/>
  <c r="AE53" i="1"/>
  <c r="AE56" i="1" s="1"/>
  <c r="AD53" i="1"/>
  <c r="AC53" i="1"/>
  <c r="AC56" i="1" s="1"/>
  <c r="AB53" i="1"/>
  <c r="AB56" i="1" s="1"/>
  <c r="AA53" i="1"/>
  <c r="AA56" i="1" s="1"/>
  <c r="Z53" i="1"/>
  <c r="Y53" i="1"/>
  <c r="X53" i="1"/>
  <c r="X56" i="1" s="1"/>
  <c r="W53" i="1"/>
  <c r="W56" i="1" s="1"/>
  <c r="V53" i="1"/>
  <c r="AH53" i="1" s="1"/>
  <c r="S53" i="1"/>
  <c r="A53" i="1"/>
  <c r="I52" i="1"/>
  <c r="H52" i="1"/>
  <c r="I51" i="1"/>
  <c r="H51" i="1"/>
  <c r="AQ50" i="1"/>
  <c r="AO50" i="1"/>
  <c r="R50" i="1"/>
  <c r="Q50" i="1"/>
  <c r="P50" i="1"/>
  <c r="O50" i="1"/>
  <c r="N50" i="1"/>
  <c r="M50" i="1"/>
  <c r="L50" i="1"/>
  <c r="K50" i="1"/>
  <c r="J50" i="1"/>
  <c r="I50" i="1"/>
  <c r="H50" i="1"/>
  <c r="G50" i="1"/>
  <c r="AG48" i="1"/>
  <c r="AF48" i="1"/>
  <c r="AE48" i="1"/>
  <c r="AD48" i="1"/>
  <c r="AC48" i="1"/>
  <c r="AB48" i="1"/>
  <c r="AA48" i="1"/>
  <c r="Z48" i="1"/>
  <c r="Y48" i="1"/>
  <c r="X48" i="1"/>
  <c r="W48" i="1"/>
  <c r="V48" i="1"/>
  <c r="AH48" i="1" s="1"/>
  <c r="S48" i="1"/>
  <c r="A48" i="1"/>
  <c r="AG47" i="1"/>
  <c r="AF47" i="1"/>
  <c r="AE47" i="1"/>
  <c r="AD47" i="1"/>
  <c r="AC47" i="1"/>
  <c r="AB47" i="1"/>
  <c r="AA47" i="1"/>
  <c r="Z47" i="1"/>
  <c r="Y47" i="1"/>
  <c r="X47" i="1"/>
  <c r="W47" i="1"/>
  <c r="V47" i="1"/>
  <c r="AH47" i="1" s="1"/>
  <c r="S47" i="1"/>
  <c r="A47" i="1"/>
  <c r="AG46" i="1"/>
  <c r="AF46" i="1"/>
  <c r="AE46" i="1"/>
  <c r="AD46" i="1"/>
  <c r="AC46" i="1"/>
  <c r="AB46" i="1"/>
  <c r="AA46" i="1"/>
  <c r="Z46" i="1"/>
  <c r="Y46" i="1"/>
  <c r="X46" i="1"/>
  <c r="W46" i="1"/>
  <c r="V46" i="1"/>
  <c r="S46" i="1"/>
  <c r="A46" i="1"/>
  <c r="AG45" i="1"/>
  <c r="AF45" i="1"/>
  <c r="AE45" i="1"/>
  <c r="AD45" i="1"/>
  <c r="AC45" i="1"/>
  <c r="AB45" i="1"/>
  <c r="AA45" i="1"/>
  <c r="Z45" i="1"/>
  <c r="Y45" i="1"/>
  <c r="X45" i="1"/>
  <c r="W45" i="1"/>
  <c r="V45" i="1"/>
  <c r="AH45" i="1" s="1"/>
  <c r="S45" i="1"/>
  <c r="A45" i="1"/>
  <c r="AG44" i="1"/>
  <c r="AF44" i="1"/>
  <c r="AE44" i="1"/>
  <c r="AD44" i="1"/>
  <c r="AC44" i="1"/>
  <c r="AB44" i="1"/>
  <c r="AA44" i="1"/>
  <c r="Z44" i="1"/>
  <c r="Y44" i="1"/>
  <c r="X44" i="1"/>
  <c r="W44" i="1"/>
  <c r="V44" i="1"/>
  <c r="S44" i="1"/>
  <c r="A44" i="1"/>
  <c r="BA43" i="1"/>
  <c r="AG43" i="1"/>
  <c r="AG50" i="1" s="1"/>
  <c r="AF43" i="1"/>
  <c r="AE43" i="1"/>
  <c r="AD43" i="1"/>
  <c r="AC43" i="1"/>
  <c r="AC50" i="1" s="1"/>
  <c r="AB43" i="1"/>
  <c r="AA43" i="1"/>
  <c r="Z43" i="1"/>
  <c r="Y43" i="1"/>
  <c r="X43" i="1"/>
  <c r="W43" i="1"/>
  <c r="V43" i="1"/>
  <c r="AH43" i="1" s="1"/>
  <c r="S43" i="1"/>
  <c r="A43" i="1"/>
  <c r="BA42" i="1"/>
  <c r="AG42" i="1"/>
  <c r="AF42" i="1"/>
  <c r="AE42" i="1"/>
  <c r="AD42" i="1"/>
  <c r="AC42" i="1"/>
  <c r="AB42" i="1"/>
  <c r="AA42" i="1"/>
  <c r="Z42" i="1"/>
  <c r="Y42" i="1"/>
  <c r="X42" i="1"/>
  <c r="W42" i="1"/>
  <c r="V42" i="1"/>
  <c r="AH42" i="1" s="1"/>
  <c r="S42" i="1"/>
  <c r="A42" i="1"/>
  <c r="BA41" i="1"/>
  <c r="AG41" i="1"/>
  <c r="AF41" i="1"/>
  <c r="AE41" i="1"/>
  <c r="AD41" i="1"/>
  <c r="AC41" i="1"/>
  <c r="AB41" i="1"/>
  <c r="AA41" i="1"/>
  <c r="Z41" i="1"/>
  <c r="Y41" i="1"/>
  <c r="X41" i="1"/>
  <c r="W41" i="1"/>
  <c r="V41" i="1"/>
  <c r="AH41" i="1" s="1"/>
  <c r="S41" i="1"/>
  <c r="A41" i="1"/>
  <c r="AG40" i="1"/>
  <c r="AF40" i="1"/>
  <c r="AE40" i="1"/>
  <c r="AD40" i="1"/>
  <c r="AC40" i="1"/>
  <c r="AB40" i="1"/>
  <c r="AA40" i="1"/>
  <c r="Z40" i="1"/>
  <c r="Y40" i="1"/>
  <c r="X40" i="1"/>
  <c r="AH40" i="1" s="1"/>
  <c r="W40" i="1"/>
  <c r="V40" i="1"/>
  <c r="S40" i="1"/>
  <c r="A40" i="1"/>
  <c r="AG39" i="1"/>
  <c r="AF39" i="1"/>
  <c r="AE39" i="1"/>
  <c r="AD39" i="1"/>
  <c r="AC39" i="1"/>
  <c r="AB39" i="1"/>
  <c r="AA39" i="1"/>
  <c r="Z39" i="1"/>
  <c r="Y39" i="1"/>
  <c r="X39" i="1"/>
  <c r="W39" i="1"/>
  <c r="V39" i="1"/>
  <c r="S39" i="1"/>
  <c r="A39" i="1"/>
  <c r="AG38" i="1"/>
  <c r="AF38" i="1"/>
  <c r="AE38" i="1"/>
  <c r="AD38" i="1"/>
  <c r="AC38" i="1"/>
  <c r="AB38" i="1"/>
  <c r="AA38" i="1"/>
  <c r="Z38" i="1"/>
  <c r="Y38" i="1"/>
  <c r="X38" i="1"/>
  <c r="W38" i="1"/>
  <c r="V38" i="1"/>
  <c r="AH38" i="1" s="1"/>
  <c r="S38" i="1"/>
  <c r="A38" i="1"/>
  <c r="AG37" i="1"/>
  <c r="AF37" i="1"/>
  <c r="AE37" i="1"/>
  <c r="AD37" i="1"/>
  <c r="AC37" i="1"/>
  <c r="AB37" i="1"/>
  <c r="AA37" i="1"/>
  <c r="Z37" i="1"/>
  <c r="Y37" i="1"/>
  <c r="X37" i="1"/>
  <c r="W37" i="1"/>
  <c r="V37" i="1"/>
  <c r="AH37" i="1" s="1"/>
  <c r="S37" i="1"/>
  <c r="A37" i="1"/>
  <c r="AG36" i="1"/>
  <c r="AF36" i="1"/>
  <c r="AE36" i="1"/>
  <c r="AD36" i="1"/>
  <c r="AC36" i="1"/>
  <c r="AB36" i="1"/>
  <c r="AA36" i="1"/>
  <c r="Z36" i="1"/>
  <c r="Y36" i="1"/>
  <c r="X36" i="1"/>
  <c r="W36" i="1"/>
  <c r="V36" i="1"/>
  <c r="S36" i="1"/>
  <c r="A36" i="1"/>
  <c r="AG35" i="1"/>
  <c r="AF35" i="1"/>
  <c r="AE35" i="1"/>
  <c r="AD35" i="1"/>
  <c r="AC35" i="1"/>
  <c r="AB35" i="1"/>
  <c r="AA35" i="1"/>
  <c r="Z35" i="1"/>
  <c r="Y35" i="1"/>
  <c r="AH35" i="1" s="1"/>
  <c r="X35" i="1"/>
  <c r="W35" i="1"/>
  <c r="V35" i="1"/>
  <c r="S35" i="1"/>
  <c r="A35" i="1"/>
  <c r="AG34" i="1"/>
  <c r="AF34" i="1"/>
  <c r="AE34" i="1"/>
  <c r="AD34" i="1"/>
  <c r="AC34" i="1"/>
  <c r="AB34" i="1"/>
  <c r="AA34" i="1"/>
  <c r="Z34" i="1"/>
  <c r="Y34" i="1"/>
  <c r="X34" i="1"/>
  <c r="W34" i="1"/>
  <c r="V34" i="1"/>
  <c r="AH34" i="1" s="1"/>
  <c r="AM34" i="1" s="1"/>
  <c r="S34" i="1"/>
  <c r="A34" i="1"/>
  <c r="AG33" i="1"/>
  <c r="AF33" i="1"/>
  <c r="AE33" i="1"/>
  <c r="AD33" i="1"/>
  <c r="AC33" i="1"/>
  <c r="AB33" i="1"/>
  <c r="AA33" i="1"/>
  <c r="Z33" i="1"/>
  <c r="AH33" i="1" s="1"/>
  <c r="AM33" i="1" s="1"/>
  <c r="Y33" i="1"/>
  <c r="X33" i="1"/>
  <c r="W33" i="1"/>
  <c r="V33" i="1"/>
  <c r="S33" i="1"/>
  <c r="A33" i="1"/>
  <c r="AG32" i="1"/>
  <c r="AF32" i="1"/>
  <c r="AE32" i="1"/>
  <c r="AD32" i="1"/>
  <c r="AC32" i="1"/>
  <c r="AB32" i="1"/>
  <c r="AA32" i="1"/>
  <c r="Z32" i="1"/>
  <c r="Y32" i="1"/>
  <c r="X32" i="1"/>
  <c r="W32" i="1"/>
  <c r="V32" i="1"/>
  <c r="AH32" i="1" s="1"/>
  <c r="AM32" i="1" s="1"/>
  <c r="S32" i="1"/>
  <c r="A32" i="1"/>
  <c r="AG31" i="1"/>
  <c r="AF31" i="1"/>
  <c r="AE31" i="1"/>
  <c r="AD31" i="1"/>
  <c r="AC31" i="1"/>
  <c r="AB31" i="1"/>
  <c r="AA31" i="1"/>
  <c r="Z31" i="1"/>
  <c r="Y31" i="1"/>
  <c r="X31" i="1"/>
  <c r="W31" i="1"/>
  <c r="V31" i="1"/>
  <c r="AH31" i="1" s="1"/>
  <c r="AM31" i="1" s="1"/>
  <c r="S31" i="1"/>
  <c r="A31" i="1"/>
  <c r="AG30" i="1"/>
  <c r="AF30" i="1"/>
  <c r="AE30" i="1"/>
  <c r="AD30" i="1"/>
  <c r="AC30" i="1"/>
  <c r="AB30" i="1"/>
  <c r="AA30" i="1"/>
  <c r="Z30" i="1"/>
  <c r="Y30" i="1"/>
  <c r="X30" i="1"/>
  <c r="W30" i="1"/>
  <c r="V30" i="1"/>
  <c r="S30" i="1"/>
  <c r="A30" i="1"/>
  <c r="AG29" i="1"/>
  <c r="AF29" i="1"/>
  <c r="AE29" i="1"/>
  <c r="AD29" i="1"/>
  <c r="AC29" i="1"/>
  <c r="AB29" i="1"/>
  <c r="AA29" i="1"/>
  <c r="Z29" i="1"/>
  <c r="Y29" i="1"/>
  <c r="X29" i="1"/>
  <c r="W29" i="1"/>
  <c r="V29" i="1"/>
  <c r="S29" i="1"/>
  <c r="A29" i="1"/>
  <c r="AG28" i="1"/>
  <c r="AF28" i="1"/>
  <c r="AE28" i="1"/>
  <c r="AD28" i="1"/>
  <c r="AC28" i="1"/>
  <c r="AB28" i="1"/>
  <c r="AA28" i="1"/>
  <c r="Z28" i="1"/>
  <c r="Z50" i="1" s="1"/>
  <c r="Y28" i="1"/>
  <c r="X28" i="1"/>
  <c r="W28" i="1"/>
  <c r="V28" i="1"/>
  <c r="AH28" i="1" s="1"/>
  <c r="AM28" i="1" s="1"/>
  <c r="S28" i="1"/>
  <c r="A28" i="1"/>
  <c r="AG27" i="1"/>
  <c r="AF27" i="1"/>
  <c r="AE27" i="1"/>
  <c r="AD27" i="1"/>
  <c r="AD50" i="1" s="1"/>
  <c r="AC27" i="1"/>
  <c r="AB27" i="1"/>
  <c r="AA27" i="1"/>
  <c r="Z27" i="1"/>
  <c r="Y27" i="1"/>
  <c r="X27" i="1"/>
  <c r="W27" i="1"/>
  <c r="V27" i="1"/>
  <c r="V50" i="1" s="1"/>
  <c r="S27" i="1"/>
  <c r="A27" i="1"/>
  <c r="AG26" i="1"/>
  <c r="AF26" i="1"/>
  <c r="AE26" i="1"/>
  <c r="AE50" i="1" s="1"/>
  <c r="AD26" i="1"/>
  <c r="AC26" i="1"/>
  <c r="AB26" i="1"/>
  <c r="AA26" i="1"/>
  <c r="AA50" i="1" s="1"/>
  <c r="Z26" i="1"/>
  <c r="Y26" i="1"/>
  <c r="Y50" i="1" s="1"/>
  <c r="X26" i="1"/>
  <c r="W26" i="1"/>
  <c r="W50" i="1" s="1"/>
  <c r="V26" i="1"/>
  <c r="AH26" i="1" s="1"/>
  <c r="AM26" i="1" s="1"/>
  <c r="S26" i="1"/>
  <c r="A26" i="1"/>
  <c r="AG25" i="1"/>
  <c r="AF25" i="1"/>
  <c r="AE25" i="1"/>
  <c r="AD25" i="1"/>
  <c r="AC25" i="1"/>
  <c r="AB25" i="1"/>
  <c r="AA25" i="1"/>
  <c r="Z25" i="1"/>
  <c r="Y25" i="1"/>
  <c r="X25" i="1"/>
  <c r="W25" i="1"/>
  <c r="V25" i="1"/>
  <c r="AH25" i="1" s="1"/>
  <c r="S25" i="1"/>
  <c r="A25" i="1"/>
  <c r="AG24" i="1"/>
  <c r="AF24" i="1"/>
  <c r="AE24" i="1"/>
  <c r="AD24" i="1"/>
  <c r="AC24" i="1"/>
  <c r="AB24" i="1"/>
  <c r="AA24" i="1"/>
  <c r="Z24" i="1"/>
  <c r="Y24" i="1"/>
  <c r="X24" i="1"/>
  <c r="W24" i="1"/>
  <c r="V24" i="1"/>
  <c r="S24" i="1"/>
  <c r="A24" i="1"/>
  <c r="AG23" i="1"/>
  <c r="AF23" i="1"/>
  <c r="AE23" i="1"/>
  <c r="AD23" i="1"/>
  <c r="AC23" i="1"/>
  <c r="AB23" i="1"/>
  <c r="AA23" i="1"/>
  <c r="Z23" i="1"/>
  <c r="Y23" i="1"/>
  <c r="X23" i="1"/>
  <c r="W23" i="1"/>
  <c r="V23" i="1"/>
  <c r="AH23" i="1" s="1"/>
  <c r="S23" i="1"/>
  <c r="A23" i="1"/>
  <c r="AG22" i="1"/>
  <c r="AF22" i="1"/>
  <c r="AE22" i="1"/>
  <c r="AD22" i="1"/>
  <c r="AC22" i="1"/>
  <c r="AB22" i="1"/>
  <c r="AA22" i="1"/>
  <c r="Z22" i="1"/>
  <c r="Y22" i="1"/>
  <c r="X22" i="1"/>
  <c r="W22" i="1"/>
  <c r="V22" i="1"/>
  <c r="AH22" i="1" s="1"/>
  <c r="S22" i="1"/>
  <c r="A22" i="1"/>
  <c r="AG21" i="1"/>
  <c r="AF21" i="1"/>
  <c r="AE21" i="1"/>
  <c r="AD21" i="1"/>
  <c r="AC21" i="1"/>
  <c r="AB21" i="1"/>
  <c r="AA21" i="1"/>
  <c r="Z21" i="1"/>
  <c r="Y21" i="1"/>
  <c r="X21" i="1"/>
  <c r="AH21" i="1" s="1"/>
  <c r="W21" i="1"/>
  <c r="V21" i="1"/>
  <c r="S21" i="1"/>
  <c r="A21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S20" i="1"/>
  <c r="A20" i="1"/>
  <c r="AG19" i="1"/>
  <c r="AF19" i="1"/>
  <c r="AE19" i="1"/>
  <c r="AD19" i="1"/>
  <c r="AC19" i="1"/>
  <c r="AB19" i="1"/>
  <c r="AA19" i="1"/>
  <c r="Z19" i="1"/>
  <c r="Y19" i="1"/>
  <c r="X19" i="1"/>
  <c r="W19" i="1"/>
  <c r="V19" i="1"/>
  <c r="AH19" i="1" s="1"/>
  <c r="S19" i="1"/>
  <c r="A19" i="1"/>
  <c r="AG18" i="1"/>
  <c r="AF18" i="1"/>
  <c r="AE18" i="1"/>
  <c r="AD18" i="1"/>
  <c r="AC18" i="1"/>
  <c r="AB18" i="1"/>
  <c r="AA18" i="1"/>
  <c r="Z18" i="1"/>
  <c r="Y18" i="1"/>
  <c r="X18" i="1"/>
  <c r="W18" i="1"/>
  <c r="V18" i="1"/>
  <c r="AH18" i="1" s="1"/>
  <c r="AM18" i="1" s="1"/>
  <c r="S18" i="1"/>
  <c r="A18" i="1"/>
  <c r="AG17" i="1"/>
  <c r="AF17" i="1"/>
  <c r="AE17" i="1"/>
  <c r="AD17" i="1"/>
  <c r="AC17" i="1"/>
  <c r="AB17" i="1"/>
  <c r="AA17" i="1"/>
  <c r="Z17" i="1"/>
  <c r="Y17" i="1"/>
  <c r="X17" i="1"/>
  <c r="W17" i="1"/>
  <c r="V17" i="1"/>
  <c r="AH17" i="1" s="1"/>
  <c r="AM17" i="1" s="1"/>
  <c r="S17" i="1"/>
  <c r="A17" i="1"/>
  <c r="AG16" i="1"/>
  <c r="AF16" i="1"/>
  <c r="AE16" i="1"/>
  <c r="AD16" i="1"/>
  <c r="AC16" i="1"/>
  <c r="AB16" i="1"/>
  <c r="AA16" i="1"/>
  <c r="Z16" i="1"/>
  <c r="Y16" i="1"/>
  <c r="X16" i="1"/>
  <c r="W16" i="1"/>
  <c r="V16" i="1"/>
  <c r="S16" i="1"/>
  <c r="A16" i="1"/>
  <c r="AG15" i="1"/>
  <c r="AF15" i="1"/>
  <c r="AE15" i="1"/>
  <c r="AD15" i="1"/>
  <c r="AC15" i="1"/>
  <c r="AB15" i="1"/>
  <c r="AA15" i="1"/>
  <c r="Z15" i="1"/>
  <c r="Y15" i="1"/>
  <c r="X15" i="1"/>
  <c r="W15" i="1"/>
  <c r="V15" i="1"/>
  <c r="AH15" i="1" s="1"/>
  <c r="S15" i="1"/>
  <c r="A15" i="1"/>
  <c r="AG14" i="1"/>
  <c r="AF14" i="1"/>
  <c r="AE14" i="1"/>
  <c r="AD14" i="1"/>
  <c r="AC14" i="1"/>
  <c r="AB14" i="1"/>
  <c r="AA14" i="1"/>
  <c r="Z14" i="1"/>
  <c r="Y14" i="1"/>
  <c r="X14" i="1"/>
  <c r="W14" i="1"/>
  <c r="V14" i="1"/>
  <c r="AH14" i="1" s="1"/>
  <c r="S14" i="1"/>
  <c r="A14" i="1"/>
  <c r="AG13" i="1"/>
  <c r="AF13" i="1"/>
  <c r="AE13" i="1"/>
  <c r="AD13" i="1"/>
  <c r="AC13" i="1"/>
  <c r="AB13" i="1"/>
  <c r="AA13" i="1"/>
  <c r="Z13" i="1"/>
  <c r="Y13" i="1"/>
  <c r="X13" i="1"/>
  <c r="W13" i="1"/>
  <c r="V13" i="1"/>
  <c r="AH13" i="1" s="1"/>
  <c r="AM13" i="1" s="1"/>
  <c r="S13" i="1"/>
  <c r="A13" i="1"/>
  <c r="I5" i="1"/>
  <c r="X5" i="1" s="1"/>
  <c r="H5" i="1"/>
  <c r="W5" i="1" s="1"/>
  <c r="G5" i="1"/>
  <c r="V5" i="1" s="1"/>
  <c r="B4" i="1"/>
  <c r="G173" i="1" l="1"/>
  <c r="S56" i="1"/>
  <c r="I173" i="1"/>
  <c r="M173" i="1"/>
  <c r="O173" i="1"/>
  <c r="K173" i="1"/>
  <c r="Q173" i="1"/>
  <c r="H7" i="5"/>
  <c r="G6" i="6"/>
  <c r="G7" i="6" s="1"/>
  <c r="AM53" i="1"/>
  <c r="AM56" i="1" s="1"/>
  <c r="AH56" i="1"/>
  <c r="AM15" i="1"/>
  <c r="AS15" i="1"/>
  <c r="AS17" i="1" s="1"/>
  <c r="AM14" i="1"/>
  <c r="AS14" i="1"/>
  <c r="AS27" i="1" s="1"/>
  <c r="AM43" i="1"/>
  <c r="AS43" i="1"/>
  <c r="AS28" i="1" s="1"/>
  <c r="AH16" i="1"/>
  <c r="AF50" i="1"/>
  <c r="AH27" i="1"/>
  <c r="AM27" i="1" s="1"/>
  <c r="AH30" i="1"/>
  <c r="AM30" i="1" s="1"/>
  <c r="AH44" i="1"/>
  <c r="H173" i="1"/>
  <c r="P173" i="1"/>
  <c r="AH77" i="1"/>
  <c r="AO77" i="1" s="1"/>
  <c r="AH36" i="1"/>
  <c r="AH65" i="1"/>
  <c r="AO65" i="1" s="1"/>
  <c r="AH71" i="1"/>
  <c r="AO71" i="1" s="1"/>
  <c r="AH76" i="1"/>
  <c r="AO76" i="1" s="1"/>
  <c r="AH84" i="1"/>
  <c r="AH90" i="1"/>
  <c r="AH95" i="1"/>
  <c r="AH100" i="1"/>
  <c r="AO100" i="1" s="1"/>
  <c r="Y125" i="1"/>
  <c r="AC125" i="1"/>
  <c r="AG125" i="1"/>
  <c r="AH24" i="1"/>
  <c r="AH29" i="1"/>
  <c r="AM29" i="1" s="1"/>
  <c r="AH39" i="1"/>
  <c r="AH46" i="1"/>
  <c r="V56" i="1"/>
  <c r="AH64" i="1"/>
  <c r="AH75" i="1"/>
  <c r="AO75" i="1" s="1"/>
  <c r="AH89" i="1"/>
  <c r="AH103" i="1"/>
  <c r="V125" i="1"/>
  <c r="Z125" i="1"/>
  <c r="AD125" i="1"/>
  <c r="X50" i="1"/>
  <c r="S50" i="1"/>
  <c r="S173" i="1" s="1"/>
  <c r="W125" i="1"/>
  <c r="AA125" i="1"/>
  <c r="AE125" i="1"/>
  <c r="AB50" i="1"/>
  <c r="L173" i="1"/>
  <c r="AQ173" i="1"/>
  <c r="AH72" i="1"/>
  <c r="AO72" i="1" s="1"/>
  <c r="AH81" i="1"/>
  <c r="AH96" i="1"/>
  <c r="AO96" i="1" s="1"/>
  <c r="AD104" i="1"/>
  <c r="Z104" i="1"/>
  <c r="V104" i="1"/>
  <c r="AG104" i="1"/>
  <c r="AC104" i="1"/>
  <c r="Y104" i="1"/>
  <c r="AF104" i="1"/>
  <c r="AE104" i="1"/>
  <c r="AA104" i="1"/>
  <c r="W104" i="1"/>
  <c r="X125" i="1"/>
  <c r="AB125" i="1"/>
  <c r="AF125" i="1"/>
  <c r="AR14" i="2"/>
  <c r="AR25" i="2" s="1"/>
  <c r="AM14" i="2"/>
  <c r="AM47" i="2"/>
  <c r="W117" i="1"/>
  <c r="AA117" i="1"/>
  <c r="AE117" i="1"/>
  <c r="AH122" i="1"/>
  <c r="V150" i="1"/>
  <c r="W5" i="2"/>
  <c r="AH13" i="2"/>
  <c r="AM13" i="2" s="1"/>
  <c r="AH68" i="2"/>
  <c r="AO68" i="2" s="1"/>
  <c r="AH70" i="2"/>
  <c r="AO70" i="2" s="1"/>
  <c r="AH72" i="2"/>
  <c r="AO72" i="2" s="1"/>
  <c r="AH85" i="2"/>
  <c r="AO85" i="2" s="1"/>
  <c r="AH86" i="2"/>
  <c r="AO86" i="2" s="1"/>
  <c r="AH87" i="2"/>
  <c r="AO87" i="2" s="1"/>
  <c r="AH88" i="2"/>
  <c r="AH111" i="2"/>
  <c r="AH113" i="2"/>
  <c r="AM113" i="2" s="1"/>
  <c r="AH115" i="2"/>
  <c r="AH119" i="2"/>
  <c r="AO119" i="2" s="1"/>
  <c r="AH120" i="2"/>
  <c r="AH125" i="2"/>
  <c r="AO125" i="2" s="1"/>
  <c r="Y155" i="2"/>
  <c r="AC155" i="2"/>
  <c r="AG155" i="2"/>
  <c r="X5" i="2"/>
  <c r="AH106" i="2"/>
  <c r="AH128" i="2"/>
  <c r="AH136" i="2"/>
  <c r="AM136" i="2" s="1"/>
  <c r="AO139" i="2"/>
  <c r="AH141" i="2"/>
  <c r="AO141" i="2" s="1"/>
  <c r="AH145" i="2"/>
  <c r="AQ171" i="2"/>
  <c r="AQ177" i="2" s="1"/>
  <c r="AH177" i="2"/>
  <c r="AU184" i="2"/>
  <c r="AV182" i="2"/>
  <c r="AV184" i="2" s="1"/>
  <c r="J189" i="2"/>
  <c r="N189" i="2"/>
  <c r="R189" i="2"/>
  <c r="AI12" i="3"/>
  <c r="AQ12" i="3" s="1"/>
  <c r="AH44" i="3"/>
  <c r="AS35" i="3"/>
  <c r="AI44" i="3"/>
  <c r="X117" i="1"/>
  <c r="AB117" i="1"/>
  <c r="AF117" i="1"/>
  <c r="X107" i="1"/>
  <c r="AH107" i="1" s="1"/>
  <c r="AB107" i="1"/>
  <c r="Y117" i="1"/>
  <c r="AC117" i="1"/>
  <c r="AG117" i="1"/>
  <c r="J5" i="2"/>
  <c r="AQ189" i="2"/>
  <c r="V55" i="2"/>
  <c r="Z55" i="2"/>
  <c r="AD55" i="2"/>
  <c r="AH52" i="2"/>
  <c r="AH67" i="2"/>
  <c r="AO67" i="2" s="1"/>
  <c r="AH69" i="2"/>
  <c r="AO69" i="2" s="1"/>
  <c r="AH71" i="2"/>
  <c r="AO71" i="2" s="1"/>
  <c r="AH73" i="2"/>
  <c r="AO73" i="2" s="1"/>
  <c r="AH83" i="2"/>
  <c r="AO83" i="2" s="1"/>
  <c r="AH90" i="2"/>
  <c r="AH94" i="2"/>
  <c r="AH98" i="2"/>
  <c r="AH103" i="2"/>
  <c r="AH109" i="2"/>
  <c r="AH117" i="2"/>
  <c r="AH122" i="2"/>
  <c r="AO122" i="2" s="1"/>
  <c r="AH123" i="2"/>
  <c r="AH127" i="2"/>
  <c r="AO127" i="2" s="1"/>
  <c r="AH135" i="2"/>
  <c r="AM135" i="2" s="1"/>
  <c r="W155" i="2"/>
  <c r="AA155" i="2"/>
  <c r="AE155" i="2"/>
  <c r="AH140" i="2"/>
  <c r="AO140" i="2" s="1"/>
  <c r="G189" i="2"/>
  <c r="K189" i="2"/>
  <c r="O189" i="2"/>
  <c r="AI15" i="3"/>
  <c r="AQ15" i="3" s="1"/>
  <c r="AI17" i="3"/>
  <c r="V117" i="1"/>
  <c r="AH117" i="1" s="1"/>
  <c r="Z117" i="1"/>
  <c r="AH28" i="2"/>
  <c r="AM28" i="2" s="1"/>
  <c r="V155" i="2"/>
  <c r="Z155" i="2"/>
  <c r="AD155" i="2"/>
  <c r="AH132" i="2"/>
  <c r="X155" i="2"/>
  <c r="AB155" i="2"/>
  <c r="AF155" i="2"/>
  <c r="H189" i="2"/>
  <c r="L189" i="2"/>
  <c r="P189" i="2"/>
  <c r="X138" i="2"/>
  <c r="AB138" i="2"/>
  <c r="AF138" i="2"/>
  <c r="AI11" i="3"/>
  <c r="AI33" i="3"/>
  <c r="I16" i="7"/>
  <c r="K8" i="7"/>
  <c r="AS44" i="3"/>
  <c r="V138" i="2"/>
  <c r="AH138" i="2" s="1"/>
  <c r="Z138" i="2"/>
  <c r="H64" i="3"/>
  <c r="L64" i="3"/>
  <c r="P64" i="3"/>
  <c r="T21" i="3"/>
  <c r="Z44" i="3"/>
  <c r="AD44" i="3"/>
  <c r="AI34" i="3"/>
  <c r="T44" i="3"/>
  <c r="S187" i="2"/>
  <c r="AU187" i="2" s="1"/>
  <c r="W44" i="3"/>
  <c r="AA44" i="3"/>
  <c r="AE44" i="3"/>
  <c r="AW52" i="3"/>
  <c r="AW54" i="3" s="1"/>
  <c r="AV54" i="3"/>
  <c r="BA29" i="1" s="1"/>
  <c r="J19" i="7"/>
  <c r="I9" i="7"/>
  <c r="S8" i="7"/>
  <c r="S7" i="7"/>
  <c r="S6" i="7"/>
  <c r="L27" i="7"/>
  <c r="AC6" i="7"/>
  <c r="S9" i="7"/>
  <c r="AC39" i="7"/>
  <c r="AC38" i="7"/>
  <c r="AC36" i="7"/>
  <c r="J27" i="7"/>
  <c r="M27" i="7" s="1"/>
  <c r="K11" i="7" s="1"/>
  <c r="AC34" i="7"/>
  <c r="AC32" i="7"/>
  <c r="AC31" i="7"/>
  <c r="AC24" i="7"/>
  <c r="AC23" i="7"/>
  <c r="AC22" i="7"/>
  <c r="AC18" i="7"/>
  <c r="AC17" i="7"/>
  <c r="AC16" i="7"/>
  <c r="AC14" i="7"/>
  <c r="AC13" i="7"/>
  <c r="AC12" i="7"/>
  <c r="AC11" i="7"/>
  <c r="AC9" i="7"/>
  <c r="AC8" i="7"/>
  <c r="AC37" i="7"/>
  <c r="AC29" i="7"/>
  <c r="AC28" i="7"/>
  <c r="AC27" i="7"/>
  <c r="I26" i="7"/>
  <c r="AC33" i="7"/>
  <c r="AC26" i="7"/>
  <c r="AC19" i="7"/>
  <c r="J47" i="7"/>
  <c r="AC21" i="7"/>
  <c r="K38" i="7"/>
  <c r="Z67" i="7" s="1"/>
  <c r="I9" i="8"/>
  <c r="J19" i="8"/>
  <c r="S9" i="8"/>
  <c r="S8" i="8"/>
  <c r="S7" i="8"/>
  <c r="S6" i="8"/>
  <c r="I16" i="8"/>
  <c r="K8" i="8"/>
  <c r="AC37" i="8"/>
  <c r="AC29" i="8"/>
  <c r="AC28" i="8"/>
  <c r="AC27" i="8"/>
  <c r="I26" i="8"/>
  <c r="AC33" i="8"/>
  <c r="AC26" i="8"/>
  <c r="AC39" i="8"/>
  <c r="AC38" i="8"/>
  <c r="AC36" i="8"/>
  <c r="J27" i="8"/>
  <c r="AC34" i="8"/>
  <c r="AC32" i="8"/>
  <c r="AC31" i="8"/>
  <c r="AC24" i="8"/>
  <c r="AC23" i="8"/>
  <c r="AC8" i="8"/>
  <c r="AC9" i="8"/>
  <c r="AC11" i="8"/>
  <c r="AC12" i="8"/>
  <c r="AC13" i="8"/>
  <c r="AC14" i="8"/>
  <c r="AC16" i="8"/>
  <c r="AC17" i="8"/>
  <c r="AC18" i="8"/>
  <c r="L27" i="8"/>
  <c r="M27" i="8"/>
  <c r="K11" i="8" s="1"/>
  <c r="AC6" i="8"/>
  <c r="AC19" i="8"/>
  <c r="AC22" i="8"/>
  <c r="AC7" i="8"/>
  <c r="AC21" i="8"/>
  <c r="J47" i="8"/>
  <c r="M11" i="7" l="1"/>
  <c r="I11" i="7"/>
  <c r="T198" i="2"/>
  <c r="S195" i="2"/>
  <c r="T8" i="8"/>
  <c r="U8" i="8" s="1"/>
  <c r="W8" i="8" s="1"/>
  <c r="X8" i="8" s="1"/>
  <c r="Z8" i="8" s="1"/>
  <c r="AA8" i="8" s="1"/>
  <c r="AB8" i="8" s="1"/>
  <c r="AD8" i="8" s="1"/>
  <c r="AE8" i="8" s="1"/>
  <c r="AF8" i="8" s="1"/>
  <c r="AG8" i="8" s="1"/>
  <c r="AH8" i="8" s="1"/>
  <c r="AU190" i="2"/>
  <c r="AV187" i="2"/>
  <c r="AV190" i="2" s="1"/>
  <c r="AI21" i="3"/>
  <c r="AL20" i="3" s="1"/>
  <c r="AQ11" i="3"/>
  <c r="AQ21" i="3" s="1"/>
  <c r="AQ64" i="3" s="1"/>
  <c r="AK155" i="2"/>
  <c r="AO90" i="2"/>
  <c r="AO155" i="2" s="1"/>
  <c r="AO189" i="2" s="1"/>
  <c r="AH55" i="2"/>
  <c r="AM52" i="2"/>
  <c r="AM55" i="2" s="1"/>
  <c r="AM49" i="2"/>
  <c r="AH49" i="2"/>
  <c r="K5" i="3"/>
  <c r="Z5" i="3" s="1"/>
  <c r="K5" i="2"/>
  <c r="Y5" i="2"/>
  <c r="J5" i="1"/>
  <c r="Y5" i="1" s="1"/>
  <c r="AH155" i="2"/>
  <c r="AS16" i="1"/>
  <c r="AS26" i="1" s="1"/>
  <c r="AM16" i="1"/>
  <c r="AM50" i="1" s="1"/>
  <c r="AM173" i="1" s="1"/>
  <c r="T6" i="8"/>
  <c r="U6" i="8" s="1"/>
  <c r="W6" i="8" s="1"/>
  <c r="X6" i="8" s="1"/>
  <c r="Z6" i="8" s="1"/>
  <c r="AA6" i="8" s="1"/>
  <c r="AB6" i="8" s="1"/>
  <c r="AD6" i="8" s="1"/>
  <c r="AE6" i="8" s="1"/>
  <c r="AF6" i="8" s="1"/>
  <c r="AG6" i="8" s="1"/>
  <c r="AH6" i="8" s="1"/>
  <c r="T7" i="8"/>
  <c r="U7" i="8" s="1"/>
  <c r="W7" i="8" s="1"/>
  <c r="X7" i="8" s="1"/>
  <c r="Z7" i="8" s="1"/>
  <c r="AA7" i="8" s="1"/>
  <c r="AB7" i="8" s="1"/>
  <c r="AD7" i="8" s="1"/>
  <c r="AE7" i="8" s="1"/>
  <c r="AF7" i="8" s="1"/>
  <c r="AG7" i="8" s="1"/>
  <c r="AH7" i="8" s="1"/>
  <c r="T9" i="7"/>
  <c r="U9" i="7" s="1"/>
  <c r="W9" i="7" s="1"/>
  <c r="X9" i="7" s="1"/>
  <c r="Z9" i="7" s="1"/>
  <c r="AA9" i="7" s="1"/>
  <c r="AB9" i="7" s="1"/>
  <c r="AD9" i="7" s="1"/>
  <c r="AE9" i="7" s="1"/>
  <c r="AF9" i="7" s="1"/>
  <c r="AG9" i="7" s="1"/>
  <c r="AH9" i="7" s="1"/>
  <c r="T7" i="7"/>
  <c r="U7" i="7" s="1"/>
  <c r="W7" i="7" s="1"/>
  <c r="X7" i="7" s="1"/>
  <c r="Z7" i="7" s="1"/>
  <c r="AA7" i="7" s="1"/>
  <c r="AB7" i="7" s="1"/>
  <c r="AD7" i="7" s="1"/>
  <c r="AE7" i="7" s="1"/>
  <c r="AF7" i="7" s="1"/>
  <c r="AG7" i="7" s="1"/>
  <c r="AH7" i="7" s="1"/>
  <c r="AS64" i="3"/>
  <c r="AL44" i="3"/>
  <c r="AK124" i="1"/>
  <c r="AM103" i="1"/>
  <c r="AM125" i="1" s="1"/>
  <c r="I28" i="8"/>
  <c r="J26" i="8"/>
  <c r="T9" i="8"/>
  <c r="U9" i="8" s="1"/>
  <c r="W9" i="8" s="1"/>
  <c r="X9" i="8" s="1"/>
  <c r="Z9" i="8" s="1"/>
  <c r="AA9" i="8" s="1"/>
  <c r="AB9" i="8" s="1"/>
  <c r="AD9" i="8" s="1"/>
  <c r="AE9" i="8" s="1"/>
  <c r="AF9" i="8" s="1"/>
  <c r="AG9" i="8" s="1"/>
  <c r="AH9" i="8" s="1"/>
  <c r="I28" i="7"/>
  <c r="J26" i="7"/>
  <c r="T6" i="7"/>
  <c r="U6" i="7" s="1"/>
  <c r="W6" i="7" s="1"/>
  <c r="X6" i="7" s="1"/>
  <c r="Z6" i="7" s="1"/>
  <c r="AA6" i="7" s="1"/>
  <c r="AB6" i="7" s="1"/>
  <c r="AD6" i="7" s="1"/>
  <c r="AE6" i="7" s="1"/>
  <c r="AF6" i="7" s="1"/>
  <c r="AG6" i="7" s="1"/>
  <c r="AH6" i="7" s="1"/>
  <c r="I11" i="8"/>
  <c r="M11" i="8"/>
  <c r="T8" i="7"/>
  <c r="U8" i="7" s="1"/>
  <c r="W8" i="7" s="1"/>
  <c r="X8" i="7" s="1"/>
  <c r="Z8" i="7" s="1"/>
  <c r="AA8" i="7" s="1"/>
  <c r="AB8" i="7" s="1"/>
  <c r="AD8" i="7" s="1"/>
  <c r="AE8" i="7" s="1"/>
  <c r="AF8" i="7" s="1"/>
  <c r="AG8" i="7" s="1"/>
  <c r="AH8" i="7" s="1"/>
  <c r="T64" i="3"/>
  <c r="AM132" i="2"/>
  <c r="AK154" i="2"/>
  <c r="S189" i="2"/>
  <c r="AI177" i="2"/>
  <c r="AH189" i="2"/>
  <c r="AM155" i="2"/>
  <c r="AO122" i="1"/>
  <c r="AH125" i="1"/>
  <c r="AH162" i="1" s="1"/>
  <c r="AH104" i="1"/>
  <c r="AO125" i="1"/>
  <c r="AH50" i="1"/>
  <c r="L5" i="3" l="1"/>
  <c r="AA5" i="3" s="1"/>
  <c r="Z5" i="2"/>
  <c r="L5" i="2"/>
  <c r="K5" i="1"/>
  <c r="Z5" i="1" s="1"/>
  <c r="AI155" i="2"/>
  <c r="AI189" i="2" s="1"/>
  <c r="AI157" i="2"/>
  <c r="AK125" i="1"/>
  <c r="AO173" i="1"/>
  <c r="S193" i="2"/>
  <c r="S198" i="2" s="1"/>
  <c r="S200" i="2" s="1"/>
  <c r="AM189" i="2"/>
  <c r="AS189" i="2" s="1"/>
  <c r="BA25" i="1"/>
  <c r="M5" i="3" l="1"/>
  <c r="AB5" i="3" s="1"/>
  <c r="L5" i="1"/>
  <c r="AA5" i="1" s="1"/>
  <c r="M5" i="2"/>
  <c r="AA5" i="2"/>
  <c r="N5" i="3" l="1"/>
  <c r="AC5" i="3" s="1"/>
  <c r="N5" i="2"/>
  <c r="AB5" i="2"/>
  <c r="M5" i="1"/>
  <c r="AB5" i="1" s="1"/>
  <c r="O5" i="3" l="1"/>
  <c r="AD5" i="3" s="1"/>
  <c r="O5" i="2"/>
  <c r="AC5" i="2"/>
  <c r="N5" i="1"/>
  <c r="AC5" i="1" s="1"/>
  <c r="P5" i="3" l="1"/>
  <c r="AE5" i="3" s="1"/>
  <c r="AD5" i="2"/>
  <c r="P5" i="2"/>
  <c r="O5" i="1"/>
  <c r="AD5" i="1" s="1"/>
  <c r="Q5" i="3" l="1"/>
  <c r="AF5" i="3" s="1"/>
  <c r="P5" i="1"/>
  <c r="AE5" i="1" s="1"/>
  <c r="Q5" i="2"/>
  <c r="AE5" i="2"/>
  <c r="R5" i="3" l="1"/>
  <c r="AG5" i="3" s="1"/>
  <c r="R5" i="2"/>
  <c r="AF5" i="2"/>
  <c r="Q5" i="1"/>
  <c r="AF5" i="1" s="1"/>
  <c r="S5" i="3" l="1"/>
  <c r="AH5" i="3" s="1"/>
  <c r="AG5" i="2"/>
  <c r="R5" i="1"/>
  <c r="AG5" i="1" s="1"/>
  <c r="AM2" i="4" l="1"/>
  <c r="AJ8" i="4" s="1"/>
  <c r="AK8" i="4" s="1"/>
  <c r="AL8" i="4" s="1"/>
  <c r="AJ9" i="4"/>
  <c r="AK9" i="4" s="1"/>
  <c r="AL9" i="4" s="1"/>
  <c r="AJ7" i="4" l="1"/>
  <c r="AK7" i="4" s="1"/>
  <c r="AL7" i="4" s="1"/>
  <c r="AJ6" i="4"/>
  <c r="AK6" i="4" s="1"/>
  <c r="AL6" i="4" l="1"/>
  <c r="AL10" i="4" s="1"/>
  <c r="AK10" i="4"/>
  <c r="BA13" i="1" l="1"/>
  <c r="E8" i="5" l="1"/>
  <c r="E11" i="5"/>
  <c r="E14" i="5"/>
  <c r="E15" i="5"/>
  <c r="E16" i="5"/>
  <c r="E17" i="5"/>
  <c r="E20" i="5"/>
  <c r="E23" i="5"/>
  <c r="E24" i="5"/>
  <c r="E28" i="5"/>
  <c r="E29" i="5"/>
  <c r="E30" i="5"/>
  <c r="E31" i="5"/>
  <c r="E32" i="5"/>
  <c r="E33" i="5"/>
  <c r="E34" i="5"/>
  <c r="E35" i="5"/>
  <c r="E36" i="5"/>
  <c r="E37" i="5"/>
  <c r="E42" i="5"/>
  <c r="E43" i="5"/>
  <c r="E46" i="5"/>
  <c r="E47" i="5"/>
  <c r="E50" i="5"/>
  <c r="E53" i="5"/>
  <c r="E55" i="5"/>
  <c r="E58" i="5"/>
  <c r="E59" i="5"/>
  <c r="E60" i="5"/>
  <c r="E62" i="5"/>
  <c r="E65" i="5"/>
  <c r="E66" i="5"/>
  <c r="E67" i="5"/>
  <c r="E68" i="5"/>
  <c r="E69" i="5"/>
  <c r="E70" i="5"/>
  <c r="E71" i="5"/>
  <c r="E72" i="5"/>
  <c r="E73" i="5"/>
  <c r="E75" i="5"/>
  <c r="E76" i="5"/>
  <c r="E79" i="5"/>
  <c r="E80" i="5"/>
  <c r="E82" i="5"/>
  <c r="E83" i="5"/>
  <c r="E84" i="5"/>
  <c r="E85" i="5"/>
  <c r="E86" i="5"/>
  <c r="E87" i="5"/>
  <c r="E88" i="5"/>
  <c r="E91" i="5"/>
  <c r="E92" i="5"/>
  <c r="E93" i="5"/>
  <c r="E94" i="5"/>
  <c r="E95" i="5"/>
  <c r="E100" i="5"/>
  <c r="E101" i="5"/>
  <c r="E102" i="5"/>
  <c r="E105" i="5"/>
  <c r="E106" i="5"/>
  <c r="E107" i="5"/>
  <c r="E110" i="5"/>
  <c r="E111" i="5"/>
  <c r="E112" i="5"/>
  <c r="E116" i="5"/>
  <c r="E117" i="5"/>
  <c r="E118" i="5"/>
  <c r="E121" i="5"/>
  <c r="E122" i="5"/>
  <c r="E123" i="5"/>
  <c r="E126" i="5"/>
  <c r="E127" i="5"/>
  <c r="E128" i="5"/>
  <c r="E132" i="5"/>
  <c r="E133" i="5"/>
  <c r="E134" i="5"/>
  <c r="E135" i="5"/>
  <c r="E138" i="5"/>
  <c r="E139" i="5"/>
  <c r="E143" i="5"/>
  <c r="E144" i="5"/>
  <c r="E147" i="5"/>
  <c r="E148" i="5"/>
  <c r="E151" i="5"/>
  <c r="E152" i="5"/>
  <c r="E161" i="5"/>
  <c r="E162" i="5"/>
  <c r="E163" i="5"/>
  <c r="E164" i="5"/>
  <c r="E165" i="5"/>
  <c r="E166" i="5"/>
  <c r="E167" i="5"/>
  <c r="E170" i="5"/>
  <c r="E171" i="5"/>
  <c r="E172" i="5"/>
  <c r="E173" i="5"/>
  <c r="E174" i="5"/>
  <c r="E175" i="5"/>
  <c r="E176" i="5"/>
  <c r="E179" i="5"/>
  <c r="E180" i="5"/>
  <c r="E181" i="5"/>
  <c r="E182" i="5"/>
  <c r="E183" i="5"/>
  <c r="E184" i="5"/>
  <c r="E185" i="5"/>
  <c r="E189" i="5"/>
  <c r="E190" i="5"/>
  <c r="E191" i="5"/>
  <c r="E192" i="5"/>
  <c r="E193" i="5"/>
  <c r="E196" i="5"/>
  <c r="E197" i="5"/>
  <c r="E198" i="5"/>
  <c r="E199" i="5"/>
  <c r="E200" i="5"/>
  <c r="E203" i="5"/>
  <c r="E204" i="5"/>
  <c r="E205" i="5"/>
  <c r="E206" i="5"/>
  <c r="E207" i="5"/>
  <c r="E210" i="5"/>
  <c r="E211" i="5"/>
  <c r="E212" i="5"/>
  <c r="E213" i="5"/>
  <c r="E214" i="5"/>
  <c r="E216" i="5"/>
  <c r="E218" i="5"/>
  <c r="E222" i="5"/>
  <c r="E223" i="5"/>
  <c r="E225" i="5"/>
  <c r="E226" i="5"/>
  <c r="E228" i="5"/>
  <c r="E229" i="5"/>
  <c r="E231" i="5"/>
  <c r="E233" i="5"/>
  <c r="E235" i="5"/>
  <c r="E236" i="5"/>
  <c r="E237" i="5"/>
  <c r="E239" i="5"/>
  <c r="E243" i="5"/>
  <c r="E244" i="5"/>
  <c r="E246" i="5"/>
  <c r="E247" i="5"/>
  <c r="E248" i="5"/>
  <c r="E249" i="5"/>
  <c r="E251" i="5"/>
  <c r="E252" i="5"/>
  <c r="E253" i="5"/>
  <c r="E254" i="5"/>
  <c r="E256" i="5"/>
  <c r="E258" i="5"/>
  <c r="E260" i="5"/>
  <c r="E262" i="5"/>
  <c r="E265" i="5"/>
  <c r="E266" i="5"/>
  <c r="E268" i="5"/>
  <c r="E270" i="5"/>
  <c r="E274" i="5"/>
  <c r="E275" i="5"/>
  <c r="E276" i="5"/>
  <c r="E277" i="5"/>
  <c r="E278" i="5"/>
  <c r="E282" i="5"/>
  <c r="E283" i="5"/>
  <c r="E284" i="5"/>
  <c r="E285" i="5"/>
  <c r="E286" i="5"/>
  <c r="E289" i="5"/>
  <c r="E290" i="5"/>
  <c r="E291" i="5"/>
  <c r="E292" i="5"/>
  <c r="E293" i="5"/>
  <c r="E296" i="5"/>
  <c r="E297" i="5"/>
  <c r="E298" i="5"/>
  <c r="E299" i="5"/>
  <c r="E300" i="5"/>
  <c r="E304" i="5"/>
  <c r="E305" i="5"/>
  <c r="E306" i="5"/>
  <c r="E307" i="5"/>
  <c r="E308" i="5"/>
  <c r="E311" i="5"/>
  <c r="E312" i="5"/>
  <c r="E313" i="5"/>
  <c r="E314" i="5"/>
  <c r="E315" i="5"/>
  <c r="E317" i="5"/>
  <c r="E321" i="5"/>
  <c r="E322" i="5"/>
  <c r="E325" i="5"/>
  <c r="E326" i="5"/>
  <c r="E328" i="5"/>
  <c r="E330" i="5"/>
  <c r="E335" i="5"/>
  <c r="E336" i="5"/>
  <c r="E337" i="5"/>
  <c r="E338" i="5"/>
  <c r="E339" i="5"/>
  <c r="E343" i="5"/>
  <c r="E344" i="5"/>
  <c r="E345" i="5"/>
  <c r="E346" i="5"/>
  <c r="E347" i="5"/>
  <c r="E349" i="5"/>
  <c r="E351" i="5"/>
  <c r="E353" i="5"/>
  <c r="E358" i="5"/>
  <c r="E359" i="5"/>
  <c r="E360" i="5"/>
  <c r="E361" i="5"/>
  <c r="E362" i="5"/>
  <c r="E363" i="5"/>
  <c r="E365" i="5"/>
  <c r="E367" i="5"/>
  <c r="E369" i="5"/>
  <c r="E371" i="5"/>
  <c r="D8" i="6" l="1"/>
  <c r="D11" i="6"/>
  <c r="D12" i="6"/>
  <c r="D15" i="6"/>
  <c r="D16" i="6"/>
  <c r="D17" i="6"/>
  <c r="D18" i="6"/>
  <c r="D19" i="6"/>
  <c r="D20" i="6"/>
  <c r="D21" i="6"/>
  <c r="D22" i="6"/>
  <c r="D23" i="6"/>
  <c r="D25" i="6"/>
  <c r="D26" i="6"/>
  <c r="D30" i="6"/>
  <c r="D31" i="6"/>
  <c r="D33" i="6"/>
  <c r="D34" i="6"/>
  <c r="D35" i="6"/>
  <c r="D36" i="6"/>
  <c r="D37" i="6"/>
  <c r="D38" i="6"/>
  <c r="D39" i="6"/>
  <c r="D42" i="6"/>
  <c r="D43" i="6"/>
  <c r="D44" i="6"/>
  <c r="D45" i="6"/>
  <c r="D46" i="6"/>
  <c r="D49" i="6"/>
  <c r="D50" i="6"/>
  <c r="D58" i="6"/>
  <c r="D59" i="6"/>
  <c r="D60" i="6"/>
  <c r="D61" i="6"/>
  <c r="D62" i="6"/>
  <c r="D63" i="6"/>
  <c r="D65" i="6"/>
  <c r="D66" i="6"/>
  <c r="D67" i="6"/>
  <c r="D68" i="6"/>
  <c r="D69" i="6"/>
  <c r="D70" i="6"/>
  <c r="D72" i="6"/>
  <c r="D73" i="6"/>
  <c r="D74" i="6"/>
  <c r="D75" i="6"/>
  <c r="D76" i="6"/>
  <c r="D77" i="6"/>
  <c r="D79" i="6"/>
  <c r="D80" i="6"/>
  <c r="D81" i="6"/>
  <c r="D82" i="6"/>
  <c r="D83" i="6"/>
  <c r="D85" i="6"/>
  <c r="D86" i="6"/>
  <c r="D87" i="6"/>
  <c r="D88" i="6"/>
  <c r="D89" i="6"/>
  <c r="D91" i="6"/>
  <c r="D92" i="6"/>
  <c r="D93" i="6"/>
  <c r="D94" i="6"/>
  <c r="D95" i="6"/>
  <c r="D97" i="6"/>
  <c r="D98" i="6"/>
  <c r="D99" i="6"/>
  <c r="D100" i="6"/>
  <c r="D101" i="6"/>
  <c r="D103" i="6"/>
  <c r="D105" i="6"/>
  <c r="D109" i="6"/>
  <c r="D110" i="6"/>
  <c r="D112" i="6"/>
  <c r="D113" i="6"/>
  <c r="D115" i="6"/>
  <c r="D116" i="6"/>
  <c r="D118" i="6"/>
  <c r="D120" i="6"/>
  <c r="D122" i="6"/>
  <c r="D123" i="6"/>
  <c r="D124" i="6"/>
  <c r="D126" i="6"/>
  <c r="D129" i="6"/>
  <c r="D130" i="6"/>
  <c r="D132" i="6"/>
  <c r="D133" i="6"/>
  <c r="D134" i="6"/>
  <c r="D135" i="6"/>
  <c r="D138" i="6"/>
  <c r="D139" i="6"/>
  <c r="D140" i="6"/>
  <c r="D141" i="6"/>
  <c r="D143" i="6"/>
  <c r="D145" i="6"/>
  <c r="D147" i="6"/>
  <c r="D149" i="6"/>
  <c r="AY2" i="3"/>
  <c r="BA2" i="3"/>
  <c r="BD2" i="3"/>
  <c r="AU11" i="3"/>
  <c r="AV11" i="3"/>
  <c r="AW11" i="3"/>
  <c r="BC11" i="3"/>
  <c r="BD11" i="3"/>
  <c r="AU12" i="3"/>
  <c r="AV12" i="3"/>
  <c r="AW12" i="3"/>
  <c r="BC12" i="3"/>
  <c r="BD12" i="3"/>
  <c r="AU13" i="3"/>
  <c r="AV13" i="3"/>
  <c r="AW13" i="3"/>
  <c r="BC13" i="3"/>
  <c r="BD13" i="3"/>
  <c r="AU14" i="3"/>
  <c r="AV14" i="3"/>
  <c r="AW14" i="3"/>
  <c r="BC14" i="3"/>
  <c r="BD14" i="3"/>
  <c r="AU15" i="3"/>
  <c r="AV15" i="3"/>
  <c r="AW15" i="3"/>
  <c r="BC15" i="3"/>
  <c r="BD15" i="3"/>
  <c r="AU16" i="3"/>
  <c r="AV16" i="3"/>
  <c r="AW16" i="3"/>
  <c r="BC16" i="3"/>
  <c r="BD16" i="3"/>
  <c r="AU17" i="3"/>
  <c r="AV17" i="3"/>
  <c r="AW17" i="3"/>
  <c r="BC17" i="3"/>
  <c r="BD17" i="3"/>
  <c r="AU18" i="3"/>
  <c r="AV18" i="3"/>
  <c r="AW18" i="3"/>
  <c r="BC18" i="3"/>
  <c r="BD18" i="3"/>
  <c r="AU19" i="3"/>
  <c r="AV19" i="3"/>
  <c r="AW19" i="3"/>
  <c r="BC19" i="3"/>
  <c r="BD19" i="3"/>
  <c r="AV21" i="3"/>
  <c r="AW21" i="3"/>
  <c r="BC21" i="3"/>
  <c r="BD21" i="3"/>
  <c r="AU26" i="3"/>
  <c r="AV26" i="3"/>
  <c r="AW26" i="3"/>
  <c r="BC26" i="3"/>
  <c r="BD26" i="3"/>
  <c r="AU27" i="3"/>
  <c r="AV27" i="3"/>
  <c r="AW27" i="3"/>
  <c r="BC27" i="3"/>
  <c r="BD27" i="3"/>
  <c r="AU28" i="3"/>
  <c r="AV28" i="3"/>
  <c r="AW28" i="3"/>
  <c r="BC28" i="3"/>
  <c r="BD28" i="3"/>
  <c r="AU29" i="3"/>
  <c r="AV29" i="3"/>
  <c r="AW29" i="3"/>
  <c r="BC29" i="3"/>
  <c r="BD29" i="3"/>
  <c r="AU30" i="3"/>
  <c r="AV30" i="3"/>
  <c r="AW30" i="3"/>
  <c r="BC30" i="3"/>
  <c r="BD30" i="3"/>
  <c r="AU31" i="3"/>
  <c r="AV31" i="3"/>
  <c r="AW31" i="3"/>
  <c r="BC31" i="3"/>
  <c r="BD31" i="3"/>
  <c r="AU32" i="3"/>
  <c r="AV32" i="3"/>
  <c r="AW32" i="3"/>
  <c r="BC32" i="3"/>
  <c r="BD32" i="3"/>
  <c r="AU33" i="3"/>
  <c r="AV33" i="3"/>
  <c r="AW33" i="3"/>
  <c r="BC33" i="3"/>
  <c r="BD33" i="3"/>
  <c r="AU34" i="3"/>
  <c r="AV34" i="3"/>
  <c r="AW34" i="3"/>
  <c r="BC34" i="3"/>
  <c r="BD34" i="3"/>
  <c r="AU35" i="3"/>
  <c r="AV35" i="3"/>
  <c r="AW35" i="3"/>
  <c r="BC35" i="3"/>
  <c r="BD35" i="3"/>
  <c r="AU36" i="3"/>
  <c r="AV36" i="3"/>
  <c r="AW36" i="3"/>
  <c r="BC36" i="3"/>
  <c r="BD36" i="3"/>
  <c r="AU37" i="3"/>
  <c r="AV37" i="3"/>
  <c r="AW37" i="3"/>
  <c r="BC37" i="3"/>
  <c r="BD37" i="3"/>
  <c r="AU38" i="3"/>
  <c r="AV38" i="3"/>
  <c r="AW38" i="3"/>
  <c r="BC38" i="3"/>
  <c r="BD38" i="3"/>
  <c r="AU39" i="3"/>
  <c r="AV39" i="3"/>
  <c r="AW39" i="3"/>
  <c r="BC39" i="3"/>
  <c r="BD39" i="3"/>
  <c r="AU40" i="3"/>
  <c r="AV40" i="3"/>
  <c r="AW40" i="3"/>
  <c r="BC40" i="3"/>
  <c r="BD40" i="3"/>
  <c r="AU41" i="3"/>
  <c r="AV41" i="3"/>
  <c r="AW41" i="3"/>
  <c r="BC41" i="3"/>
  <c r="BD41" i="3"/>
  <c r="AU42" i="3"/>
  <c r="AV42" i="3"/>
  <c r="AW42" i="3"/>
  <c r="BC42" i="3"/>
  <c r="BD42" i="3"/>
  <c r="AU43" i="3"/>
  <c r="AV43" i="3"/>
  <c r="AW43" i="3"/>
  <c r="AV44" i="3"/>
  <c r="AW44" i="3"/>
  <c r="BC44" i="3"/>
  <c r="BD44" i="3"/>
  <c r="AU47" i="3"/>
  <c r="AU52" i="3"/>
  <c r="AV71" i="3"/>
  <c r="AW71" i="3"/>
  <c r="H8" i="5"/>
  <c r="H9" i="5"/>
  <c r="AX2" i="2"/>
  <c r="AZ2" i="2"/>
  <c r="BA2" i="2"/>
  <c r="BD2" i="2"/>
  <c r="AZ8" i="2"/>
  <c r="AZ9" i="2"/>
  <c r="AZ10" i="2"/>
  <c r="AT13" i="2"/>
  <c r="AU13" i="2"/>
  <c r="AV13" i="2"/>
  <c r="BC13" i="2"/>
  <c r="BD13" i="2"/>
  <c r="AT14" i="2"/>
  <c r="AU14" i="2"/>
  <c r="AV14" i="2"/>
  <c r="BC14" i="2"/>
  <c r="BD14" i="2"/>
  <c r="AT15" i="2"/>
  <c r="AU15" i="2"/>
  <c r="AV15" i="2"/>
  <c r="BC15" i="2"/>
  <c r="BD15" i="2"/>
  <c r="AT16" i="2"/>
  <c r="AU16" i="2"/>
  <c r="AV16" i="2"/>
  <c r="BC16" i="2"/>
  <c r="BD16" i="2"/>
  <c r="AT17" i="2"/>
  <c r="AU17" i="2"/>
  <c r="AV17" i="2"/>
  <c r="BC17" i="2"/>
  <c r="BD17" i="2"/>
  <c r="AT18" i="2"/>
  <c r="AU18" i="2"/>
  <c r="AV18" i="2"/>
  <c r="BC18" i="2"/>
  <c r="BD18" i="2"/>
  <c r="AT19" i="2"/>
  <c r="AU19" i="2"/>
  <c r="AV19" i="2"/>
  <c r="BC19" i="2"/>
  <c r="BD19" i="2"/>
  <c r="AT20" i="2"/>
  <c r="AU20" i="2"/>
  <c r="AV20" i="2"/>
  <c r="BC20" i="2"/>
  <c r="BD20" i="2"/>
  <c r="AT21" i="2"/>
  <c r="AU21" i="2"/>
  <c r="AV21" i="2"/>
  <c r="BC21" i="2"/>
  <c r="BD21" i="2"/>
  <c r="AT22" i="2"/>
  <c r="AU22" i="2"/>
  <c r="AV22" i="2"/>
  <c r="BC22" i="2"/>
  <c r="BD22" i="2"/>
  <c r="AT23" i="2"/>
  <c r="AU23" i="2"/>
  <c r="AV23" i="2"/>
  <c r="BC23" i="2"/>
  <c r="BD23" i="2"/>
  <c r="AT24" i="2"/>
  <c r="AU24" i="2"/>
  <c r="AV24" i="2"/>
  <c r="BC24" i="2"/>
  <c r="BD24" i="2"/>
  <c r="AT25" i="2"/>
  <c r="AU25" i="2"/>
  <c r="AV25" i="2"/>
  <c r="BC25" i="2"/>
  <c r="BD25" i="2"/>
  <c r="AT26" i="2"/>
  <c r="AU26" i="2"/>
  <c r="AV26" i="2"/>
  <c r="BC26" i="2"/>
  <c r="BD26" i="2"/>
  <c r="AT27" i="2"/>
  <c r="AU27" i="2"/>
  <c r="AV27" i="2"/>
  <c r="BC27" i="2"/>
  <c r="BD27" i="2"/>
  <c r="AT28" i="2"/>
  <c r="AU28" i="2"/>
  <c r="AV28" i="2"/>
  <c r="BC28" i="2"/>
  <c r="BD28" i="2"/>
  <c r="AT29" i="2"/>
  <c r="AU29" i="2"/>
  <c r="AV29" i="2"/>
  <c r="BC29" i="2"/>
  <c r="BD29" i="2"/>
  <c r="AT30" i="2"/>
  <c r="AU30" i="2"/>
  <c r="AV30" i="2"/>
  <c r="BC30" i="2"/>
  <c r="BD30" i="2"/>
  <c r="AT31" i="2"/>
  <c r="AU31" i="2"/>
  <c r="AV31" i="2"/>
  <c r="BC31" i="2"/>
  <c r="BD31" i="2"/>
  <c r="AT32" i="2"/>
  <c r="AU32" i="2"/>
  <c r="AV32" i="2"/>
  <c r="BC32" i="2"/>
  <c r="BD32" i="2"/>
  <c r="AT33" i="2"/>
  <c r="AU33" i="2"/>
  <c r="AV33" i="2"/>
  <c r="BC33" i="2"/>
  <c r="BD33" i="2"/>
  <c r="AT34" i="2"/>
  <c r="AU34" i="2"/>
  <c r="AV34" i="2"/>
  <c r="BC34" i="2"/>
  <c r="BD34" i="2"/>
  <c r="AT35" i="2"/>
  <c r="AU35" i="2"/>
  <c r="AV35" i="2"/>
  <c r="BC35" i="2"/>
  <c r="BD35" i="2"/>
  <c r="AT36" i="2"/>
  <c r="AU36" i="2"/>
  <c r="AV36" i="2"/>
  <c r="BC36" i="2"/>
  <c r="BD36" i="2"/>
  <c r="AT37" i="2"/>
  <c r="AU37" i="2"/>
  <c r="AV37" i="2"/>
  <c r="BC37" i="2"/>
  <c r="BD37" i="2"/>
  <c r="AT38" i="2"/>
  <c r="AU38" i="2"/>
  <c r="AV38" i="2"/>
  <c r="BC38" i="2"/>
  <c r="BD38" i="2"/>
  <c r="AT39" i="2"/>
  <c r="AU39" i="2"/>
  <c r="AV39" i="2"/>
  <c r="BC39" i="2"/>
  <c r="BD39" i="2"/>
  <c r="AT40" i="2"/>
  <c r="AU40" i="2"/>
  <c r="AV40" i="2"/>
  <c r="BC40" i="2"/>
  <c r="BD40" i="2"/>
  <c r="AT41" i="2"/>
  <c r="AU41" i="2"/>
  <c r="AV41" i="2"/>
  <c r="BC41" i="2"/>
  <c r="BD41" i="2"/>
  <c r="AT42" i="2"/>
  <c r="AU42" i="2"/>
  <c r="AV42" i="2"/>
  <c r="BC42" i="2"/>
  <c r="BD42" i="2"/>
  <c r="AT43" i="2"/>
  <c r="AU43" i="2"/>
  <c r="AV43" i="2"/>
  <c r="BC43" i="2"/>
  <c r="BD43" i="2"/>
  <c r="AT44" i="2"/>
  <c r="AU44" i="2"/>
  <c r="AV44" i="2"/>
  <c r="BC44" i="2"/>
  <c r="BD44" i="2"/>
  <c r="AT45" i="2"/>
  <c r="AU45" i="2"/>
  <c r="AV45" i="2"/>
  <c r="BC45" i="2"/>
  <c r="BD45" i="2"/>
  <c r="AT46" i="2"/>
  <c r="AU46" i="2"/>
  <c r="AV46" i="2"/>
  <c r="BC46" i="2"/>
  <c r="BD46" i="2"/>
  <c r="AT47" i="2"/>
  <c r="AU47" i="2"/>
  <c r="AV47" i="2"/>
  <c r="BC47" i="2"/>
  <c r="BD47" i="2"/>
  <c r="AU49" i="2"/>
  <c r="AV49" i="2"/>
  <c r="BC49" i="2"/>
  <c r="BD49" i="2"/>
  <c r="AT52" i="2"/>
  <c r="AU52" i="2"/>
  <c r="AV52" i="2"/>
  <c r="BC52" i="2"/>
  <c r="BD52" i="2"/>
  <c r="AT53" i="2"/>
  <c r="AU53" i="2"/>
  <c r="AV53" i="2"/>
  <c r="BC53" i="2"/>
  <c r="BD53" i="2"/>
  <c r="AU55" i="2"/>
  <c r="AV55" i="2"/>
  <c r="BC55" i="2"/>
  <c r="BD55" i="2"/>
  <c r="BC60" i="2"/>
  <c r="BD60" i="2"/>
  <c r="AT61" i="2"/>
  <c r="AU61" i="2"/>
  <c r="AV61" i="2"/>
  <c r="BC61" i="2"/>
  <c r="BD61" i="2"/>
  <c r="AT62" i="2"/>
  <c r="AU62" i="2"/>
  <c r="AV62" i="2"/>
  <c r="BC62" i="2"/>
  <c r="BD62" i="2"/>
  <c r="AT63" i="2"/>
  <c r="AU63" i="2"/>
  <c r="AV63" i="2"/>
  <c r="BC63" i="2"/>
  <c r="BD63" i="2"/>
  <c r="AT64" i="2"/>
  <c r="AU64" i="2"/>
  <c r="AV64" i="2"/>
  <c r="BC64" i="2"/>
  <c r="BD64" i="2"/>
  <c r="AT65" i="2"/>
  <c r="AU65" i="2"/>
  <c r="AV65" i="2"/>
  <c r="BC65" i="2"/>
  <c r="BD65" i="2"/>
  <c r="AT66" i="2"/>
  <c r="AU66" i="2"/>
  <c r="AV66" i="2"/>
  <c r="BC66" i="2"/>
  <c r="BD66" i="2"/>
  <c r="AT67" i="2"/>
  <c r="AU67" i="2"/>
  <c r="AV67" i="2"/>
  <c r="BC67" i="2"/>
  <c r="BD67" i="2"/>
  <c r="AT68" i="2"/>
  <c r="AU68" i="2"/>
  <c r="AV68" i="2"/>
  <c r="BC68" i="2"/>
  <c r="BD68" i="2"/>
  <c r="AT69" i="2"/>
  <c r="AU69" i="2"/>
  <c r="AV69" i="2"/>
  <c r="BC69" i="2"/>
  <c r="BD69" i="2"/>
  <c r="AT70" i="2"/>
  <c r="AU70" i="2"/>
  <c r="AV70" i="2"/>
  <c r="BC70" i="2"/>
  <c r="BD70" i="2"/>
  <c r="AT71" i="2"/>
  <c r="AU71" i="2"/>
  <c r="AV71" i="2"/>
  <c r="BC71" i="2"/>
  <c r="BD71" i="2"/>
  <c r="AT72" i="2"/>
  <c r="AU72" i="2"/>
  <c r="AV72" i="2"/>
  <c r="BC72" i="2"/>
  <c r="BD72" i="2"/>
  <c r="AT73" i="2"/>
  <c r="AU73" i="2"/>
  <c r="AV73" i="2"/>
  <c r="BC73" i="2"/>
  <c r="BD73" i="2"/>
  <c r="AT74" i="2"/>
  <c r="AU74" i="2"/>
  <c r="AV74" i="2"/>
  <c r="BC74" i="2"/>
  <c r="BD74" i="2"/>
  <c r="AT75" i="2"/>
  <c r="AU75" i="2"/>
  <c r="AV75" i="2"/>
  <c r="BC75" i="2"/>
  <c r="BD75" i="2"/>
  <c r="AT76" i="2"/>
  <c r="AU76" i="2"/>
  <c r="AV76" i="2"/>
  <c r="BC76" i="2"/>
  <c r="BD76" i="2"/>
  <c r="AT77" i="2"/>
  <c r="AU77" i="2"/>
  <c r="AV77" i="2"/>
  <c r="BC77" i="2"/>
  <c r="BD77" i="2"/>
  <c r="AT78" i="2"/>
  <c r="AU78" i="2"/>
  <c r="AV78" i="2"/>
  <c r="BC78" i="2"/>
  <c r="BD78" i="2"/>
  <c r="AT79" i="2"/>
  <c r="AU79" i="2"/>
  <c r="AV79" i="2"/>
  <c r="BC79" i="2"/>
  <c r="BD79" i="2"/>
  <c r="AT80" i="2"/>
  <c r="AU80" i="2"/>
  <c r="AV80" i="2"/>
  <c r="BC80" i="2"/>
  <c r="BD80" i="2"/>
  <c r="AT81" i="2"/>
  <c r="AU81" i="2"/>
  <c r="AV81" i="2"/>
  <c r="BC81" i="2"/>
  <c r="BD81" i="2"/>
  <c r="AT82" i="2"/>
  <c r="AU82" i="2"/>
  <c r="AV82" i="2"/>
  <c r="BC82" i="2"/>
  <c r="BD82" i="2"/>
  <c r="AT83" i="2"/>
  <c r="AU83" i="2"/>
  <c r="AV83" i="2"/>
  <c r="BC83" i="2"/>
  <c r="BD83" i="2"/>
  <c r="AT84" i="2"/>
  <c r="AU84" i="2"/>
  <c r="AV84" i="2"/>
  <c r="BC84" i="2"/>
  <c r="BD84" i="2"/>
  <c r="AT85" i="2"/>
  <c r="AU85" i="2"/>
  <c r="AV85" i="2"/>
  <c r="BC85" i="2"/>
  <c r="BD85" i="2"/>
  <c r="AT86" i="2"/>
  <c r="AU86" i="2"/>
  <c r="AV86" i="2"/>
  <c r="BC86" i="2"/>
  <c r="BD86" i="2"/>
  <c r="AT87" i="2"/>
  <c r="AU87" i="2"/>
  <c r="AV87" i="2"/>
  <c r="BC87" i="2"/>
  <c r="BD87" i="2"/>
  <c r="AT88" i="2"/>
  <c r="AU88" i="2"/>
  <c r="AV88" i="2"/>
  <c r="BC88" i="2"/>
  <c r="BD88" i="2"/>
  <c r="AT89" i="2"/>
  <c r="AU89" i="2"/>
  <c r="AV89" i="2"/>
  <c r="BC89" i="2"/>
  <c r="BD89" i="2"/>
  <c r="AT90" i="2"/>
  <c r="AU90" i="2"/>
  <c r="AV90" i="2"/>
  <c r="BC90" i="2"/>
  <c r="BD90" i="2"/>
  <c r="AT91" i="2"/>
  <c r="AU91" i="2"/>
  <c r="AV91" i="2"/>
  <c r="BC91" i="2"/>
  <c r="BD91" i="2"/>
  <c r="AT92" i="2"/>
  <c r="AU92" i="2"/>
  <c r="AV92" i="2"/>
  <c r="BC92" i="2"/>
  <c r="BD92" i="2"/>
  <c r="AT93" i="2"/>
  <c r="AU93" i="2"/>
  <c r="AV93" i="2"/>
  <c r="BC93" i="2"/>
  <c r="BD93" i="2"/>
  <c r="AT94" i="2"/>
  <c r="AU94" i="2"/>
  <c r="AV94" i="2"/>
  <c r="BC94" i="2"/>
  <c r="BD94" i="2"/>
  <c r="AT95" i="2"/>
  <c r="AU95" i="2"/>
  <c r="AV95" i="2"/>
  <c r="BC95" i="2"/>
  <c r="BD95" i="2"/>
  <c r="AT96" i="2"/>
  <c r="AU96" i="2"/>
  <c r="AV96" i="2"/>
  <c r="BC96" i="2"/>
  <c r="BD96" i="2"/>
  <c r="AT97" i="2"/>
  <c r="AU97" i="2"/>
  <c r="AV97" i="2"/>
  <c r="BC97" i="2"/>
  <c r="BD97" i="2"/>
  <c r="AT98" i="2"/>
  <c r="AU98" i="2"/>
  <c r="AV98" i="2"/>
  <c r="BC98" i="2"/>
  <c r="BD98" i="2"/>
  <c r="AT99" i="2"/>
  <c r="AU99" i="2"/>
  <c r="AV99" i="2"/>
  <c r="BC99" i="2"/>
  <c r="BD99" i="2"/>
  <c r="AT100" i="2"/>
  <c r="AU100" i="2"/>
  <c r="AV100" i="2"/>
  <c r="BC100" i="2"/>
  <c r="BD100" i="2"/>
  <c r="AT101" i="2"/>
  <c r="AU101" i="2"/>
  <c r="AV101" i="2"/>
  <c r="BC101" i="2"/>
  <c r="BD101" i="2"/>
  <c r="AT102" i="2"/>
  <c r="AU102" i="2"/>
  <c r="AV102" i="2"/>
  <c r="BC102" i="2"/>
  <c r="BD102" i="2"/>
  <c r="AT103" i="2"/>
  <c r="AU103" i="2"/>
  <c r="AV103" i="2"/>
  <c r="BC103" i="2"/>
  <c r="BD103" i="2"/>
  <c r="AT104" i="2"/>
  <c r="AU104" i="2"/>
  <c r="AV104" i="2"/>
  <c r="BC104" i="2"/>
  <c r="BD104" i="2"/>
  <c r="AT105" i="2"/>
  <c r="AU105" i="2"/>
  <c r="AV105" i="2"/>
  <c r="BC105" i="2"/>
  <c r="BD105" i="2"/>
  <c r="AT106" i="2"/>
  <c r="AU106" i="2"/>
  <c r="AV106" i="2"/>
  <c r="BC106" i="2"/>
  <c r="BD106" i="2"/>
  <c r="AT107" i="2"/>
  <c r="AU107" i="2"/>
  <c r="AV107" i="2"/>
  <c r="BC107" i="2"/>
  <c r="BD107" i="2"/>
  <c r="AT108" i="2"/>
  <c r="AU108" i="2"/>
  <c r="AV108" i="2"/>
  <c r="BC108" i="2"/>
  <c r="BD108" i="2"/>
  <c r="AT109" i="2"/>
  <c r="AU109" i="2"/>
  <c r="AV109" i="2"/>
  <c r="BC109" i="2"/>
  <c r="BD109" i="2"/>
  <c r="AT110" i="2"/>
  <c r="AU110" i="2"/>
  <c r="AV110" i="2"/>
  <c r="BC110" i="2"/>
  <c r="BD110" i="2"/>
  <c r="AT111" i="2"/>
  <c r="AU111" i="2"/>
  <c r="AV111" i="2"/>
  <c r="BC111" i="2"/>
  <c r="BD111" i="2"/>
  <c r="AT112" i="2"/>
  <c r="AU112" i="2"/>
  <c r="AV112" i="2"/>
  <c r="BC112" i="2"/>
  <c r="BD112" i="2"/>
  <c r="AT113" i="2"/>
  <c r="AU113" i="2"/>
  <c r="AV113" i="2"/>
  <c r="BC113" i="2"/>
  <c r="BD113" i="2"/>
  <c r="AT114" i="2"/>
  <c r="AU114" i="2"/>
  <c r="AV114" i="2"/>
  <c r="BC114" i="2"/>
  <c r="BD114" i="2"/>
  <c r="AT115" i="2"/>
  <c r="AU115" i="2"/>
  <c r="AV115" i="2"/>
  <c r="BC115" i="2"/>
  <c r="BD115" i="2"/>
  <c r="AT116" i="2"/>
  <c r="AU116" i="2"/>
  <c r="AV116" i="2"/>
  <c r="BC116" i="2"/>
  <c r="BD116" i="2"/>
  <c r="AT117" i="2"/>
  <c r="AU117" i="2"/>
  <c r="AV117" i="2"/>
  <c r="BC117" i="2"/>
  <c r="BD117" i="2"/>
  <c r="AT118" i="2"/>
  <c r="AU118" i="2"/>
  <c r="AV118" i="2"/>
  <c r="BC118" i="2"/>
  <c r="BD118" i="2"/>
  <c r="AT119" i="2"/>
  <c r="AU119" i="2"/>
  <c r="AV119" i="2"/>
  <c r="BC119" i="2"/>
  <c r="BD119" i="2"/>
  <c r="AT120" i="2"/>
  <c r="AU120" i="2"/>
  <c r="AV120" i="2"/>
  <c r="BC120" i="2"/>
  <c r="BD120" i="2"/>
  <c r="AT121" i="2"/>
  <c r="AU121" i="2"/>
  <c r="AV121" i="2"/>
  <c r="BC121" i="2"/>
  <c r="BD121" i="2"/>
  <c r="AT122" i="2"/>
  <c r="AU122" i="2"/>
  <c r="AV122" i="2"/>
  <c r="BC122" i="2"/>
  <c r="BD122" i="2"/>
  <c r="AT123" i="2"/>
  <c r="AU123" i="2"/>
  <c r="AV123" i="2"/>
  <c r="BC123" i="2"/>
  <c r="BD123" i="2"/>
  <c r="AT124" i="2"/>
  <c r="AU124" i="2"/>
  <c r="AV124" i="2"/>
  <c r="BC124" i="2"/>
  <c r="BD124" i="2"/>
  <c r="AT125" i="2"/>
  <c r="AU125" i="2"/>
  <c r="AV125" i="2"/>
  <c r="BC125" i="2"/>
  <c r="BD125" i="2"/>
  <c r="AT126" i="2"/>
  <c r="AU126" i="2"/>
  <c r="AV126" i="2"/>
  <c r="BC126" i="2"/>
  <c r="BD126" i="2"/>
  <c r="AT127" i="2"/>
  <c r="AU127" i="2"/>
  <c r="AV127" i="2"/>
  <c r="BC127" i="2"/>
  <c r="BD127" i="2"/>
  <c r="AT128" i="2"/>
  <c r="AU128" i="2"/>
  <c r="AV128" i="2"/>
  <c r="BC128" i="2"/>
  <c r="BD128" i="2"/>
  <c r="AT129" i="2"/>
  <c r="AU129" i="2"/>
  <c r="AV129" i="2"/>
  <c r="BC129" i="2"/>
  <c r="BD129" i="2"/>
  <c r="AT130" i="2"/>
  <c r="AU130" i="2"/>
  <c r="AV130" i="2"/>
  <c r="BC130" i="2"/>
  <c r="BD130" i="2"/>
  <c r="AT131" i="2"/>
  <c r="AU131" i="2"/>
  <c r="AV131" i="2"/>
  <c r="BC131" i="2"/>
  <c r="BD131" i="2"/>
  <c r="AT132" i="2"/>
  <c r="AU132" i="2"/>
  <c r="AV132" i="2"/>
  <c r="BC132" i="2"/>
  <c r="BD132" i="2"/>
  <c r="AT133" i="2"/>
  <c r="AU133" i="2"/>
  <c r="AV133" i="2"/>
  <c r="BC133" i="2"/>
  <c r="BD133" i="2"/>
  <c r="AT134" i="2"/>
  <c r="AU134" i="2"/>
  <c r="AV134" i="2"/>
  <c r="BC134" i="2"/>
  <c r="BD134" i="2"/>
  <c r="AT135" i="2"/>
  <c r="AU135" i="2"/>
  <c r="AV135" i="2"/>
  <c r="BC135" i="2"/>
  <c r="BD135" i="2"/>
  <c r="AT136" i="2"/>
  <c r="AU136" i="2"/>
  <c r="AV136" i="2"/>
  <c r="BC136" i="2"/>
  <c r="BD136" i="2"/>
  <c r="AT137" i="2"/>
  <c r="AU137" i="2"/>
  <c r="AV137" i="2"/>
  <c r="BC137" i="2"/>
  <c r="BD137" i="2"/>
  <c r="AT138" i="2"/>
  <c r="AU138" i="2"/>
  <c r="AV138" i="2"/>
  <c r="BC138" i="2"/>
  <c r="BD138" i="2"/>
  <c r="AT139" i="2"/>
  <c r="AU139" i="2"/>
  <c r="AV139" i="2"/>
  <c r="BC139" i="2"/>
  <c r="BD139" i="2"/>
  <c r="AT140" i="2"/>
  <c r="AU140" i="2"/>
  <c r="AV140" i="2"/>
  <c r="BC140" i="2"/>
  <c r="BD140" i="2"/>
  <c r="AT141" i="2"/>
  <c r="AU141" i="2"/>
  <c r="AV141" i="2"/>
  <c r="BC141" i="2"/>
  <c r="BD141" i="2"/>
  <c r="AT142" i="2"/>
  <c r="AU142" i="2"/>
  <c r="AV142" i="2"/>
  <c r="BC142" i="2"/>
  <c r="BD142" i="2"/>
  <c r="AT143" i="2"/>
  <c r="AU143" i="2"/>
  <c r="AV143" i="2"/>
  <c r="BC143" i="2"/>
  <c r="BD143" i="2"/>
  <c r="AT144" i="2"/>
  <c r="AU144" i="2"/>
  <c r="AV144" i="2"/>
  <c r="BC144" i="2"/>
  <c r="BD144" i="2"/>
  <c r="AT145" i="2"/>
  <c r="AU145" i="2"/>
  <c r="AV145" i="2"/>
  <c r="BC145" i="2"/>
  <c r="BD145" i="2"/>
  <c r="AT146" i="2"/>
  <c r="AU146" i="2"/>
  <c r="AV146" i="2"/>
  <c r="BC146" i="2"/>
  <c r="BD146" i="2"/>
  <c r="AT147" i="2"/>
  <c r="AU147" i="2"/>
  <c r="AV147" i="2"/>
  <c r="BC147" i="2"/>
  <c r="BD147" i="2"/>
  <c r="AT148" i="2"/>
  <c r="AU148" i="2"/>
  <c r="AV148" i="2"/>
  <c r="BC148" i="2"/>
  <c r="BD148" i="2"/>
  <c r="AT149" i="2"/>
  <c r="AU149" i="2"/>
  <c r="AV149" i="2"/>
  <c r="BC149" i="2"/>
  <c r="BD149" i="2"/>
  <c r="AT150" i="2"/>
  <c r="AU150" i="2"/>
  <c r="AV150" i="2"/>
  <c r="BC150" i="2"/>
  <c r="BD150" i="2"/>
  <c r="AT151" i="2"/>
  <c r="AU151" i="2"/>
  <c r="AV151" i="2"/>
  <c r="BC151" i="2"/>
  <c r="BD151" i="2"/>
  <c r="AT152" i="2"/>
  <c r="AU152" i="2"/>
  <c r="AV152" i="2"/>
  <c r="BC152" i="2"/>
  <c r="BD152" i="2"/>
  <c r="AT153" i="2"/>
  <c r="AU153" i="2"/>
  <c r="AV153" i="2"/>
  <c r="BC153" i="2"/>
  <c r="BD153" i="2"/>
  <c r="AT154" i="2"/>
  <c r="AU154" i="2"/>
  <c r="AV154" i="2"/>
  <c r="AU155" i="2"/>
  <c r="AV155" i="2"/>
  <c r="BB155" i="2"/>
  <c r="BC155" i="2"/>
  <c r="BD155" i="2"/>
  <c r="AT160" i="2"/>
  <c r="AU160" i="2"/>
  <c r="AV160" i="2"/>
  <c r="BC160" i="2"/>
  <c r="BD160" i="2"/>
  <c r="AT161" i="2"/>
  <c r="AU161" i="2"/>
  <c r="AV161" i="2"/>
  <c r="BC161" i="2"/>
  <c r="BD161" i="2"/>
  <c r="AT162" i="2"/>
  <c r="AU162" i="2"/>
  <c r="AV162" i="2"/>
  <c r="BC162" i="2"/>
  <c r="BD162" i="2"/>
  <c r="AT163" i="2"/>
  <c r="AU163" i="2"/>
  <c r="AV163" i="2"/>
  <c r="BC163" i="2"/>
  <c r="BD163" i="2"/>
  <c r="AT164" i="2"/>
  <c r="AU164" i="2"/>
  <c r="AV164" i="2"/>
  <c r="BC164" i="2"/>
  <c r="BD164" i="2"/>
  <c r="AT165" i="2"/>
  <c r="AU165" i="2"/>
  <c r="AV165" i="2"/>
  <c r="BC165" i="2"/>
  <c r="BD165" i="2"/>
  <c r="AT166" i="2"/>
  <c r="AU166" i="2"/>
  <c r="AV166" i="2"/>
  <c r="BC166" i="2"/>
  <c r="BD166" i="2"/>
  <c r="AT167" i="2"/>
  <c r="AU167" i="2"/>
  <c r="AV167" i="2"/>
  <c r="BC167" i="2"/>
  <c r="BD167" i="2"/>
  <c r="AT168" i="2"/>
  <c r="AU168" i="2"/>
  <c r="AV168" i="2"/>
  <c r="BC168" i="2"/>
  <c r="BD168" i="2"/>
  <c r="AT169" i="2"/>
  <c r="AU169" i="2"/>
  <c r="AV169" i="2"/>
  <c r="BC169" i="2"/>
  <c r="BD169" i="2"/>
  <c r="AT170" i="2"/>
  <c r="AU170" i="2"/>
  <c r="AV170" i="2"/>
  <c r="BC170" i="2"/>
  <c r="BD170" i="2"/>
  <c r="AT171" i="2"/>
  <c r="AU171" i="2"/>
  <c r="AV171" i="2"/>
  <c r="BC171" i="2"/>
  <c r="BD171" i="2"/>
  <c r="AT172" i="2"/>
  <c r="AU172" i="2"/>
  <c r="AV172" i="2"/>
  <c r="BC172" i="2"/>
  <c r="BD172" i="2"/>
  <c r="AT173" i="2"/>
  <c r="AU173" i="2"/>
  <c r="AV173" i="2"/>
  <c r="BC173" i="2"/>
  <c r="BD173" i="2"/>
  <c r="AT174" i="2"/>
  <c r="AU174" i="2"/>
  <c r="AV174" i="2"/>
  <c r="BC174" i="2"/>
  <c r="BD174" i="2"/>
  <c r="AT175" i="2"/>
  <c r="AU175" i="2"/>
  <c r="AV175" i="2"/>
  <c r="BC175" i="2"/>
  <c r="BD175" i="2"/>
  <c r="AT176" i="2"/>
  <c r="AU176" i="2"/>
  <c r="AV176" i="2"/>
  <c r="AU179" i="2"/>
  <c r="AV179" i="2"/>
  <c r="BB179" i="2"/>
  <c r="BC179" i="2"/>
  <c r="BD179" i="2"/>
  <c r="BC187" i="2"/>
  <c r="BD187" i="2"/>
  <c r="AU195" i="2"/>
  <c r="AV195" i="2"/>
  <c r="AU196" i="2"/>
  <c r="AV196" i="2"/>
  <c r="AU197" i="2"/>
  <c r="AV197" i="2"/>
  <c r="AU199" i="2"/>
  <c r="AV199" i="2"/>
  <c r="G8" i="6"/>
  <c r="AY2" i="1"/>
  <c r="BA2" i="1"/>
  <c r="BB2" i="1"/>
  <c r="BE2" i="1"/>
  <c r="AX6" i="1"/>
  <c r="AZ6" i="1"/>
  <c r="BA6" i="1"/>
  <c r="BB6" i="1"/>
  <c r="AU13" i="1"/>
  <c r="AV13" i="1"/>
  <c r="AW13" i="1"/>
  <c r="BD13" i="1"/>
  <c r="BE13" i="1"/>
  <c r="AU14" i="1"/>
  <c r="AV14" i="1"/>
  <c r="AW14" i="1"/>
  <c r="BD14" i="1"/>
  <c r="BE14" i="1"/>
  <c r="AU15" i="1"/>
  <c r="AV15" i="1"/>
  <c r="AW15" i="1"/>
  <c r="BA15" i="1"/>
  <c r="BD15" i="1"/>
  <c r="BE15" i="1"/>
  <c r="AU16" i="1"/>
  <c r="AV16" i="1"/>
  <c r="AW16" i="1"/>
  <c r="BA16" i="1"/>
  <c r="BD16" i="1"/>
  <c r="BE16" i="1"/>
  <c r="AU17" i="1"/>
  <c r="AV17" i="1"/>
  <c r="AW17" i="1"/>
  <c r="BA17" i="1"/>
  <c r="BD17" i="1"/>
  <c r="BE17" i="1"/>
  <c r="AU18" i="1"/>
  <c r="AV18" i="1"/>
  <c r="AW18" i="1"/>
  <c r="BA18" i="1"/>
  <c r="BD18" i="1"/>
  <c r="BE18" i="1"/>
  <c r="AU19" i="1"/>
  <c r="AV19" i="1"/>
  <c r="AW19" i="1"/>
  <c r="BD19" i="1"/>
  <c r="BE19" i="1"/>
  <c r="AU20" i="1"/>
  <c r="AV20" i="1"/>
  <c r="AW20" i="1"/>
  <c r="BD20" i="1"/>
  <c r="BE20" i="1"/>
  <c r="AU21" i="1"/>
  <c r="AV21" i="1"/>
  <c r="AW21" i="1"/>
  <c r="BA21" i="1"/>
  <c r="BD21" i="1"/>
  <c r="BE21" i="1"/>
  <c r="AU22" i="1"/>
  <c r="AV22" i="1"/>
  <c r="AW22" i="1"/>
  <c r="BA22" i="1"/>
  <c r="BD22" i="1"/>
  <c r="BE22" i="1"/>
  <c r="AU23" i="1"/>
  <c r="AV23" i="1"/>
  <c r="AW23" i="1"/>
  <c r="BA23" i="1"/>
  <c r="BD23" i="1"/>
  <c r="BE23" i="1"/>
  <c r="AU24" i="1"/>
  <c r="AV24" i="1"/>
  <c r="AW24" i="1"/>
  <c r="BA24" i="1"/>
  <c r="BD24" i="1"/>
  <c r="BE24" i="1"/>
  <c r="AU25" i="1"/>
  <c r="AV25" i="1"/>
  <c r="AW25" i="1"/>
  <c r="BD25" i="1"/>
  <c r="BE25" i="1"/>
  <c r="AU26" i="1"/>
  <c r="AV26" i="1"/>
  <c r="AW26" i="1"/>
  <c r="BD26" i="1"/>
  <c r="BE26" i="1"/>
  <c r="AU27" i="1"/>
  <c r="AV27" i="1"/>
  <c r="AW27" i="1"/>
  <c r="BA27" i="1"/>
  <c r="BD27" i="1"/>
  <c r="BE27" i="1"/>
  <c r="AU28" i="1"/>
  <c r="AV28" i="1"/>
  <c r="AW28" i="1"/>
  <c r="BA28" i="1"/>
  <c r="BD28" i="1"/>
  <c r="BE28" i="1"/>
  <c r="AU29" i="1"/>
  <c r="AV29" i="1"/>
  <c r="AW29" i="1"/>
  <c r="BD29" i="1"/>
  <c r="BE29" i="1"/>
  <c r="AU30" i="1"/>
  <c r="AV30" i="1"/>
  <c r="AW30" i="1"/>
  <c r="BD30" i="1"/>
  <c r="BE30" i="1"/>
  <c r="AU31" i="1"/>
  <c r="AV31" i="1"/>
  <c r="AW31" i="1"/>
  <c r="BD31" i="1"/>
  <c r="BE31" i="1"/>
  <c r="AU32" i="1"/>
  <c r="AV32" i="1"/>
  <c r="AW32" i="1"/>
  <c r="BD32" i="1"/>
  <c r="BE32" i="1"/>
  <c r="AU33" i="1"/>
  <c r="AV33" i="1"/>
  <c r="AW33" i="1"/>
  <c r="BD33" i="1"/>
  <c r="BE33" i="1"/>
  <c r="AU34" i="1"/>
  <c r="AV34" i="1"/>
  <c r="AW34" i="1"/>
  <c r="BD34" i="1"/>
  <c r="BE34" i="1"/>
  <c r="AU35" i="1"/>
  <c r="AV35" i="1"/>
  <c r="AW35" i="1"/>
  <c r="BD35" i="1"/>
  <c r="BE35" i="1"/>
  <c r="AU36" i="1"/>
  <c r="AV36" i="1"/>
  <c r="AW36" i="1"/>
  <c r="BD36" i="1"/>
  <c r="BE36" i="1"/>
  <c r="AU37" i="1"/>
  <c r="AV37" i="1"/>
  <c r="AW37" i="1"/>
  <c r="BD37" i="1"/>
  <c r="BE37" i="1"/>
  <c r="AU38" i="1"/>
  <c r="AV38" i="1"/>
  <c r="AW38" i="1"/>
  <c r="BD38" i="1"/>
  <c r="BE38" i="1"/>
  <c r="AU39" i="1"/>
  <c r="AV39" i="1"/>
  <c r="AW39" i="1"/>
  <c r="BD39" i="1"/>
  <c r="BE39" i="1"/>
  <c r="AU40" i="1"/>
  <c r="AV40" i="1"/>
  <c r="AW40" i="1"/>
  <c r="BD40" i="1"/>
  <c r="BE40" i="1"/>
  <c r="AU41" i="1"/>
  <c r="AV41" i="1"/>
  <c r="AW41" i="1"/>
  <c r="BD41" i="1"/>
  <c r="BE41" i="1"/>
  <c r="AU42" i="1"/>
  <c r="AV42" i="1"/>
  <c r="AW42" i="1"/>
  <c r="BD42" i="1"/>
  <c r="BE42" i="1"/>
  <c r="AU43" i="1"/>
  <c r="AV43" i="1"/>
  <c r="AW43" i="1"/>
  <c r="BD43" i="1"/>
  <c r="BE43" i="1"/>
  <c r="AU44" i="1"/>
  <c r="AV44" i="1"/>
  <c r="AW44" i="1"/>
  <c r="BD44" i="1"/>
  <c r="BE44" i="1"/>
  <c r="AU45" i="1"/>
  <c r="AV45" i="1"/>
  <c r="AW45" i="1"/>
  <c r="BD45" i="1"/>
  <c r="BE45" i="1"/>
  <c r="AU46" i="1"/>
  <c r="AV46" i="1"/>
  <c r="AW46" i="1"/>
  <c r="BA46" i="1"/>
  <c r="BD46" i="1"/>
  <c r="BE46" i="1"/>
  <c r="AU47" i="1"/>
  <c r="AV47" i="1"/>
  <c r="AW47" i="1"/>
  <c r="BD47" i="1"/>
  <c r="BE47" i="1"/>
  <c r="AU48" i="1"/>
  <c r="AV48" i="1"/>
  <c r="AW48" i="1"/>
  <c r="BD48" i="1"/>
  <c r="BE48" i="1"/>
  <c r="AV50" i="1"/>
  <c r="AW50" i="1"/>
  <c r="AX50" i="1"/>
  <c r="BD50" i="1"/>
  <c r="BE50" i="1"/>
  <c r="AU53" i="1"/>
  <c r="AV53" i="1"/>
  <c r="AW53" i="1"/>
  <c r="BD53" i="1"/>
  <c r="BE53" i="1"/>
  <c r="AU54" i="1"/>
  <c r="AV54" i="1"/>
  <c r="AW54" i="1"/>
  <c r="BD54" i="1"/>
  <c r="BE54" i="1"/>
  <c r="BD55" i="1"/>
  <c r="BE55" i="1"/>
  <c r="AV56" i="1"/>
  <c r="AW56" i="1"/>
  <c r="AX56" i="1"/>
  <c r="AU62" i="1"/>
  <c r="AV62" i="1"/>
  <c r="AW62" i="1"/>
  <c r="BD62" i="1"/>
  <c r="BE62" i="1"/>
  <c r="AU63" i="1"/>
  <c r="AV63" i="1"/>
  <c r="AW63" i="1"/>
  <c r="BD63" i="1"/>
  <c r="BE63" i="1"/>
  <c r="AU64" i="1"/>
  <c r="AV64" i="1"/>
  <c r="AW64" i="1"/>
  <c r="BD64" i="1"/>
  <c r="BE64" i="1"/>
  <c r="AU65" i="1"/>
  <c r="AV65" i="1"/>
  <c r="AW65" i="1"/>
  <c r="BD65" i="1"/>
  <c r="BE65" i="1"/>
  <c r="AU66" i="1"/>
  <c r="AV66" i="1"/>
  <c r="AW66" i="1"/>
  <c r="BD66" i="1"/>
  <c r="BE66" i="1"/>
  <c r="AU67" i="1"/>
  <c r="AV67" i="1"/>
  <c r="AW67" i="1"/>
  <c r="BD67" i="1"/>
  <c r="BE67" i="1"/>
  <c r="AU68" i="1"/>
  <c r="AV68" i="1"/>
  <c r="AW68" i="1"/>
  <c r="BD68" i="1"/>
  <c r="BE68" i="1"/>
  <c r="AU69" i="1"/>
  <c r="AV69" i="1"/>
  <c r="AW69" i="1"/>
  <c r="BD69" i="1"/>
  <c r="BE69" i="1"/>
  <c r="AU70" i="1"/>
  <c r="AV70" i="1"/>
  <c r="AW70" i="1"/>
  <c r="BD70" i="1"/>
  <c r="BE70" i="1"/>
  <c r="AU71" i="1"/>
  <c r="AV71" i="1"/>
  <c r="AW71" i="1"/>
  <c r="BD71" i="1"/>
  <c r="BE71" i="1"/>
  <c r="AU72" i="1"/>
  <c r="AV72" i="1"/>
  <c r="AW72" i="1"/>
  <c r="BD72" i="1"/>
  <c r="BE72" i="1"/>
  <c r="AU73" i="1"/>
  <c r="AV73" i="1"/>
  <c r="AW73" i="1"/>
  <c r="BD73" i="1"/>
  <c r="BE73" i="1"/>
  <c r="AU74" i="1"/>
  <c r="AV74" i="1"/>
  <c r="AW74" i="1"/>
  <c r="BD74" i="1"/>
  <c r="BE74" i="1"/>
  <c r="AU75" i="1"/>
  <c r="AV75" i="1"/>
  <c r="AW75" i="1"/>
  <c r="BD75" i="1"/>
  <c r="BE75" i="1"/>
  <c r="AU76" i="1"/>
  <c r="AV76" i="1"/>
  <c r="AW76" i="1"/>
  <c r="BD76" i="1"/>
  <c r="BE76" i="1"/>
  <c r="AU77" i="1"/>
  <c r="AV77" i="1"/>
  <c r="AW77" i="1"/>
  <c r="BD77" i="1"/>
  <c r="BE77" i="1"/>
  <c r="AU78" i="1"/>
  <c r="AV78" i="1"/>
  <c r="AW78" i="1"/>
  <c r="BD78" i="1"/>
  <c r="BE78" i="1"/>
  <c r="AU79" i="1"/>
  <c r="AV79" i="1"/>
  <c r="AW79" i="1"/>
  <c r="BD79" i="1"/>
  <c r="BE79" i="1"/>
  <c r="AU80" i="1"/>
  <c r="AV80" i="1"/>
  <c r="AW80" i="1"/>
  <c r="BD80" i="1"/>
  <c r="BE80" i="1"/>
  <c r="AU81" i="1"/>
  <c r="AV81" i="1"/>
  <c r="AW81" i="1"/>
  <c r="BD81" i="1"/>
  <c r="BE81" i="1"/>
  <c r="AU82" i="1"/>
  <c r="AV82" i="1"/>
  <c r="AW82" i="1"/>
  <c r="BD82" i="1"/>
  <c r="BE82" i="1"/>
  <c r="AU83" i="1"/>
  <c r="AV83" i="1"/>
  <c r="AW83" i="1"/>
  <c r="BD83" i="1"/>
  <c r="BE83" i="1"/>
  <c r="AU84" i="1"/>
  <c r="AV84" i="1"/>
  <c r="AW84" i="1"/>
  <c r="BD84" i="1"/>
  <c r="BE84" i="1"/>
  <c r="AU85" i="1"/>
  <c r="AV85" i="1"/>
  <c r="AW85" i="1"/>
  <c r="BD85" i="1"/>
  <c r="BE85" i="1"/>
  <c r="AU86" i="1"/>
  <c r="AV86" i="1"/>
  <c r="AW86" i="1"/>
  <c r="BD86" i="1"/>
  <c r="BE86" i="1"/>
  <c r="AU87" i="1"/>
  <c r="AV87" i="1"/>
  <c r="AW87" i="1"/>
  <c r="BD87" i="1"/>
  <c r="BE87" i="1"/>
  <c r="AU88" i="1"/>
  <c r="AV88" i="1"/>
  <c r="AW88" i="1"/>
  <c r="BD88" i="1"/>
  <c r="BE88" i="1"/>
  <c r="AU89" i="1"/>
  <c r="AV89" i="1"/>
  <c r="AW89" i="1"/>
  <c r="BD89" i="1"/>
  <c r="BE89" i="1"/>
  <c r="AU90" i="1"/>
  <c r="AV90" i="1"/>
  <c r="AW90" i="1"/>
  <c r="BD90" i="1"/>
  <c r="BE90" i="1"/>
  <c r="AU91" i="1"/>
  <c r="AV91" i="1"/>
  <c r="AW91" i="1"/>
  <c r="BD91" i="1"/>
  <c r="BE91" i="1"/>
  <c r="AU92" i="1"/>
  <c r="AV92" i="1"/>
  <c r="AW92" i="1"/>
  <c r="BD92" i="1"/>
  <c r="BE92" i="1"/>
  <c r="AU93" i="1"/>
  <c r="AV93" i="1"/>
  <c r="AW93" i="1"/>
  <c r="BD93" i="1"/>
  <c r="BE93" i="1"/>
  <c r="AU94" i="1"/>
  <c r="AV94" i="1"/>
  <c r="AW94" i="1"/>
  <c r="BD94" i="1"/>
  <c r="BE94" i="1"/>
  <c r="AU95" i="1"/>
  <c r="AV95" i="1"/>
  <c r="AW95" i="1"/>
  <c r="BD95" i="1"/>
  <c r="BE95" i="1"/>
  <c r="AU96" i="1"/>
  <c r="AV96" i="1"/>
  <c r="AW96" i="1"/>
  <c r="BD96" i="1"/>
  <c r="BE96" i="1"/>
  <c r="AU97" i="1"/>
  <c r="AV97" i="1"/>
  <c r="AW97" i="1"/>
  <c r="BD97" i="1"/>
  <c r="BE97" i="1"/>
  <c r="AU98" i="1"/>
  <c r="AV98" i="1"/>
  <c r="AW98" i="1"/>
  <c r="BD98" i="1"/>
  <c r="BE98" i="1"/>
  <c r="AU99" i="1"/>
  <c r="AV99" i="1"/>
  <c r="AW99" i="1"/>
  <c r="BD99" i="1"/>
  <c r="BE99" i="1"/>
  <c r="AU100" i="1"/>
  <c r="AV100" i="1"/>
  <c r="AW100" i="1"/>
  <c r="BD100" i="1"/>
  <c r="BE100" i="1"/>
  <c r="AU101" i="1"/>
  <c r="AV101" i="1"/>
  <c r="AW101" i="1"/>
  <c r="BD101" i="1"/>
  <c r="BE101" i="1"/>
  <c r="AU102" i="1"/>
  <c r="AV102" i="1"/>
  <c r="AW102" i="1"/>
  <c r="BD102" i="1"/>
  <c r="BE102" i="1"/>
  <c r="AU103" i="1"/>
  <c r="AV103" i="1"/>
  <c r="AW103" i="1"/>
  <c r="BD103" i="1"/>
  <c r="BE103" i="1"/>
  <c r="AU104" i="1"/>
  <c r="AV104" i="1"/>
  <c r="AW104" i="1"/>
  <c r="BD104" i="1"/>
  <c r="BE104" i="1"/>
  <c r="AU105" i="1"/>
  <c r="AV105" i="1"/>
  <c r="AW105" i="1"/>
  <c r="BD105" i="1"/>
  <c r="BE105" i="1"/>
  <c r="AU106" i="1"/>
  <c r="AV106" i="1"/>
  <c r="AW106" i="1"/>
  <c r="BD106" i="1"/>
  <c r="BE106" i="1"/>
  <c r="AU107" i="1"/>
  <c r="AV107" i="1"/>
  <c r="AW107" i="1"/>
  <c r="BD107" i="1"/>
  <c r="BE107" i="1"/>
  <c r="AU108" i="1"/>
  <c r="AV108" i="1"/>
  <c r="AW108" i="1"/>
  <c r="BD108" i="1"/>
  <c r="BE108" i="1"/>
  <c r="AU109" i="1"/>
  <c r="AV109" i="1"/>
  <c r="AW109" i="1"/>
  <c r="BD109" i="1"/>
  <c r="BE109" i="1"/>
  <c r="AU110" i="1"/>
  <c r="AV110" i="1"/>
  <c r="AW110" i="1"/>
  <c r="BD110" i="1"/>
  <c r="BE110" i="1"/>
  <c r="AU111" i="1"/>
  <c r="AV111" i="1"/>
  <c r="AW111" i="1"/>
  <c r="BD111" i="1"/>
  <c r="BE111" i="1"/>
  <c r="AU112" i="1"/>
  <c r="AV112" i="1"/>
  <c r="AW112" i="1"/>
  <c r="BD112" i="1"/>
  <c r="BE112" i="1"/>
  <c r="AU113" i="1"/>
  <c r="AV113" i="1"/>
  <c r="AW113" i="1"/>
  <c r="BD113" i="1"/>
  <c r="BE113" i="1"/>
  <c r="AU114" i="1"/>
  <c r="AV114" i="1"/>
  <c r="AW114" i="1"/>
  <c r="BD114" i="1"/>
  <c r="BE114" i="1"/>
  <c r="AU115" i="1"/>
  <c r="AV115" i="1"/>
  <c r="AW115" i="1"/>
  <c r="BD115" i="1"/>
  <c r="BE115" i="1"/>
  <c r="AU116" i="1"/>
  <c r="AV116" i="1"/>
  <c r="AW116" i="1"/>
  <c r="BD116" i="1"/>
  <c r="BE116" i="1"/>
  <c r="AU117" i="1"/>
  <c r="AV117" i="1"/>
  <c r="AW117" i="1"/>
  <c r="BD117" i="1"/>
  <c r="BE117" i="1"/>
  <c r="AU118" i="1"/>
  <c r="AV118" i="1"/>
  <c r="AW118" i="1"/>
  <c r="BD118" i="1"/>
  <c r="BE118" i="1"/>
  <c r="AU119" i="1"/>
  <c r="AV119" i="1"/>
  <c r="AW119" i="1"/>
  <c r="BD119" i="1"/>
  <c r="BE119" i="1"/>
  <c r="AU120" i="1"/>
  <c r="AV120" i="1"/>
  <c r="AW120" i="1"/>
  <c r="BD120" i="1"/>
  <c r="BE120" i="1"/>
  <c r="AU121" i="1"/>
  <c r="AV121" i="1"/>
  <c r="AW121" i="1"/>
  <c r="BD121" i="1"/>
  <c r="BE121" i="1"/>
  <c r="AU122" i="1"/>
  <c r="AV122" i="1"/>
  <c r="AW122" i="1"/>
  <c r="BD122" i="1"/>
  <c r="BE122" i="1"/>
  <c r="AU123" i="1"/>
  <c r="AV123" i="1"/>
  <c r="AW123" i="1"/>
  <c r="BD123" i="1"/>
  <c r="BE123" i="1"/>
  <c r="AU124" i="1"/>
  <c r="AV124" i="1"/>
  <c r="AW124" i="1"/>
  <c r="BD124" i="1"/>
  <c r="BE124" i="1"/>
  <c r="AV125" i="1"/>
  <c r="AW125" i="1"/>
  <c r="AX125" i="1"/>
  <c r="BD125" i="1"/>
  <c r="BE125" i="1"/>
  <c r="AU131" i="1"/>
  <c r="AV131" i="1"/>
  <c r="AW131" i="1"/>
  <c r="BD131" i="1"/>
  <c r="BE131" i="1"/>
  <c r="AU132" i="1"/>
  <c r="AV132" i="1"/>
  <c r="AW132" i="1"/>
  <c r="BD132" i="1"/>
  <c r="BE132" i="1"/>
  <c r="AU133" i="1"/>
  <c r="AV133" i="1"/>
  <c r="AW133" i="1"/>
  <c r="BD133" i="1"/>
  <c r="BE133" i="1"/>
  <c r="AU134" i="1"/>
  <c r="AV134" i="1"/>
  <c r="AW134" i="1"/>
  <c r="BD134" i="1"/>
  <c r="BE134" i="1"/>
  <c r="AU135" i="1"/>
  <c r="AV135" i="1"/>
  <c r="AW135" i="1"/>
  <c r="BD135" i="1"/>
  <c r="BE135" i="1"/>
  <c r="AU136" i="1"/>
  <c r="AV136" i="1"/>
  <c r="AW136" i="1"/>
  <c r="BD136" i="1"/>
  <c r="BE136" i="1"/>
  <c r="AU137" i="1"/>
  <c r="AV137" i="1"/>
  <c r="AW137" i="1"/>
  <c r="BD137" i="1"/>
  <c r="BE137" i="1"/>
  <c r="AU138" i="1"/>
  <c r="AV138" i="1"/>
  <c r="AW138" i="1"/>
  <c r="BD138" i="1"/>
  <c r="BE138" i="1"/>
  <c r="AU139" i="1"/>
  <c r="AV139" i="1"/>
  <c r="AW139" i="1"/>
  <c r="BD139" i="1"/>
  <c r="BE139" i="1"/>
  <c r="AU140" i="1"/>
  <c r="AV140" i="1"/>
  <c r="AW140" i="1"/>
  <c r="BD140" i="1"/>
  <c r="BE140" i="1"/>
  <c r="AU141" i="1"/>
  <c r="AV141" i="1"/>
  <c r="AW141" i="1"/>
  <c r="BD141" i="1"/>
  <c r="BE141" i="1"/>
  <c r="AU142" i="1"/>
  <c r="AV142" i="1"/>
  <c r="AW142" i="1"/>
  <c r="BD142" i="1"/>
  <c r="BE142" i="1"/>
  <c r="AU143" i="1"/>
  <c r="AV143" i="1"/>
  <c r="AW143" i="1"/>
  <c r="BD143" i="1"/>
  <c r="BE143" i="1"/>
  <c r="AU144" i="1"/>
  <c r="AV144" i="1"/>
  <c r="AW144" i="1"/>
  <c r="BD144" i="1"/>
  <c r="BE144" i="1"/>
  <c r="AU145" i="1"/>
  <c r="AV145" i="1"/>
  <c r="AW145" i="1"/>
  <c r="BD145" i="1"/>
  <c r="BE145" i="1"/>
  <c r="AU146" i="1"/>
  <c r="AV146" i="1"/>
  <c r="AW146" i="1"/>
  <c r="BD146" i="1"/>
  <c r="BE146" i="1"/>
  <c r="AU147" i="1"/>
  <c r="AV147" i="1"/>
  <c r="AW147" i="1"/>
  <c r="BD147" i="1"/>
  <c r="BE147" i="1"/>
  <c r="AU148" i="1"/>
  <c r="AV148" i="1"/>
  <c r="AW148" i="1"/>
  <c r="BD148" i="1"/>
  <c r="BE148" i="1"/>
  <c r="AV150" i="1"/>
  <c r="AW150" i="1"/>
  <c r="AX150" i="1"/>
  <c r="BD150" i="1"/>
  <c r="BE150" i="1"/>
  <c r="AI6" i="7"/>
  <c r="AJ6" i="7"/>
  <c r="AK6" i="7"/>
  <c r="J7" i="7"/>
  <c r="K7" i="7"/>
  <c r="L7" i="7"/>
  <c r="M7" i="7"/>
  <c r="AI7" i="7"/>
  <c r="AJ7" i="7"/>
  <c r="AK7" i="7"/>
  <c r="L8" i="7"/>
  <c r="M8" i="7"/>
  <c r="AI8" i="7"/>
  <c r="AJ8" i="7"/>
  <c r="AK8" i="7"/>
  <c r="K9" i="7"/>
  <c r="M9" i="7"/>
  <c r="AI9" i="7"/>
  <c r="AJ9" i="7"/>
  <c r="AK9" i="7"/>
  <c r="S11" i="7"/>
  <c r="T11" i="7"/>
  <c r="U11" i="7"/>
  <c r="W11" i="7"/>
  <c r="X11" i="7"/>
  <c r="Z11" i="7"/>
  <c r="AA11" i="7"/>
  <c r="AB11" i="7"/>
  <c r="AD11" i="7"/>
  <c r="AE11" i="7"/>
  <c r="AF11" i="7"/>
  <c r="AG11" i="7"/>
  <c r="AH11" i="7"/>
  <c r="AI11" i="7"/>
  <c r="AJ11" i="7"/>
  <c r="AK11" i="7"/>
  <c r="I12" i="7"/>
  <c r="J12" i="7"/>
  <c r="K12" i="7"/>
  <c r="M12" i="7"/>
  <c r="S12" i="7"/>
  <c r="T12" i="7"/>
  <c r="U12" i="7"/>
  <c r="W12" i="7"/>
  <c r="X12" i="7"/>
  <c r="Z12" i="7"/>
  <c r="AA12" i="7"/>
  <c r="AB12" i="7"/>
  <c r="AD12" i="7"/>
  <c r="AE12" i="7"/>
  <c r="AF12" i="7"/>
  <c r="AG12" i="7"/>
  <c r="AH12" i="7"/>
  <c r="AI12" i="7"/>
  <c r="AJ12" i="7"/>
  <c r="AK12" i="7"/>
  <c r="S13" i="7"/>
  <c r="T13" i="7"/>
  <c r="U13" i="7"/>
  <c r="W13" i="7"/>
  <c r="X13" i="7"/>
  <c r="Z13" i="7"/>
  <c r="AA13" i="7"/>
  <c r="AB13" i="7"/>
  <c r="AD13" i="7"/>
  <c r="AE13" i="7"/>
  <c r="AF13" i="7"/>
  <c r="AG13" i="7"/>
  <c r="AH13" i="7"/>
  <c r="AI13" i="7"/>
  <c r="AJ13" i="7"/>
  <c r="AK13" i="7"/>
  <c r="I14" i="7"/>
  <c r="K14" i="7"/>
  <c r="M14" i="7"/>
  <c r="S14" i="7"/>
  <c r="T14" i="7"/>
  <c r="U14" i="7"/>
  <c r="W14" i="7"/>
  <c r="X14" i="7"/>
  <c r="Z14" i="7"/>
  <c r="AA14" i="7"/>
  <c r="AB14" i="7"/>
  <c r="AD14" i="7"/>
  <c r="AE14" i="7"/>
  <c r="AF14" i="7"/>
  <c r="AG14" i="7"/>
  <c r="AH14" i="7"/>
  <c r="AI14" i="7"/>
  <c r="AJ14" i="7"/>
  <c r="AK14" i="7"/>
  <c r="K16" i="7"/>
  <c r="M16" i="7"/>
  <c r="S16" i="7"/>
  <c r="T16" i="7"/>
  <c r="U16" i="7"/>
  <c r="W16" i="7"/>
  <c r="X16" i="7"/>
  <c r="Z16" i="7"/>
  <c r="AA16" i="7"/>
  <c r="AB16" i="7"/>
  <c r="AD16" i="7"/>
  <c r="AE16" i="7"/>
  <c r="AF16" i="7"/>
  <c r="AG16" i="7"/>
  <c r="AH16" i="7"/>
  <c r="AI16" i="7"/>
  <c r="AJ16" i="7"/>
  <c r="AK16" i="7"/>
  <c r="S17" i="7"/>
  <c r="T17" i="7"/>
  <c r="U17" i="7"/>
  <c r="W17" i="7"/>
  <c r="X17" i="7"/>
  <c r="Z17" i="7"/>
  <c r="AA17" i="7"/>
  <c r="AB17" i="7"/>
  <c r="AD17" i="7"/>
  <c r="AE17" i="7"/>
  <c r="AF17" i="7"/>
  <c r="AG17" i="7"/>
  <c r="AH17" i="7"/>
  <c r="AI17" i="7"/>
  <c r="AJ17" i="7"/>
  <c r="AK17" i="7"/>
  <c r="S18" i="7"/>
  <c r="T18" i="7"/>
  <c r="U18" i="7"/>
  <c r="W18" i="7"/>
  <c r="X18" i="7"/>
  <c r="Z18" i="7"/>
  <c r="AA18" i="7"/>
  <c r="AB18" i="7"/>
  <c r="AD18" i="7"/>
  <c r="AE18" i="7"/>
  <c r="AF18" i="7"/>
  <c r="AG18" i="7"/>
  <c r="AH18" i="7"/>
  <c r="AI18" i="7"/>
  <c r="AJ18" i="7"/>
  <c r="AK18" i="7"/>
  <c r="M19" i="7"/>
  <c r="S19" i="7"/>
  <c r="T19" i="7"/>
  <c r="U19" i="7"/>
  <c r="W19" i="7"/>
  <c r="X19" i="7"/>
  <c r="Z19" i="7"/>
  <c r="AA19" i="7"/>
  <c r="AB19" i="7"/>
  <c r="AD19" i="7"/>
  <c r="AE19" i="7"/>
  <c r="AF19" i="7"/>
  <c r="AG19" i="7"/>
  <c r="AH19" i="7"/>
  <c r="AI19" i="7"/>
  <c r="AJ19" i="7"/>
  <c r="AK19" i="7"/>
  <c r="J20" i="7"/>
  <c r="M20" i="7"/>
  <c r="J21" i="7"/>
  <c r="M21" i="7"/>
  <c r="S21" i="7"/>
  <c r="T21" i="7"/>
  <c r="U21" i="7"/>
  <c r="W21" i="7"/>
  <c r="X21" i="7"/>
  <c r="Z21" i="7"/>
  <c r="AA21" i="7"/>
  <c r="AB21" i="7"/>
  <c r="AD21" i="7"/>
  <c r="AE21" i="7"/>
  <c r="AF21" i="7"/>
  <c r="AG21" i="7"/>
  <c r="AH21" i="7"/>
  <c r="AI21" i="7"/>
  <c r="AJ21" i="7"/>
  <c r="AK21" i="7"/>
  <c r="K22" i="7"/>
  <c r="S22" i="7"/>
  <c r="T22" i="7"/>
  <c r="U22" i="7"/>
  <c r="W22" i="7"/>
  <c r="X22" i="7"/>
  <c r="Z22" i="7"/>
  <c r="AA22" i="7"/>
  <c r="AB22" i="7"/>
  <c r="AD22" i="7"/>
  <c r="AE22" i="7"/>
  <c r="AF22" i="7"/>
  <c r="AG22" i="7"/>
  <c r="AH22" i="7"/>
  <c r="AI22" i="7"/>
  <c r="AJ22" i="7"/>
  <c r="AK22" i="7"/>
  <c r="S23" i="7"/>
  <c r="T23" i="7"/>
  <c r="U23" i="7"/>
  <c r="W23" i="7"/>
  <c r="X23" i="7"/>
  <c r="Z23" i="7"/>
  <c r="AA23" i="7"/>
  <c r="AB23" i="7"/>
  <c r="AD23" i="7"/>
  <c r="AE23" i="7"/>
  <c r="AF23" i="7"/>
  <c r="AG23" i="7"/>
  <c r="AH23" i="7"/>
  <c r="AI23" i="7"/>
  <c r="AJ23" i="7"/>
  <c r="AK23" i="7"/>
  <c r="S24" i="7"/>
  <c r="T24" i="7"/>
  <c r="U24" i="7"/>
  <c r="W24" i="7"/>
  <c r="X24" i="7"/>
  <c r="Z24" i="7"/>
  <c r="AA24" i="7"/>
  <c r="AB24" i="7"/>
  <c r="AD24" i="7"/>
  <c r="AE24" i="7"/>
  <c r="AF24" i="7"/>
  <c r="AG24" i="7"/>
  <c r="AH24" i="7"/>
  <c r="AI24" i="7"/>
  <c r="AJ24" i="7"/>
  <c r="AK24" i="7"/>
  <c r="K26" i="7"/>
  <c r="L26" i="7"/>
  <c r="M26" i="7"/>
  <c r="S26" i="7"/>
  <c r="T26" i="7"/>
  <c r="U26" i="7"/>
  <c r="W26" i="7"/>
  <c r="X26" i="7"/>
  <c r="Z26" i="7"/>
  <c r="AA26" i="7"/>
  <c r="AB26" i="7"/>
  <c r="AD26" i="7"/>
  <c r="AE26" i="7"/>
  <c r="AF26" i="7"/>
  <c r="AG26" i="7"/>
  <c r="AH26" i="7"/>
  <c r="AI26" i="7"/>
  <c r="AJ26" i="7"/>
  <c r="AK26" i="7"/>
  <c r="S27" i="7"/>
  <c r="T27" i="7"/>
  <c r="U27" i="7"/>
  <c r="W27" i="7"/>
  <c r="X27" i="7"/>
  <c r="Z27" i="7"/>
  <c r="AA27" i="7"/>
  <c r="AB27" i="7"/>
  <c r="AD27" i="7"/>
  <c r="AE27" i="7"/>
  <c r="AF27" i="7"/>
  <c r="AG27" i="7"/>
  <c r="AH27" i="7"/>
  <c r="AI27" i="7"/>
  <c r="AJ27" i="7"/>
  <c r="AK27" i="7"/>
  <c r="L28" i="7"/>
  <c r="M28" i="7"/>
  <c r="S28" i="7"/>
  <c r="T28" i="7"/>
  <c r="U28" i="7"/>
  <c r="W28" i="7"/>
  <c r="X28" i="7"/>
  <c r="Z28" i="7"/>
  <c r="AA28" i="7"/>
  <c r="AB28" i="7"/>
  <c r="AD28" i="7"/>
  <c r="AE28" i="7"/>
  <c r="AF28" i="7"/>
  <c r="AG28" i="7"/>
  <c r="AH28" i="7"/>
  <c r="AI28" i="7"/>
  <c r="AJ28" i="7"/>
  <c r="AK28" i="7"/>
  <c r="S29" i="7"/>
  <c r="T29" i="7"/>
  <c r="U29" i="7"/>
  <c r="W29" i="7"/>
  <c r="X29" i="7"/>
  <c r="Z29" i="7"/>
  <c r="AA29" i="7"/>
  <c r="AB29" i="7"/>
  <c r="AD29" i="7"/>
  <c r="AE29" i="7"/>
  <c r="AF29" i="7"/>
  <c r="AG29" i="7"/>
  <c r="AH29" i="7"/>
  <c r="AI29" i="7"/>
  <c r="AJ29" i="7"/>
  <c r="AK29" i="7"/>
  <c r="S31" i="7"/>
  <c r="T31" i="7"/>
  <c r="U31" i="7"/>
  <c r="W31" i="7"/>
  <c r="X31" i="7"/>
  <c r="Z31" i="7"/>
  <c r="AA31" i="7"/>
  <c r="AB31" i="7"/>
  <c r="AD31" i="7"/>
  <c r="AE31" i="7"/>
  <c r="AF31" i="7"/>
  <c r="AG31" i="7"/>
  <c r="AH31" i="7"/>
  <c r="AI31" i="7"/>
  <c r="AJ31" i="7"/>
  <c r="AK31" i="7"/>
  <c r="S32" i="7"/>
  <c r="T32" i="7"/>
  <c r="U32" i="7"/>
  <c r="W32" i="7"/>
  <c r="X32" i="7"/>
  <c r="Z32" i="7"/>
  <c r="AA32" i="7"/>
  <c r="AB32" i="7"/>
  <c r="AD32" i="7"/>
  <c r="AE32" i="7"/>
  <c r="AF32" i="7"/>
  <c r="AG32" i="7"/>
  <c r="AH32" i="7"/>
  <c r="AI32" i="7"/>
  <c r="AJ32" i="7"/>
  <c r="AK32" i="7"/>
  <c r="J33" i="7"/>
  <c r="K33" i="7"/>
  <c r="S33" i="7"/>
  <c r="T33" i="7"/>
  <c r="U33" i="7"/>
  <c r="W33" i="7"/>
  <c r="X33" i="7"/>
  <c r="Z33" i="7"/>
  <c r="AA33" i="7"/>
  <c r="AB33" i="7"/>
  <c r="AD33" i="7"/>
  <c r="AE33" i="7"/>
  <c r="AF33" i="7"/>
  <c r="AG33" i="7"/>
  <c r="AH33" i="7"/>
  <c r="AI33" i="7"/>
  <c r="AJ33" i="7"/>
  <c r="AK33" i="7"/>
  <c r="J34" i="7"/>
  <c r="K34" i="7"/>
  <c r="S34" i="7"/>
  <c r="T34" i="7"/>
  <c r="U34" i="7"/>
  <c r="W34" i="7"/>
  <c r="X34" i="7"/>
  <c r="Z34" i="7"/>
  <c r="AA34" i="7"/>
  <c r="AB34" i="7"/>
  <c r="AD34" i="7"/>
  <c r="AE34" i="7"/>
  <c r="AF34" i="7"/>
  <c r="AG34" i="7"/>
  <c r="AH34" i="7"/>
  <c r="AI34" i="7"/>
  <c r="AJ34" i="7"/>
  <c r="AK34" i="7"/>
  <c r="J35" i="7"/>
  <c r="K35" i="7"/>
  <c r="J36" i="7"/>
  <c r="K36" i="7"/>
  <c r="S36" i="7"/>
  <c r="T36" i="7"/>
  <c r="U36" i="7"/>
  <c r="W36" i="7"/>
  <c r="X36" i="7"/>
  <c r="Z36" i="7"/>
  <c r="AA36" i="7"/>
  <c r="AB36" i="7"/>
  <c r="AD36" i="7"/>
  <c r="AE36" i="7"/>
  <c r="AF36" i="7"/>
  <c r="AG36" i="7"/>
  <c r="AH36" i="7"/>
  <c r="AI36" i="7"/>
  <c r="AJ36" i="7"/>
  <c r="AK36" i="7"/>
  <c r="J37" i="7"/>
  <c r="K37" i="7"/>
  <c r="S37" i="7"/>
  <c r="T37" i="7"/>
  <c r="U37" i="7"/>
  <c r="W37" i="7"/>
  <c r="X37" i="7"/>
  <c r="Z37" i="7"/>
  <c r="AA37" i="7"/>
  <c r="AB37" i="7"/>
  <c r="AD37" i="7"/>
  <c r="AE37" i="7"/>
  <c r="AF37" i="7"/>
  <c r="AG37" i="7"/>
  <c r="AH37" i="7"/>
  <c r="AI37" i="7"/>
  <c r="AJ37" i="7"/>
  <c r="AK37" i="7"/>
  <c r="S38" i="7"/>
  <c r="T38" i="7"/>
  <c r="U38" i="7"/>
  <c r="W38" i="7"/>
  <c r="X38" i="7"/>
  <c r="Z38" i="7"/>
  <c r="AA38" i="7"/>
  <c r="AB38" i="7"/>
  <c r="AD38" i="7"/>
  <c r="AE38" i="7"/>
  <c r="AF38" i="7"/>
  <c r="AG38" i="7"/>
  <c r="AH38" i="7"/>
  <c r="AI38" i="7"/>
  <c r="AJ38" i="7"/>
  <c r="AK38" i="7"/>
  <c r="S39" i="7"/>
  <c r="T39" i="7"/>
  <c r="U39" i="7"/>
  <c r="W39" i="7"/>
  <c r="X39" i="7"/>
  <c r="Z39" i="7"/>
  <c r="AA39" i="7"/>
  <c r="AB39" i="7"/>
  <c r="AD39" i="7"/>
  <c r="AE39" i="7"/>
  <c r="AF39" i="7"/>
  <c r="AG39" i="7"/>
  <c r="AH39" i="7"/>
  <c r="AI39" i="7"/>
  <c r="AJ39" i="7"/>
  <c r="AK39" i="7"/>
  <c r="K43" i="7"/>
  <c r="V43" i="7"/>
  <c r="K44" i="7"/>
  <c r="V44" i="7"/>
  <c r="K45" i="7"/>
  <c r="V45" i="7"/>
  <c r="K46" i="7"/>
  <c r="K47" i="7"/>
  <c r="R47" i="7"/>
  <c r="R48" i="7"/>
  <c r="J49" i="7"/>
  <c r="R50" i="7"/>
  <c r="Y62" i="7"/>
  <c r="Z62" i="7"/>
  <c r="Y63" i="7"/>
  <c r="Z63" i="7"/>
  <c r="Y64" i="7"/>
  <c r="Z64" i="7"/>
  <c r="Y65" i="7"/>
  <c r="Z65" i="7"/>
  <c r="Y66" i="7"/>
  <c r="Z66" i="7"/>
  <c r="AI6" i="8"/>
  <c r="AJ6" i="8"/>
  <c r="AK6" i="8"/>
  <c r="J7" i="8"/>
  <c r="K7" i="8"/>
  <c r="L7" i="8"/>
  <c r="M7" i="8"/>
  <c r="AI7" i="8"/>
  <c r="AJ7" i="8"/>
  <c r="AK7" i="8"/>
  <c r="L8" i="8"/>
  <c r="M8" i="8"/>
  <c r="AI8" i="8"/>
  <c r="AJ8" i="8"/>
  <c r="AK8" i="8"/>
  <c r="K9" i="8"/>
  <c r="M9" i="8"/>
  <c r="AI9" i="8"/>
  <c r="AJ9" i="8"/>
  <c r="AK9" i="8"/>
  <c r="S11" i="8"/>
  <c r="T11" i="8"/>
  <c r="U11" i="8"/>
  <c r="W11" i="8"/>
  <c r="X11" i="8"/>
  <c r="Z11" i="8"/>
  <c r="AA11" i="8"/>
  <c r="AB11" i="8"/>
  <c r="AD11" i="8"/>
  <c r="AE11" i="8"/>
  <c r="AF11" i="8"/>
  <c r="AG11" i="8"/>
  <c r="AH11" i="8"/>
  <c r="AI11" i="8"/>
  <c r="AJ11" i="8"/>
  <c r="AK11" i="8"/>
  <c r="I12" i="8"/>
  <c r="J12" i="8"/>
  <c r="K12" i="8"/>
  <c r="M12" i="8"/>
  <c r="S12" i="8"/>
  <c r="T12" i="8"/>
  <c r="U12" i="8"/>
  <c r="W12" i="8"/>
  <c r="X12" i="8"/>
  <c r="Z12" i="8"/>
  <c r="AA12" i="8"/>
  <c r="AB12" i="8"/>
  <c r="AD12" i="8"/>
  <c r="AE12" i="8"/>
  <c r="AF12" i="8"/>
  <c r="AG12" i="8"/>
  <c r="AH12" i="8"/>
  <c r="AI12" i="8"/>
  <c r="AJ12" i="8"/>
  <c r="AK12" i="8"/>
  <c r="S13" i="8"/>
  <c r="T13" i="8"/>
  <c r="U13" i="8"/>
  <c r="W13" i="8"/>
  <c r="X13" i="8"/>
  <c r="Z13" i="8"/>
  <c r="AA13" i="8"/>
  <c r="AB13" i="8"/>
  <c r="AD13" i="8"/>
  <c r="AE13" i="8"/>
  <c r="AF13" i="8"/>
  <c r="AG13" i="8"/>
  <c r="AH13" i="8"/>
  <c r="AI13" i="8"/>
  <c r="AJ13" i="8"/>
  <c r="AK13" i="8"/>
  <c r="I14" i="8"/>
  <c r="K14" i="8"/>
  <c r="M14" i="8"/>
  <c r="S14" i="8"/>
  <c r="T14" i="8"/>
  <c r="U14" i="8"/>
  <c r="W14" i="8"/>
  <c r="X14" i="8"/>
  <c r="Z14" i="8"/>
  <c r="AA14" i="8"/>
  <c r="AB14" i="8"/>
  <c r="AD14" i="8"/>
  <c r="AE14" i="8"/>
  <c r="AF14" i="8"/>
  <c r="AG14" i="8"/>
  <c r="AH14" i="8"/>
  <c r="AI14" i="8"/>
  <c r="AJ14" i="8"/>
  <c r="AK14" i="8"/>
  <c r="K16" i="8"/>
  <c r="M16" i="8"/>
  <c r="S16" i="8"/>
  <c r="T16" i="8"/>
  <c r="U16" i="8"/>
  <c r="W16" i="8"/>
  <c r="X16" i="8"/>
  <c r="Z16" i="8"/>
  <c r="AA16" i="8"/>
  <c r="AB16" i="8"/>
  <c r="AD16" i="8"/>
  <c r="AE16" i="8"/>
  <c r="AF16" i="8"/>
  <c r="AG16" i="8"/>
  <c r="AH16" i="8"/>
  <c r="AI16" i="8"/>
  <c r="AJ16" i="8"/>
  <c r="AK16" i="8"/>
  <c r="S17" i="8"/>
  <c r="T17" i="8"/>
  <c r="U17" i="8"/>
  <c r="W17" i="8"/>
  <c r="X17" i="8"/>
  <c r="Z17" i="8"/>
  <c r="AA17" i="8"/>
  <c r="AB17" i="8"/>
  <c r="AD17" i="8"/>
  <c r="AE17" i="8"/>
  <c r="AF17" i="8"/>
  <c r="AG17" i="8"/>
  <c r="AH17" i="8"/>
  <c r="AI17" i="8"/>
  <c r="AJ17" i="8"/>
  <c r="AK17" i="8"/>
  <c r="S18" i="8"/>
  <c r="T18" i="8"/>
  <c r="U18" i="8"/>
  <c r="W18" i="8"/>
  <c r="X18" i="8"/>
  <c r="Z18" i="8"/>
  <c r="AA18" i="8"/>
  <c r="AB18" i="8"/>
  <c r="AD18" i="8"/>
  <c r="AE18" i="8"/>
  <c r="AF18" i="8"/>
  <c r="AG18" i="8"/>
  <c r="AH18" i="8"/>
  <c r="AI18" i="8"/>
  <c r="AJ18" i="8"/>
  <c r="AK18" i="8"/>
  <c r="M19" i="8"/>
  <c r="S19" i="8"/>
  <c r="T19" i="8"/>
  <c r="U19" i="8"/>
  <c r="W19" i="8"/>
  <c r="X19" i="8"/>
  <c r="Z19" i="8"/>
  <c r="AA19" i="8"/>
  <c r="AB19" i="8"/>
  <c r="AD19" i="8"/>
  <c r="AE19" i="8"/>
  <c r="AF19" i="8"/>
  <c r="AG19" i="8"/>
  <c r="AH19" i="8"/>
  <c r="AI19" i="8"/>
  <c r="AJ19" i="8"/>
  <c r="AK19" i="8"/>
  <c r="J20" i="8"/>
  <c r="M20" i="8"/>
  <c r="J21" i="8"/>
  <c r="M21" i="8"/>
  <c r="S21" i="8"/>
  <c r="T21" i="8"/>
  <c r="U21" i="8"/>
  <c r="W21" i="8"/>
  <c r="X21" i="8"/>
  <c r="Z21" i="8"/>
  <c r="AA21" i="8"/>
  <c r="AB21" i="8"/>
  <c r="AD21" i="8"/>
  <c r="AE21" i="8"/>
  <c r="AF21" i="8"/>
  <c r="AG21" i="8"/>
  <c r="AH21" i="8"/>
  <c r="AI21" i="8"/>
  <c r="AJ21" i="8"/>
  <c r="AK21" i="8"/>
  <c r="K22" i="8"/>
  <c r="S22" i="8"/>
  <c r="T22" i="8"/>
  <c r="U22" i="8"/>
  <c r="W22" i="8"/>
  <c r="X22" i="8"/>
  <c r="Z22" i="8"/>
  <c r="AA22" i="8"/>
  <c r="AB22" i="8"/>
  <c r="AD22" i="8"/>
  <c r="AE22" i="8"/>
  <c r="AF22" i="8"/>
  <c r="AG22" i="8"/>
  <c r="AH22" i="8"/>
  <c r="AI22" i="8"/>
  <c r="AJ22" i="8"/>
  <c r="AK22" i="8"/>
  <c r="S23" i="8"/>
  <c r="T23" i="8"/>
  <c r="U23" i="8"/>
  <c r="W23" i="8"/>
  <c r="X23" i="8"/>
  <c r="Z23" i="8"/>
  <c r="AA23" i="8"/>
  <c r="AB23" i="8"/>
  <c r="AD23" i="8"/>
  <c r="AE23" i="8"/>
  <c r="AF23" i="8"/>
  <c r="AG23" i="8"/>
  <c r="AH23" i="8"/>
  <c r="AI23" i="8"/>
  <c r="AJ23" i="8"/>
  <c r="AK23" i="8"/>
  <c r="S24" i="8"/>
  <c r="T24" i="8"/>
  <c r="U24" i="8"/>
  <c r="W24" i="8"/>
  <c r="X24" i="8"/>
  <c r="Z24" i="8"/>
  <c r="AA24" i="8"/>
  <c r="AB24" i="8"/>
  <c r="AD24" i="8"/>
  <c r="AE24" i="8"/>
  <c r="AF24" i="8"/>
  <c r="AG24" i="8"/>
  <c r="AH24" i="8"/>
  <c r="AI24" i="8"/>
  <c r="AJ24" i="8"/>
  <c r="AK24" i="8"/>
  <c r="K26" i="8"/>
  <c r="L26" i="8"/>
  <c r="M26" i="8"/>
  <c r="S26" i="8"/>
  <c r="T26" i="8"/>
  <c r="U26" i="8"/>
  <c r="W26" i="8"/>
  <c r="X26" i="8"/>
  <c r="Z26" i="8"/>
  <c r="AA26" i="8"/>
  <c r="AB26" i="8"/>
  <c r="AD26" i="8"/>
  <c r="AE26" i="8"/>
  <c r="AF26" i="8"/>
  <c r="AG26" i="8"/>
  <c r="AH26" i="8"/>
  <c r="AI26" i="8"/>
  <c r="AJ26" i="8"/>
  <c r="AK26" i="8"/>
  <c r="S27" i="8"/>
  <c r="T27" i="8"/>
  <c r="U27" i="8"/>
  <c r="W27" i="8"/>
  <c r="X27" i="8"/>
  <c r="Z27" i="8"/>
  <c r="AA27" i="8"/>
  <c r="AB27" i="8"/>
  <c r="AD27" i="8"/>
  <c r="AE27" i="8"/>
  <c r="AF27" i="8"/>
  <c r="AG27" i="8"/>
  <c r="AH27" i="8"/>
  <c r="AI27" i="8"/>
  <c r="AJ27" i="8"/>
  <c r="AK27" i="8"/>
  <c r="L28" i="8"/>
  <c r="M28" i="8"/>
  <c r="S28" i="8"/>
  <c r="T28" i="8"/>
  <c r="U28" i="8"/>
  <c r="W28" i="8"/>
  <c r="X28" i="8"/>
  <c r="Z28" i="8"/>
  <c r="AA28" i="8"/>
  <c r="AB28" i="8"/>
  <c r="AD28" i="8"/>
  <c r="AE28" i="8"/>
  <c r="AF28" i="8"/>
  <c r="AG28" i="8"/>
  <c r="AH28" i="8"/>
  <c r="AI28" i="8"/>
  <c r="AJ28" i="8"/>
  <c r="AK28" i="8"/>
  <c r="S29" i="8"/>
  <c r="T29" i="8"/>
  <c r="U29" i="8"/>
  <c r="W29" i="8"/>
  <c r="X29" i="8"/>
  <c r="Z29" i="8"/>
  <c r="AA29" i="8"/>
  <c r="AB29" i="8"/>
  <c r="AD29" i="8"/>
  <c r="AE29" i="8"/>
  <c r="AF29" i="8"/>
  <c r="AG29" i="8"/>
  <c r="AH29" i="8"/>
  <c r="AI29" i="8"/>
  <c r="AJ29" i="8"/>
  <c r="AK29" i="8"/>
  <c r="S31" i="8"/>
  <c r="T31" i="8"/>
  <c r="U31" i="8"/>
  <c r="W31" i="8"/>
  <c r="X31" i="8"/>
  <c r="Z31" i="8"/>
  <c r="AA31" i="8"/>
  <c r="AB31" i="8"/>
  <c r="AD31" i="8"/>
  <c r="AE31" i="8"/>
  <c r="AF31" i="8"/>
  <c r="AG31" i="8"/>
  <c r="AH31" i="8"/>
  <c r="AI31" i="8"/>
  <c r="AJ31" i="8"/>
  <c r="AK31" i="8"/>
  <c r="S32" i="8"/>
  <c r="T32" i="8"/>
  <c r="U32" i="8"/>
  <c r="W32" i="8"/>
  <c r="X32" i="8"/>
  <c r="Z32" i="8"/>
  <c r="AA32" i="8"/>
  <c r="AB32" i="8"/>
  <c r="AD32" i="8"/>
  <c r="AE32" i="8"/>
  <c r="AF32" i="8"/>
  <c r="AG32" i="8"/>
  <c r="AH32" i="8"/>
  <c r="AI32" i="8"/>
  <c r="AJ32" i="8"/>
  <c r="AK32" i="8"/>
  <c r="J33" i="8"/>
  <c r="K33" i="8"/>
  <c r="S33" i="8"/>
  <c r="T33" i="8"/>
  <c r="U33" i="8"/>
  <c r="W33" i="8"/>
  <c r="X33" i="8"/>
  <c r="Z33" i="8"/>
  <c r="AA33" i="8"/>
  <c r="AB33" i="8"/>
  <c r="AD33" i="8"/>
  <c r="AE33" i="8"/>
  <c r="AF33" i="8"/>
  <c r="AG33" i="8"/>
  <c r="AH33" i="8"/>
  <c r="AI33" i="8"/>
  <c r="AJ33" i="8"/>
  <c r="AK33" i="8"/>
  <c r="J34" i="8"/>
  <c r="K34" i="8"/>
  <c r="S34" i="8"/>
  <c r="T34" i="8"/>
  <c r="U34" i="8"/>
  <c r="W34" i="8"/>
  <c r="X34" i="8"/>
  <c r="Z34" i="8"/>
  <c r="AA34" i="8"/>
  <c r="AB34" i="8"/>
  <c r="AD34" i="8"/>
  <c r="AE34" i="8"/>
  <c r="AF34" i="8"/>
  <c r="AG34" i="8"/>
  <c r="AH34" i="8"/>
  <c r="AI34" i="8"/>
  <c r="AJ34" i="8"/>
  <c r="AK34" i="8"/>
  <c r="J35" i="8"/>
  <c r="K35" i="8"/>
  <c r="J36" i="8"/>
  <c r="K36" i="8"/>
  <c r="S36" i="8"/>
  <c r="T36" i="8"/>
  <c r="U36" i="8"/>
  <c r="W36" i="8"/>
  <c r="X36" i="8"/>
  <c r="Z36" i="8"/>
  <c r="AA36" i="8"/>
  <c r="AB36" i="8"/>
  <c r="AD36" i="8"/>
  <c r="AE36" i="8"/>
  <c r="AF36" i="8"/>
  <c r="AG36" i="8"/>
  <c r="AH36" i="8"/>
  <c r="AI36" i="8"/>
  <c r="AJ36" i="8"/>
  <c r="AK36" i="8"/>
  <c r="J37" i="8"/>
  <c r="K37" i="8"/>
  <c r="S37" i="8"/>
  <c r="T37" i="8"/>
  <c r="U37" i="8"/>
  <c r="W37" i="8"/>
  <c r="X37" i="8"/>
  <c r="Z37" i="8"/>
  <c r="AA37" i="8"/>
  <c r="AB37" i="8"/>
  <c r="AD37" i="8"/>
  <c r="AE37" i="8"/>
  <c r="AF37" i="8"/>
  <c r="AG37" i="8"/>
  <c r="AH37" i="8"/>
  <c r="AI37" i="8"/>
  <c r="AJ37" i="8"/>
  <c r="AK37" i="8"/>
  <c r="S38" i="8"/>
  <c r="T38" i="8"/>
  <c r="U38" i="8"/>
  <c r="W38" i="8"/>
  <c r="X38" i="8"/>
  <c r="Z38" i="8"/>
  <c r="AA38" i="8"/>
  <c r="AB38" i="8"/>
  <c r="AD38" i="8"/>
  <c r="AE38" i="8"/>
  <c r="AF38" i="8"/>
  <c r="AG38" i="8"/>
  <c r="AH38" i="8"/>
  <c r="AI38" i="8"/>
  <c r="AJ38" i="8"/>
  <c r="AK38" i="8"/>
  <c r="S39" i="8"/>
  <c r="T39" i="8"/>
  <c r="U39" i="8"/>
  <c r="W39" i="8"/>
  <c r="X39" i="8"/>
  <c r="Z39" i="8"/>
  <c r="AA39" i="8"/>
  <c r="AB39" i="8"/>
  <c r="AD39" i="8"/>
  <c r="AE39" i="8"/>
  <c r="AF39" i="8"/>
  <c r="AG39" i="8"/>
  <c r="AH39" i="8"/>
  <c r="AI39" i="8"/>
  <c r="AJ39" i="8"/>
  <c r="AK39" i="8"/>
  <c r="K43" i="8"/>
  <c r="V43" i="8"/>
  <c r="K44" i="8"/>
  <c r="V44" i="8"/>
  <c r="K45" i="8"/>
  <c r="V45" i="8"/>
  <c r="K46" i="8"/>
  <c r="K47" i="8"/>
  <c r="R47" i="8"/>
  <c r="R48" i="8"/>
  <c r="J49" i="8"/>
  <c r="R50" i="8"/>
  <c r="Y62" i="8"/>
  <c r="Z62" i="8"/>
  <c r="Y63" i="8"/>
  <c r="Z63" i="8"/>
  <c r="Y64" i="8"/>
  <c r="Z64" i="8"/>
  <c r="Y65" i="8"/>
  <c r="Z65" i="8"/>
  <c r="Y66" i="8"/>
  <c r="Z66" i="8"/>
  <c r="AI6" i="9"/>
  <c r="AJ6" i="9"/>
  <c r="AK6" i="9"/>
  <c r="J7" i="9"/>
  <c r="K7" i="9"/>
  <c r="L7" i="9"/>
  <c r="M7" i="9"/>
  <c r="AI7" i="9"/>
  <c r="AJ7" i="9"/>
  <c r="AK7" i="9"/>
  <c r="L8" i="9"/>
  <c r="M8" i="9"/>
  <c r="AI8" i="9"/>
  <c r="AJ8" i="9"/>
  <c r="AK8" i="9"/>
  <c r="K9" i="9"/>
  <c r="M9" i="9"/>
  <c r="AI9" i="9"/>
  <c r="AJ9" i="9"/>
  <c r="AK9" i="9"/>
  <c r="S11" i="9"/>
  <c r="T11" i="9"/>
  <c r="U11" i="9"/>
  <c r="W11" i="9"/>
  <c r="X11" i="9"/>
  <c r="Z11" i="9"/>
  <c r="AA11" i="9"/>
  <c r="AB11" i="9"/>
  <c r="AD11" i="9"/>
  <c r="AE11" i="9"/>
  <c r="AF11" i="9"/>
  <c r="AG11" i="9"/>
  <c r="AH11" i="9"/>
  <c r="AI11" i="9"/>
  <c r="AJ11" i="9"/>
  <c r="AK11" i="9"/>
  <c r="I12" i="9"/>
  <c r="J12" i="9"/>
  <c r="K12" i="9"/>
  <c r="M12" i="9"/>
  <c r="S12" i="9"/>
  <c r="T12" i="9"/>
  <c r="U12" i="9"/>
  <c r="W12" i="9"/>
  <c r="X12" i="9"/>
  <c r="Z12" i="9"/>
  <c r="AA12" i="9"/>
  <c r="AB12" i="9"/>
  <c r="AD12" i="9"/>
  <c r="AE12" i="9"/>
  <c r="AF12" i="9"/>
  <c r="AG12" i="9"/>
  <c r="AH12" i="9"/>
  <c r="AI12" i="9"/>
  <c r="AJ12" i="9"/>
  <c r="AK12" i="9"/>
  <c r="S13" i="9"/>
  <c r="T13" i="9"/>
  <c r="U13" i="9"/>
  <c r="W13" i="9"/>
  <c r="X13" i="9"/>
  <c r="Z13" i="9"/>
  <c r="AA13" i="9"/>
  <c r="AB13" i="9"/>
  <c r="AD13" i="9"/>
  <c r="AE13" i="9"/>
  <c r="AF13" i="9"/>
  <c r="AG13" i="9"/>
  <c r="AH13" i="9"/>
  <c r="AI13" i="9"/>
  <c r="AJ13" i="9"/>
  <c r="AK13" i="9"/>
  <c r="I14" i="9"/>
  <c r="K14" i="9"/>
  <c r="M14" i="9"/>
  <c r="S14" i="9"/>
  <c r="T14" i="9"/>
  <c r="U14" i="9"/>
  <c r="W14" i="9"/>
  <c r="X14" i="9"/>
  <c r="Z14" i="9"/>
  <c r="AA14" i="9"/>
  <c r="AB14" i="9"/>
  <c r="AD14" i="9"/>
  <c r="AE14" i="9"/>
  <c r="AF14" i="9"/>
  <c r="AG14" i="9"/>
  <c r="AH14" i="9"/>
  <c r="AI14" i="9"/>
  <c r="AJ14" i="9"/>
  <c r="AK14" i="9"/>
  <c r="K16" i="9"/>
  <c r="M16" i="9"/>
  <c r="S16" i="9"/>
  <c r="T16" i="9"/>
  <c r="U16" i="9"/>
  <c r="W16" i="9"/>
  <c r="X16" i="9"/>
  <c r="Z16" i="9"/>
  <c r="AA16" i="9"/>
  <c r="AB16" i="9"/>
  <c r="AD16" i="9"/>
  <c r="AE16" i="9"/>
  <c r="AF16" i="9"/>
  <c r="AG16" i="9"/>
  <c r="AH16" i="9"/>
  <c r="AI16" i="9"/>
  <c r="AJ16" i="9"/>
  <c r="AK16" i="9"/>
  <c r="S17" i="9"/>
  <c r="T17" i="9"/>
  <c r="U17" i="9"/>
  <c r="W17" i="9"/>
  <c r="X17" i="9"/>
  <c r="Z17" i="9"/>
  <c r="AA17" i="9"/>
  <c r="AB17" i="9"/>
  <c r="AD17" i="9"/>
  <c r="AE17" i="9"/>
  <c r="AF17" i="9"/>
  <c r="AG17" i="9"/>
  <c r="AH17" i="9"/>
  <c r="AI17" i="9"/>
  <c r="AJ17" i="9"/>
  <c r="AK17" i="9"/>
  <c r="S18" i="9"/>
  <c r="T18" i="9"/>
  <c r="U18" i="9"/>
  <c r="W18" i="9"/>
  <c r="X18" i="9"/>
  <c r="Z18" i="9"/>
  <c r="AA18" i="9"/>
  <c r="AB18" i="9"/>
  <c r="AD18" i="9"/>
  <c r="AE18" i="9"/>
  <c r="AF18" i="9"/>
  <c r="AG18" i="9"/>
  <c r="AH18" i="9"/>
  <c r="AI18" i="9"/>
  <c r="AJ18" i="9"/>
  <c r="AK18" i="9"/>
  <c r="M19" i="9"/>
  <c r="S19" i="9"/>
  <c r="T19" i="9"/>
  <c r="U19" i="9"/>
  <c r="W19" i="9"/>
  <c r="X19" i="9"/>
  <c r="Z19" i="9"/>
  <c r="AA19" i="9"/>
  <c r="AB19" i="9"/>
  <c r="AD19" i="9"/>
  <c r="AE19" i="9"/>
  <c r="AF19" i="9"/>
  <c r="AG19" i="9"/>
  <c r="AH19" i="9"/>
  <c r="AI19" i="9"/>
  <c r="AJ19" i="9"/>
  <c r="AK19" i="9"/>
  <c r="J20" i="9"/>
  <c r="M20" i="9"/>
  <c r="J21" i="9"/>
  <c r="M21" i="9"/>
  <c r="S21" i="9"/>
  <c r="T21" i="9"/>
  <c r="U21" i="9"/>
  <c r="W21" i="9"/>
  <c r="X21" i="9"/>
  <c r="Z21" i="9"/>
  <c r="AA21" i="9"/>
  <c r="AB21" i="9"/>
  <c r="AD21" i="9"/>
  <c r="AE21" i="9"/>
  <c r="AF21" i="9"/>
  <c r="AG21" i="9"/>
  <c r="AH21" i="9"/>
  <c r="AI21" i="9"/>
  <c r="AJ21" i="9"/>
  <c r="AK21" i="9"/>
  <c r="K22" i="9"/>
  <c r="S22" i="9"/>
  <c r="T22" i="9"/>
  <c r="U22" i="9"/>
  <c r="W22" i="9"/>
  <c r="X22" i="9"/>
  <c r="Z22" i="9"/>
  <c r="AA22" i="9"/>
  <c r="AB22" i="9"/>
  <c r="AD22" i="9"/>
  <c r="AE22" i="9"/>
  <c r="AF22" i="9"/>
  <c r="AG22" i="9"/>
  <c r="AH22" i="9"/>
  <c r="AI22" i="9"/>
  <c r="AJ22" i="9"/>
  <c r="AK22" i="9"/>
  <c r="S23" i="9"/>
  <c r="T23" i="9"/>
  <c r="U23" i="9"/>
  <c r="W23" i="9"/>
  <c r="X23" i="9"/>
  <c r="Z23" i="9"/>
  <c r="AA23" i="9"/>
  <c r="AB23" i="9"/>
  <c r="AD23" i="9"/>
  <c r="AE23" i="9"/>
  <c r="AF23" i="9"/>
  <c r="AG23" i="9"/>
  <c r="AH23" i="9"/>
  <c r="AI23" i="9"/>
  <c r="AJ23" i="9"/>
  <c r="AK23" i="9"/>
  <c r="S24" i="9"/>
  <c r="T24" i="9"/>
  <c r="U24" i="9"/>
  <c r="W24" i="9"/>
  <c r="X24" i="9"/>
  <c r="Z24" i="9"/>
  <c r="AA24" i="9"/>
  <c r="AB24" i="9"/>
  <c r="AD24" i="9"/>
  <c r="AE24" i="9"/>
  <c r="AF24" i="9"/>
  <c r="AG24" i="9"/>
  <c r="AH24" i="9"/>
  <c r="AI24" i="9"/>
  <c r="AJ24" i="9"/>
  <c r="AK24" i="9"/>
  <c r="K26" i="9"/>
  <c r="L26" i="9"/>
  <c r="M26" i="9"/>
  <c r="S26" i="9"/>
  <c r="T26" i="9"/>
  <c r="U26" i="9"/>
  <c r="W26" i="9"/>
  <c r="X26" i="9"/>
  <c r="Z26" i="9"/>
  <c r="AA26" i="9"/>
  <c r="AB26" i="9"/>
  <c r="AD26" i="9"/>
  <c r="AE26" i="9"/>
  <c r="AF26" i="9"/>
  <c r="AG26" i="9"/>
  <c r="AH26" i="9"/>
  <c r="AI26" i="9"/>
  <c r="AJ26" i="9"/>
  <c r="AK26" i="9"/>
  <c r="S27" i="9"/>
  <c r="T27" i="9"/>
  <c r="U27" i="9"/>
  <c r="W27" i="9"/>
  <c r="X27" i="9"/>
  <c r="Z27" i="9"/>
  <c r="AA27" i="9"/>
  <c r="AB27" i="9"/>
  <c r="AD27" i="9"/>
  <c r="AE27" i="9"/>
  <c r="AF27" i="9"/>
  <c r="AG27" i="9"/>
  <c r="AH27" i="9"/>
  <c r="AI27" i="9"/>
  <c r="AJ27" i="9"/>
  <c r="AK27" i="9"/>
  <c r="L28" i="9"/>
  <c r="M28" i="9"/>
  <c r="S28" i="9"/>
  <c r="T28" i="9"/>
  <c r="U28" i="9"/>
  <c r="W28" i="9"/>
  <c r="X28" i="9"/>
  <c r="Z28" i="9"/>
  <c r="AA28" i="9"/>
  <c r="AB28" i="9"/>
  <c r="AD28" i="9"/>
  <c r="AE28" i="9"/>
  <c r="AF28" i="9"/>
  <c r="AG28" i="9"/>
  <c r="AH28" i="9"/>
  <c r="AI28" i="9"/>
  <c r="AJ28" i="9"/>
  <c r="AK28" i="9"/>
  <c r="S29" i="9"/>
  <c r="T29" i="9"/>
  <c r="U29" i="9"/>
  <c r="W29" i="9"/>
  <c r="X29" i="9"/>
  <c r="Z29" i="9"/>
  <c r="AA29" i="9"/>
  <c r="AB29" i="9"/>
  <c r="AD29" i="9"/>
  <c r="AE29" i="9"/>
  <c r="AF29" i="9"/>
  <c r="AG29" i="9"/>
  <c r="AH29" i="9"/>
  <c r="AI29" i="9"/>
  <c r="AJ29" i="9"/>
  <c r="AK29" i="9"/>
  <c r="S31" i="9"/>
  <c r="T31" i="9"/>
  <c r="U31" i="9"/>
  <c r="W31" i="9"/>
  <c r="X31" i="9"/>
  <c r="Z31" i="9"/>
  <c r="AA31" i="9"/>
  <c r="AB31" i="9"/>
  <c r="AD31" i="9"/>
  <c r="AE31" i="9"/>
  <c r="AF31" i="9"/>
  <c r="AG31" i="9"/>
  <c r="AH31" i="9"/>
  <c r="AI31" i="9"/>
  <c r="AJ31" i="9"/>
  <c r="AK31" i="9"/>
  <c r="S32" i="9"/>
  <c r="T32" i="9"/>
  <c r="U32" i="9"/>
  <c r="W32" i="9"/>
  <c r="X32" i="9"/>
  <c r="Z32" i="9"/>
  <c r="AA32" i="9"/>
  <c r="AB32" i="9"/>
  <c r="AD32" i="9"/>
  <c r="AE32" i="9"/>
  <c r="AF32" i="9"/>
  <c r="AG32" i="9"/>
  <c r="AH32" i="9"/>
  <c r="AI32" i="9"/>
  <c r="AJ32" i="9"/>
  <c r="AK32" i="9"/>
  <c r="J33" i="9"/>
  <c r="K33" i="9"/>
  <c r="S33" i="9"/>
  <c r="T33" i="9"/>
  <c r="U33" i="9"/>
  <c r="W33" i="9"/>
  <c r="X33" i="9"/>
  <c r="Z33" i="9"/>
  <c r="AA33" i="9"/>
  <c r="AB33" i="9"/>
  <c r="AD33" i="9"/>
  <c r="AE33" i="9"/>
  <c r="AF33" i="9"/>
  <c r="AG33" i="9"/>
  <c r="AH33" i="9"/>
  <c r="AI33" i="9"/>
  <c r="AJ33" i="9"/>
  <c r="AK33" i="9"/>
  <c r="J34" i="9"/>
  <c r="K34" i="9"/>
  <c r="S34" i="9"/>
  <c r="T34" i="9"/>
  <c r="U34" i="9"/>
  <c r="W34" i="9"/>
  <c r="X34" i="9"/>
  <c r="Z34" i="9"/>
  <c r="AA34" i="9"/>
  <c r="AB34" i="9"/>
  <c r="AD34" i="9"/>
  <c r="AE34" i="9"/>
  <c r="AF34" i="9"/>
  <c r="AG34" i="9"/>
  <c r="AH34" i="9"/>
  <c r="AI34" i="9"/>
  <c r="AJ34" i="9"/>
  <c r="AK34" i="9"/>
  <c r="J35" i="9"/>
  <c r="K35" i="9"/>
  <c r="J36" i="9"/>
  <c r="K36" i="9"/>
  <c r="S36" i="9"/>
  <c r="T36" i="9"/>
  <c r="U36" i="9"/>
  <c r="W36" i="9"/>
  <c r="X36" i="9"/>
  <c r="Z36" i="9"/>
  <c r="AA36" i="9"/>
  <c r="AB36" i="9"/>
  <c r="AD36" i="9"/>
  <c r="AE36" i="9"/>
  <c r="AF36" i="9"/>
  <c r="AG36" i="9"/>
  <c r="AH36" i="9"/>
  <c r="AI36" i="9"/>
  <c r="AJ36" i="9"/>
  <c r="AK36" i="9"/>
  <c r="J37" i="9"/>
  <c r="K37" i="9"/>
  <c r="S37" i="9"/>
  <c r="T37" i="9"/>
  <c r="U37" i="9"/>
  <c r="W37" i="9"/>
  <c r="X37" i="9"/>
  <c r="Z37" i="9"/>
  <c r="AA37" i="9"/>
  <c r="AB37" i="9"/>
  <c r="AD37" i="9"/>
  <c r="AE37" i="9"/>
  <c r="AF37" i="9"/>
  <c r="AG37" i="9"/>
  <c r="AH37" i="9"/>
  <c r="AI37" i="9"/>
  <c r="AJ37" i="9"/>
  <c r="AK37" i="9"/>
  <c r="S38" i="9"/>
  <c r="T38" i="9"/>
  <c r="U38" i="9"/>
  <c r="W38" i="9"/>
  <c r="X38" i="9"/>
  <c r="Z38" i="9"/>
  <c r="AA38" i="9"/>
  <c r="AB38" i="9"/>
  <c r="AD38" i="9"/>
  <c r="AE38" i="9"/>
  <c r="AF38" i="9"/>
  <c r="AG38" i="9"/>
  <c r="AH38" i="9"/>
  <c r="AI38" i="9"/>
  <c r="AJ38" i="9"/>
  <c r="AK38" i="9"/>
  <c r="S39" i="9"/>
  <c r="T39" i="9"/>
  <c r="U39" i="9"/>
  <c r="W39" i="9"/>
  <c r="X39" i="9"/>
  <c r="Z39" i="9"/>
  <c r="AA39" i="9"/>
  <c r="AB39" i="9"/>
  <c r="AD39" i="9"/>
  <c r="AE39" i="9"/>
  <c r="AF39" i="9"/>
  <c r="AG39" i="9"/>
  <c r="AH39" i="9"/>
  <c r="AI39" i="9"/>
  <c r="AJ39" i="9"/>
  <c r="AK39" i="9"/>
  <c r="K43" i="9"/>
  <c r="V43" i="9"/>
  <c r="K44" i="9"/>
  <c r="V44" i="9"/>
  <c r="K45" i="9"/>
  <c r="V45" i="9"/>
  <c r="K46" i="9"/>
  <c r="K47" i="9"/>
  <c r="R47" i="9"/>
  <c r="R48" i="9"/>
  <c r="J49" i="9"/>
  <c r="R50" i="9"/>
  <c r="Y62" i="9"/>
  <c r="Z62" i="9"/>
  <c r="Y63" i="9"/>
  <c r="Z63" i="9"/>
  <c r="Y64" i="9"/>
  <c r="Z64" i="9"/>
  <c r="Y65" i="9"/>
  <c r="Z65" i="9"/>
  <c r="Y66" i="9"/>
  <c r="Z66" i="9"/>
  <c r="AQ2" i="4"/>
  <c r="AP6" i="4"/>
  <c r="AQ6" i="4"/>
  <c r="AP7" i="4"/>
  <c r="AQ7" i="4"/>
  <c r="AP8" i="4"/>
  <c r="AQ8" i="4"/>
  <c r="AP9" i="4"/>
  <c r="AQ9" i="4"/>
  <c r="AP10" i="4"/>
  <c r="AQ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Artem Savka</author>
  </authors>
  <commentList>
    <comment ref="AL13" authorId="0" shapeId="0" xr:uid="{2A56177A-8864-468A-80FA-25E868662ED7}">
      <text>
        <r>
          <rPr>
            <b/>
            <sz val="9"/>
            <color indexed="81"/>
            <rFont val="Tahoma"/>
            <family val="2"/>
          </rPr>
          <t>Artem Savka:</t>
        </r>
        <r>
          <rPr>
            <sz val="9"/>
            <color indexed="81"/>
            <rFont val="Tahoma"/>
            <family val="2"/>
          </rPr>
          <t xml:space="preserve">
8/25: Remove 20-32 carts from Container Count, b/c these are CUST OWNED</t>
        </r>
      </text>
    </comment>
    <comment ref="AL14" authorId="0" shapeId="0" xr:uid="{8C98FABD-B4A2-4FA9-999E-E5D3D613DA9B}">
      <text>
        <r>
          <rPr>
            <b/>
            <sz val="9"/>
            <color indexed="81"/>
            <rFont val="Tahoma"/>
            <family val="2"/>
          </rPr>
          <t>Artem Savka:</t>
        </r>
        <r>
          <rPr>
            <sz val="9"/>
            <color indexed="81"/>
            <rFont val="Tahoma"/>
            <family val="2"/>
          </rPr>
          <t xml:space="preserve">
8/25: Remove 20-32 carts from Container Count, b/c these are CUST OWNED</t>
        </r>
      </text>
    </comment>
  </commentList>
</comments>
</file>

<file path=xl/sharedStrings.xml><?xml version="1.0" encoding="utf-8"?>
<sst xmlns="http://schemas.openxmlformats.org/spreadsheetml/2006/main" count="2152" uniqueCount="851">
  <si>
    <t>Murrey's Disposal Co., Inc. G-9</t>
  </si>
  <si>
    <t>Increase per LG</t>
  </si>
  <si>
    <t>True-Up</t>
  </si>
  <si>
    <t>Total PI</t>
  </si>
  <si>
    <t>Diff From LG</t>
  </si>
  <si>
    <t>dba Olympic Disposal</t>
  </si>
  <si>
    <t>Area Total</t>
  </si>
  <si>
    <t>Jefferson Regulated Price Out</t>
  </si>
  <si>
    <t>Cart</t>
  </si>
  <si>
    <t>Container</t>
  </si>
  <si>
    <t>Drop Box</t>
  </si>
  <si>
    <t>Tariff Rate</t>
  </si>
  <si>
    <t>Tariff</t>
  </si>
  <si>
    <t>Total</t>
  </si>
  <si>
    <t>Average</t>
  </si>
  <si>
    <t>Quantity</t>
  </si>
  <si>
    <t>Count</t>
  </si>
  <si>
    <t>Per Price Out</t>
  </si>
  <si>
    <t>DF Increase</t>
  </si>
  <si>
    <t>Revenue Req Per LG</t>
  </si>
  <si>
    <t>Difference</t>
  </si>
  <si>
    <t>Service Code</t>
  </si>
  <si>
    <t>Service Code Description</t>
  </si>
  <si>
    <t>Monthly Rate</t>
  </si>
  <si>
    <t>Page</t>
  </si>
  <si>
    <t>Revenue</t>
  </si>
  <si>
    <t>Customers</t>
  </si>
  <si>
    <t>Customer</t>
  </si>
  <si>
    <t>Dump Fee Price effective 10.1.2023</t>
  </si>
  <si>
    <t>Proposed Tariff Rate</t>
  </si>
  <si>
    <t>Proposed Annual Revenue</t>
  </si>
  <si>
    <t>Change in Annual Revenue</t>
  </si>
  <si>
    <t>RESIDENTIAL SERVICES</t>
  </si>
  <si>
    <t>Combined Rev Requirement</t>
  </si>
  <si>
    <t>RESIDENTIAL GARBAGE</t>
  </si>
  <si>
    <t>20RW1</t>
  </si>
  <si>
    <t>1-20 GAL CART WEEKLY SVC</t>
  </si>
  <si>
    <t>Mill Haul</t>
  </si>
  <si>
    <t>32RE1</t>
  </si>
  <si>
    <t>1-32 GAL CAN-EOW SVC</t>
  </si>
  <si>
    <t>32RW1</t>
  </si>
  <si>
    <t>1-32 GAL CAN-WEEKLY SVC</t>
  </si>
  <si>
    <t>Jefferson Res</t>
  </si>
  <si>
    <t>32RW2</t>
  </si>
  <si>
    <t>2-32 GAL CANS-WEEKLY SVC</t>
  </si>
  <si>
    <t>Jefferson Recycling</t>
  </si>
  <si>
    <t>35RW1</t>
  </si>
  <si>
    <t>1-35 GAL CART WEEKLY SVC</t>
  </si>
  <si>
    <t>Jefferson Commercial</t>
  </si>
  <si>
    <t>96RW1</t>
  </si>
  <si>
    <t>1-96 GAL CART WEEKLY SVC</t>
  </si>
  <si>
    <t>Jefferson RO</t>
  </si>
  <si>
    <t>CARRYRE</t>
  </si>
  <si>
    <t>CARRYOUT PER CAN-EOW</t>
  </si>
  <si>
    <t>Jefferson Service Charges</t>
  </si>
  <si>
    <t>CARRYRW</t>
  </si>
  <si>
    <t>CARRYOUT PER CAN-WKLY</t>
  </si>
  <si>
    <t>EXTRAR</t>
  </si>
  <si>
    <t>EXTRA CAN/BAGS</t>
  </si>
  <si>
    <t>21A</t>
  </si>
  <si>
    <t>Clallam Res</t>
  </si>
  <si>
    <t>OFOWR</t>
  </si>
  <si>
    <t>OVERFILL/OVERWEIGHT CHG</t>
  </si>
  <si>
    <t xml:space="preserve">Clallam Recyling </t>
  </si>
  <si>
    <t>RDELCART</t>
  </si>
  <si>
    <t>RE-DELIVERY FEE-CART</t>
  </si>
  <si>
    <t>Clallam Commercial</t>
  </si>
  <si>
    <t>RESTART</t>
  </si>
  <si>
    <t>SERVICE RESTART FEE</t>
  </si>
  <si>
    <t>Clallam RO</t>
  </si>
  <si>
    <t>TRIPRCANS</t>
  </si>
  <si>
    <t>RETURN TRIP CHARGE - CANS</t>
  </si>
  <si>
    <t>Clallam Service Charges</t>
  </si>
  <si>
    <t>60RW1</t>
  </si>
  <si>
    <t>1-60 GAL CART WEEKLY SVC</t>
  </si>
  <si>
    <t>35RE1</t>
  </si>
  <si>
    <t>1-35 GAL CART EOW SVC</t>
  </si>
  <si>
    <t>City PA Commercial</t>
  </si>
  <si>
    <t>35RM1</t>
  </si>
  <si>
    <t>1-35 GAL MONTHLY</t>
  </si>
  <si>
    <t>City PA RO</t>
  </si>
  <si>
    <t>60RE1</t>
  </si>
  <si>
    <t>1-60GAL CART EOW SVC</t>
  </si>
  <si>
    <t>City PA Service Charges</t>
  </si>
  <si>
    <t>60RE2</t>
  </si>
  <si>
    <t>2-60 GAL CARTS EOW SVC</t>
  </si>
  <si>
    <t>60RM1</t>
  </si>
  <si>
    <t>1-60 GAL CART MONTHLY SVC</t>
  </si>
  <si>
    <t>JeffersonPT Increase1/1/2023</t>
  </si>
  <si>
    <t>60RW2</t>
  </si>
  <si>
    <t>2-60 GAL CARTS WEEKLY SVC</t>
  </si>
  <si>
    <t>JeffersonPT Increase 1/1/2025</t>
  </si>
  <si>
    <t>96RE1</t>
  </si>
  <si>
    <t>1-96 GAL EOW</t>
  </si>
  <si>
    <t>96RM1</t>
  </si>
  <si>
    <t>1-96 GAL MONTHLY</t>
  </si>
  <si>
    <t>Clallam DF Increase</t>
  </si>
  <si>
    <t>DRVNRE1</t>
  </si>
  <si>
    <t>DRIVE IN UP TO 250-EOW</t>
  </si>
  <si>
    <t>Clallam Com DF Increase</t>
  </si>
  <si>
    <t>DRVNRE2</t>
  </si>
  <si>
    <t>DRIVE IN OVER 250-EOW</t>
  </si>
  <si>
    <t>DRVNRW1</t>
  </si>
  <si>
    <t>DRIVE IN UP TO 250</t>
  </si>
  <si>
    <t>Mill Haul Cowlitz Increases</t>
  </si>
  <si>
    <t>RCARRYOUT 5-25</t>
  </si>
  <si>
    <t>RESI CARRYOUT FEE 5-25 FT</t>
  </si>
  <si>
    <t>Mill Haul Cowlitz Processing Fee</t>
  </si>
  <si>
    <t>RCARRYOUT OVER 25</t>
  </si>
  <si>
    <t>RESI CARRYOUT FEE 25+ FT</t>
  </si>
  <si>
    <t>Mill Haul Wasco Increase</t>
  </si>
  <si>
    <t>SP35-RES</t>
  </si>
  <si>
    <t>SPECIAL PICKUP 35GL RES</t>
  </si>
  <si>
    <t>SP60-RES</t>
  </si>
  <si>
    <t>SPECIAL PICKUP 60GL RES</t>
  </si>
  <si>
    <t>City PA Base Disposal</t>
  </si>
  <si>
    <t>SP96-RES</t>
  </si>
  <si>
    <t>SPECIAL PICKUP 96GL RES</t>
  </si>
  <si>
    <t>Clallam Base Disposal</t>
  </si>
  <si>
    <t>32RM1</t>
  </si>
  <si>
    <t>1-32 GAL CAN-MONTHLY SVC</t>
  </si>
  <si>
    <t>Jefferson Base Disposal</t>
  </si>
  <si>
    <t>RGATE</t>
  </si>
  <si>
    <t>RESI GATE CHARGE</t>
  </si>
  <si>
    <t>ROLLE-RESI</t>
  </si>
  <si>
    <t>ROLLOUT RESI EOW UP TO 25</t>
  </si>
  <si>
    <t>ROLLM-RESI</t>
  </si>
  <si>
    <t>ROLLOUT RESI MTHLY UP TO 25 FT</t>
  </si>
  <si>
    <t>Variance</t>
  </si>
  <si>
    <t>ROLLW-RESI</t>
  </si>
  <si>
    <t>Rollout 25ft/can per pick up</t>
  </si>
  <si>
    <t>OC-RES</t>
  </si>
  <si>
    <t>ON CALL SERVICE - RES</t>
  </si>
  <si>
    <t>TOTAL RESIDENTIAL GARBAGE</t>
  </si>
  <si>
    <t>RESIDENTIAL RECYCLING</t>
  </si>
  <si>
    <t>recyonlypre</t>
  </si>
  <si>
    <t>RECYCLE SERVICE ONLY</t>
  </si>
  <si>
    <t>Recy</t>
  </si>
  <si>
    <t>recyrpre</t>
  </si>
  <si>
    <t>RECYCLE PROGRAM WITH MSW</t>
  </si>
  <si>
    <t>TOTAL RESIDENTIAL RECYCLING</t>
  </si>
  <si>
    <t>COMMERCIAL SERVICES</t>
  </si>
  <si>
    <t>COMMERCIAL GARBAGE</t>
  </si>
  <si>
    <t>CTIME</t>
  </si>
  <si>
    <t>COMMERCIAL TIME CHARGE</t>
  </si>
  <si>
    <t>DEL1.5TEMP-COM</t>
  </si>
  <si>
    <t>DELIVERY FEE 1.5YD TEMP</t>
  </si>
  <si>
    <t>DEL2TEMP-COM</t>
  </si>
  <si>
    <t>DELIVERY FEE 2YD TEMP</t>
  </si>
  <si>
    <t>F2YD1W</t>
  </si>
  <si>
    <t>2YD CONT 1X WEEKLY</t>
  </si>
  <si>
    <t>2YD</t>
  </si>
  <si>
    <t>F2YDEOW</t>
  </si>
  <si>
    <t>2YD CONT EVERY OTHER WK</t>
  </si>
  <si>
    <t>F4YD1W</t>
  </si>
  <si>
    <t>4YD CONT 1X WEEKLY SVC</t>
  </si>
  <si>
    <t>4YD</t>
  </si>
  <si>
    <t>F6YD1W</t>
  </si>
  <si>
    <t>6YD CONT 1X WEEKLY SVC</t>
  </si>
  <si>
    <t>6YD</t>
  </si>
  <si>
    <t>F1.5YD1W</t>
  </si>
  <si>
    <t>1.5YD CONT 1X WEEKLY</t>
  </si>
  <si>
    <t>1.5YD</t>
  </si>
  <si>
    <t>F1.5YDEOW</t>
  </si>
  <si>
    <t>1.5YD CONT EVERY OTHER WK</t>
  </si>
  <si>
    <t>F1YD1M</t>
  </si>
  <si>
    <t>1YD CONT 1X MONTH SVC</t>
  </si>
  <si>
    <t>1YD</t>
  </si>
  <si>
    <t>F1YD1W</t>
  </si>
  <si>
    <t>1YD CONT 1X WEEKLY</t>
  </si>
  <si>
    <t>F1YDEOW</t>
  </si>
  <si>
    <t>1YD CONT EVERY OTHER WK</t>
  </si>
  <si>
    <t>F2YD2W</t>
  </si>
  <si>
    <t>2YD CONT 2X WEEKLY</t>
  </si>
  <si>
    <t>F3YD1W</t>
  </si>
  <si>
    <t>3YD CONT 1X WEEKLY SVC</t>
  </si>
  <si>
    <t>3YD</t>
  </si>
  <si>
    <t>F3YDEOW</t>
  </si>
  <si>
    <t>3YD CONT EOW SVC</t>
  </si>
  <si>
    <t>F4YDEOW</t>
  </si>
  <si>
    <t>4YD CONT EOW SVC</t>
  </si>
  <si>
    <t>SP1.5-COM</t>
  </si>
  <si>
    <t>SPECIAL PICKUP 1.5YD</t>
  </si>
  <si>
    <t>SP2-COM</t>
  </si>
  <si>
    <t>SPECIAL PICKUP 2YD</t>
  </si>
  <si>
    <t>DEL1TEMP-COM</t>
  </si>
  <si>
    <t>DELIVERY FEE 1YD TEMP</t>
  </si>
  <si>
    <t>SP1-COM</t>
  </si>
  <si>
    <t>SPECIAL PICKUP 1YD</t>
  </si>
  <si>
    <t>F2YDEXCO</t>
  </si>
  <si>
    <t>CUST OWN 2YD EXTRA PU</t>
  </si>
  <si>
    <t>F2YD1WCO</t>
  </si>
  <si>
    <t>CUST OWN 2YD 1X WK</t>
  </si>
  <si>
    <t>CEXYD</t>
  </si>
  <si>
    <t>CMML EXTRA YARDAGE</t>
  </si>
  <si>
    <t>CLOCKWKLY</t>
  </si>
  <si>
    <t>LOCK CHARGE-CONTAINER WKL</t>
  </si>
  <si>
    <t>R1.5YD1W</t>
  </si>
  <si>
    <t>1.5YD CONT 1xWEEKLY SVC</t>
  </si>
  <si>
    <t>R1.5YD2W</t>
  </si>
  <si>
    <t>1.5YD CONT 2xWEEKLY SVC</t>
  </si>
  <si>
    <t>R1.5YDEX</t>
  </si>
  <si>
    <t>1.5YD CONTAINER EXTRA PU</t>
  </si>
  <si>
    <t>R1.5YDRENTM</t>
  </si>
  <si>
    <t>1.5YD CONTAINER RENT-MTH</t>
  </si>
  <si>
    <t>R1.5YDRENTTD</t>
  </si>
  <si>
    <t>1.5 YD TEMP CONT RENT DAI</t>
  </si>
  <si>
    <t>R1.5YDTPU</t>
  </si>
  <si>
    <t>1.5YD TEMP CONTAINER PU</t>
  </si>
  <si>
    <t>R1YD1W</t>
  </si>
  <si>
    <t>1YD CONT 1xWEEKLY SVC</t>
  </si>
  <si>
    <t>R1YD2W</t>
  </si>
  <si>
    <t>1YD CONT 2xWEEKLY SVC</t>
  </si>
  <si>
    <t>R1YDEX</t>
  </si>
  <si>
    <t>1YD CONTAINER EXTRA PU</t>
  </si>
  <si>
    <t>R1YDRENTM</t>
  </si>
  <si>
    <t>1YD CONTAINER RENT-MTHLY</t>
  </si>
  <si>
    <t>R2YD1W</t>
  </si>
  <si>
    <t>2YD CONT 1xWEEKLY SVC</t>
  </si>
  <si>
    <t>R2YD2W</t>
  </si>
  <si>
    <t>2YD CONT 2xWEEKLY SVC</t>
  </si>
  <si>
    <t>R2YDEX</t>
  </si>
  <si>
    <t>2YD CONTAINER EXTRA PU</t>
  </si>
  <si>
    <t>R2YDRENTM</t>
  </si>
  <si>
    <t>2YD CONTAINER RENT-MTHLY</t>
  </si>
  <si>
    <t>R2YDTPU</t>
  </si>
  <si>
    <t>2YD TEMP CONTAINER PU</t>
  </si>
  <si>
    <t>RDELTO8</t>
  </si>
  <si>
    <t>REDELIVERY FEE UP TO 8YDS</t>
  </si>
  <si>
    <t>CLOCKEOW</t>
  </si>
  <si>
    <t>LOCK CHARGE - CONT EOW</t>
  </si>
  <si>
    <t>96CW1</t>
  </si>
  <si>
    <t>1-96 GL CART WEEKLY SVC</t>
  </si>
  <si>
    <t>CGATE</t>
  </si>
  <si>
    <t>GATE CHARGE</t>
  </si>
  <si>
    <t>35CW1</t>
  </si>
  <si>
    <t>1-35 GAL CAN WEEKLY SVC</t>
  </si>
  <si>
    <t>60CW1</t>
  </si>
  <si>
    <t>1-60 GAL CART CMML WKLY</t>
  </si>
  <si>
    <t>CGATEEOW</t>
  </si>
  <si>
    <t>GATE CHARGE EOW</t>
  </si>
  <si>
    <t>R1.5YDEOW</t>
  </si>
  <si>
    <t>1.5YD CONT EOW SVC</t>
  </si>
  <si>
    <t>R1YD1M</t>
  </si>
  <si>
    <t>1YD CONTAINER 1X A MONTH</t>
  </si>
  <si>
    <t>R1YDEOW</t>
  </si>
  <si>
    <t>1YD CONT EOW SVC</t>
  </si>
  <si>
    <t>R2YD1M</t>
  </si>
  <si>
    <t>2YD CONT 1X MONTH SVC</t>
  </si>
  <si>
    <t>R2YDEOW</t>
  </si>
  <si>
    <t>2YD CONT EOW SVC</t>
  </si>
  <si>
    <t>CTRIP</t>
  </si>
  <si>
    <t>RETURN TRIP CHARGE - CONT</t>
  </si>
  <si>
    <t>R2YDRENTTD</t>
  </si>
  <si>
    <t>2 YD TEMP CONT RENT DAILY</t>
  </si>
  <si>
    <t>R1.5YD1M</t>
  </si>
  <si>
    <t>1.5YD CONT 1X MONTH SVC</t>
  </si>
  <si>
    <t>R1YDRENTTD</t>
  </si>
  <si>
    <t>1YD TEMP CONT RENT DAILY</t>
  </si>
  <si>
    <t>ROLLOUTOC</t>
  </si>
  <si>
    <t>ROLL OUT</t>
  </si>
  <si>
    <t>R1YDRENTT</t>
  </si>
  <si>
    <t>1YD TEMP CONT RENT</t>
  </si>
  <si>
    <t>ADDTLPACK25</t>
  </si>
  <si>
    <t>OVER 25FT ROLLOUT FOR CONTAINERS</t>
  </si>
  <si>
    <t>CEX</t>
  </si>
  <si>
    <t>EXTRA CANS</t>
  </si>
  <si>
    <t>RDELOVER8</t>
  </si>
  <si>
    <t>REDELIVERY FEE OVER 8YDS</t>
  </si>
  <si>
    <t>R1YDTPU</t>
  </si>
  <si>
    <t>1YD TEMP CONT PU</t>
  </si>
  <si>
    <t>ADDTLPACKA25</t>
  </si>
  <si>
    <t>OVER 25FT ROLLOUT FOR AUTO CARTS</t>
  </si>
  <si>
    <t>Carts</t>
  </si>
  <si>
    <t>TOTAL COMMERCIAL GARBAGE</t>
  </si>
  <si>
    <t>Containers</t>
  </si>
  <si>
    <t>DROP BOX SERVICES</t>
  </si>
  <si>
    <t>DROP BOX HAULS/RENTAL</t>
  </si>
  <si>
    <t>CONNECTFEE</t>
  </si>
  <si>
    <t>CONNECT/DISCONNECT</t>
  </si>
  <si>
    <t>CPHAUL15</t>
  </si>
  <si>
    <t>15YD COMPACTOR-HAUL</t>
  </si>
  <si>
    <t>CPHAUL30</t>
  </si>
  <si>
    <t>30YD COMPACTOR-HAUL</t>
  </si>
  <si>
    <t>RODEL</t>
  </si>
  <si>
    <t>ROLL OFF-DELIVERY</t>
  </si>
  <si>
    <t>ROHAUL20</t>
  </si>
  <si>
    <t>20YD ROLL OFF-HAUL</t>
  </si>
  <si>
    <t>ROHAUL20T</t>
  </si>
  <si>
    <t>20YD ROLL OFF TEMP HAUL</t>
  </si>
  <si>
    <t>ROHAUL30</t>
  </si>
  <si>
    <t>30YD ROLL OFF-HAUL</t>
  </si>
  <si>
    <t>ROHAUL30T</t>
  </si>
  <si>
    <t>30YD ROLL OFF TEMP HAUL</t>
  </si>
  <si>
    <t>ROMILE</t>
  </si>
  <si>
    <t>ROLL OFF-MILEAGE</t>
  </si>
  <si>
    <t>RORELOCATE</t>
  </si>
  <si>
    <t>ROLL OFF RELOCATE</t>
  </si>
  <si>
    <t>RORENT20D</t>
  </si>
  <si>
    <t>20YD ROLL OFF-DAILY RENT</t>
  </si>
  <si>
    <t>20YD-RO</t>
  </si>
  <si>
    <t>RORENT20M</t>
  </si>
  <si>
    <t>20YD ROLL OFF-MNTHLY RENT</t>
  </si>
  <si>
    <t>RORENT30D</t>
  </si>
  <si>
    <t>30YD ROLL OFF-DAILY RENT</t>
  </si>
  <si>
    <t>30YD-RO</t>
  </si>
  <si>
    <t>RORENT30M</t>
  </si>
  <si>
    <t>30YD ROLL OFF-MNTHLY RENT</t>
  </si>
  <si>
    <t>ROWAIT</t>
  </si>
  <si>
    <t>TIME/STANDBY CHARGE</t>
  </si>
  <si>
    <t>ROHAUL30CO</t>
  </si>
  <si>
    <t>30YD CUST OWNED R/O HAUL</t>
  </si>
  <si>
    <t>ROHAUL40</t>
  </si>
  <si>
    <t>40YD ROLL OFF-HAUL</t>
  </si>
  <si>
    <t>RORENT40M</t>
  </si>
  <si>
    <t>40YD ROLL OFF-MNTHLY RENT</t>
  </si>
  <si>
    <t>40YD-RO</t>
  </si>
  <si>
    <t>PASSTHROUGH DISPOSAL</t>
  </si>
  <si>
    <t>DISP</t>
  </si>
  <si>
    <t>DISPOSAL FEE PER TON</t>
  </si>
  <si>
    <t>TOTAL PASSTHROUGH DISPOSAL</t>
  </si>
  <si>
    <t>Service Charges</t>
  </si>
  <si>
    <t>FINCHG</t>
  </si>
  <si>
    <t>LATE FEE</t>
  </si>
  <si>
    <t>TOTAL SERVICE CHARGES</t>
  </si>
  <si>
    <t>Total Customers</t>
  </si>
  <si>
    <t>ROWKND</t>
  </si>
  <si>
    <t>WEEKEND/HOLIDAY RO SVC</t>
  </si>
  <si>
    <t>ROLL OFF HAUL (MILL)</t>
  </si>
  <si>
    <t>ROMILL - W</t>
  </si>
  <si>
    <t/>
  </si>
  <si>
    <t>ROMILL-C</t>
  </si>
  <si>
    <t>TOTAL REVENUE</t>
  </si>
  <si>
    <t>Clallam Regulated Price Out</t>
  </si>
  <si>
    <t>August 1, 2022 - July 31, 2023</t>
  </si>
  <si>
    <t>.</t>
  </si>
  <si>
    <t>Revenue Requirement Calc</t>
  </si>
  <si>
    <t>Proposed Annual Rev</t>
  </si>
  <si>
    <t>Rev Requirement - LG</t>
  </si>
  <si>
    <t>22A</t>
  </si>
  <si>
    <t>16A</t>
  </si>
  <si>
    <t>DRVNRM1</t>
  </si>
  <si>
    <t>DRIVE IN UP TO 250-MTHLY</t>
  </si>
  <si>
    <t>DRVNRW2</t>
  </si>
  <si>
    <t>DRIVE IN OVER 250</t>
  </si>
  <si>
    <t>64RW1</t>
  </si>
  <si>
    <t>CLOCK</t>
  </si>
  <si>
    <t>CLOCK ON CALL</t>
  </si>
  <si>
    <t>35.5A</t>
  </si>
  <si>
    <t>35A</t>
  </si>
  <si>
    <t>F4TC-COM</t>
  </si>
  <si>
    <t>4 YD TEMP CONT PICKUP</t>
  </si>
  <si>
    <t>F1.5YD1M</t>
  </si>
  <si>
    <t>F3YD1M</t>
  </si>
  <si>
    <t>3YD CONT 1X MONTH SVC</t>
  </si>
  <si>
    <t>F4YD2W</t>
  </si>
  <si>
    <t>4YD CONT 2XWEEKLY SVC</t>
  </si>
  <si>
    <t>F6YD2W</t>
  </si>
  <si>
    <t>6YD CONT 2XWEEKLY SVC</t>
  </si>
  <si>
    <t>F3TC-COM</t>
  </si>
  <si>
    <t>3 YD TEMP CONT PICKUP</t>
  </si>
  <si>
    <t>F1.5YD2W</t>
  </si>
  <si>
    <t>1.5YD CONT 2X WEEKLY</t>
  </si>
  <si>
    <t>F2YD1M</t>
  </si>
  <si>
    <t>F4YD1M</t>
  </si>
  <si>
    <t>4YD CONT 1X MONTH SVC</t>
  </si>
  <si>
    <t>F6YDEOW</t>
  </si>
  <si>
    <t>6YD CONT EVERY OTHER WK</t>
  </si>
  <si>
    <t>F8YD1W</t>
  </si>
  <si>
    <t>8YD CONT 1X WEEKLY</t>
  </si>
  <si>
    <t>8YD</t>
  </si>
  <si>
    <t>DEL3TEMP-COM</t>
  </si>
  <si>
    <t>DELIVERY FEE 3YD TEMP</t>
  </si>
  <si>
    <t>DEL4TEMP-COM</t>
  </si>
  <si>
    <t>DELIVERY FEE 4YD TEMP</t>
  </si>
  <si>
    <t>F2YDTPU</t>
  </si>
  <si>
    <t>2YD TEMP CONT PU</t>
  </si>
  <si>
    <t>SP35-COM</t>
  </si>
  <si>
    <t>SPECIAL PICKUP 35GL COM</t>
  </si>
  <si>
    <t>F2YDEX</t>
  </si>
  <si>
    <t>2YD CONT EXTRA P/U</t>
  </si>
  <si>
    <t>36A</t>
  </si>
  <si>
    <t>F1YDTPU</t>
  </si>
  <si>
    <t>F1.5YDTPU</t>
  </si>
  <si>
    <t>1.5YD TEMP CONT PU</t>
  </si>
  <si>
    <t>F1.5YDEX</t>
  </si>
  <si>
    <t>1.5YD CONT EXTRA P/U</t>
  </si>
  <si>
    <t>F1YDEX</t>
  </si>
  <si>
    <t>1YD CONT EXTRA P/U</t>
  </si>
  <si>
    <t>SP6-COM</t>
  </si>
  <si>
    <t>SPECIAL PICKUP 6YD</t>
  </si>
  <si>
    <t>F3YD2W</t>
  </si>
  <si>
    <t>3YD CONT 2X WEEKLY SVC</t>
  </si>
  <si>
    <t>F4YDEX</t>
  </si>
  <si>
    <t>4YD CONTAINER EXTRA PU</t>
  </si>
  <si>
    <t>SP3-COM</t>
  </si>
  <si>
    <t>SPECIAL PICKUP 3YD</t>
  </si>
  <si>
    <t>F6YDEX</t>
  </si>
  <si>
    <t>6YD CONTAINER EXTRA PU</t>
  </si>
  <si>
    <t>F6YD1M</t>
  </si>
  <si>
    <t>6YD CONT 1X MONTH SVC</t>
  </si>
  <si>
    <t>F3YDEX</t>
  </si>
  <si>
    <t>3YD CONTAINER EXTRA PU</t>
  </si>
  <si>
    <t>R6YDEX</t>
  </si>
  <si>
    <t>6 YARD EXTRA</t>
  </si>
  <si>
    <t>SP4-COM</t>
  </si>
  <si>
    <t>SPECIAL PICKUP 4YD</t>
  </si>
  <si>
    <t>F8YDEOW</t>
  </si>
  <si>
    <t>8YD CONT EVERY OTHER WEEK</t>
  </si>
  <si>
    <t>32CW1</t>
  </si>
  <si>
    <t>1-32 GAL CAN WEEKLY SVC</t>
  </si>
  <si>
    <t>CCARRYOUT 5-25</t>
  </si>
  <si>
    <t>COMM CARRYOUT FEE 5-25 FT</t>
  </si>
  <si>
    <t>R3YDRENTM</t>
  </si>
  <si>
    <t>3YD CONTAINER RENT-MTHLY</t>
  </si>
  <si>
    <t>R4YD1W</t>
  </si>
  <si>
    <t>4YD CONT 1XWEEKLY SVC</t>
  </si>
  <si>
    <t>R4YDRENTM</t>
  </si>
  <si>
    <t>4YD CONTAINER RENT-MTHLY</t>
  </si>
  <si>
    <t>R6YD1W</t>
  </si>
  <si>
    <t>6YD CONT 1XWEEKLY SVC</t>
  </si>
  <si>
    <t>60CW2</t>
  </si>
  <si>
    <t>2-60 GAL CAN WEEKLY SVC</t>
  </si>
  <si>
    <t>CCARRYOUT OVER 25</t>
  </si>
  <si>
    <t>COMM CARRYOUT FEE 25+ FT</t>
  </si>
  <si>
    <t>R4YDEOW</t>
  </si>
  <si>
    <t>4 YD CONT EOW SVC</t>
  </si>
  <si>
    <t>R3YDRENTTD</t>
  </si>
  <si>
    <t>3 YD TEMP CONT RENT DAILY</t>
  </si>
  <si>
    <t>R4YDRENTTD</t>
  </si>
  <si>
    <t>4 YD TEMP CONT RENT DAILY</t>
  </si>
  <si>
    <t>ROLLW-COMM</t>
  </si>
  <si>
    <t>ROLLOUT COMM WKLY UP TO 2</t>
  </si>
  <si>
    <t>R6YDRENTM</t>
  </si>
  <si>
    <t>CONTAINER 6YD RENT MNTHLY</t>
  </si>
  <si>
    <t>R4YDEX</t>
  </si>
  <si>
    <t>CPHAUL20</t>
  </si>
  <si>
    <t>20YD COMPACTOR-HAUL</t>
  </si>
  <si>
    <t>20YD-Comp</t>
  </si>
  <si>
    <t>30YD-Comp</t>
  </si>
  <si>
    <t>ROHAUL40CO</t>
  </si>
  <si>
    <t>40 YD CUST OWNED HAUL</t>
  </si>
  <si>
    <t>Price Out</t>
  </si>
  <si>
    <t>Change in Revenue</t>
  </si>
  <si>
    <t>LG</t>
  </si>
  <si>
    <t>Clallam Total</t>
  </si>
  <si>
    <t>CityPA-M Total</t>
  </si>
  <si>
    <t>January 1 DF PT</t>
  </si>
  <si>
    <t>Total Rev Req</t>
  </si>
  <si>
    <t>Murrey's Disposal Co.</t>
  </si>
  <si>
    <t>CITYPA-M</t>
  </si>
  <si>
    <t>2023 vs 2019 Change</t>
  </si>
  <si>
    <t>8/1/22 - 6/30/23</t>
  </si>
  <si>
    <t>7/1/23 - 7/31/23</t>
  </si>
  <si>
    <t>FCP4YD1W</t>
  </si>
  <si>
    <t>4 YD COMPACTOR 1X WK</t>
  </si>
  <si>
    <t>35A?</t>
  </si>
  <si>
    <t>CPHAUL25</t>
  </si>
  <si>
    <t>25YD COMPACTOR-HAUL</t>
  </si>
  <si>
    <t xml:space="preserve">Garbage </t>
  </si>
  <si>
    <t>Mill Hauls Only</t>
  </si>
  <si>
    <t>Revenue Requirement</t>
  </si>
  <si>
    <t>Current Tariff Rate</t>
  </si>
  <si>
    <t>August 1, 2022 Rate</t>
  </si>
  <si>
    <t>July 1, 2023 Rate</t>
  </si>
  <si>
    <t>Port Townsend Wasco</t>
  </si>
  <si>
    <t>Port Townsend Cowlitz</t>
  </si>
  <si>
    <t>CITYPA-MROMILL - W</t>
  </si>
  <si>
    <t>McKinley Wasco</t>
  </si>
  <si>
    <t>CITYPA-MROMILL-C</t>
  </si>
  <si>
    <t>McKinley Cowlitz</t>
  </si>
  <si>
    <t>Murrey's Disposal Co. Inc. G-09</t>
  </si>
  <si>
    <t>Rate Increase</t>
  </si>
  <si>
    <t>Proposed Clallam Rates Effective</t>
  </si>
  <si>
    <t>Proposed Increase</t>
  </si>
  <si>
    <t>Item 50, Pg. 14</t>
  </si>
  <si>
    <t>Returned Check Charge</t>
  </si>
  <si>
    <t>Item 51, Pg. 15</t>
  </si>
  <si>
    <t>Restart Fees</t>
  </si>
  <si>
    <t>Item 52, Pg. 15</t>
  </si>
  <si>
    <t>Redelivery Fees, containers</t>
  </si>
  <si>
    <t>Redelivery Fees, carts</t>
  </si>
  <si>
    <t>Redelivery Fees, washing, up to 8yrds</t>
  </si>
  <si>
    <t>Redelivery Fees, washing, over 8yrds</t>
  </si>
  <si>
    <t>Item 55, Pg. 16A</t>
  </si>
  <si>
    <t>Oversized Container</t>
  </si>
  <si>
    <t>Item 60, Pg. 16A</t>
  </si>
  <si>
    <t>Overtime charge per hr:</t>
  </si>
  <si>
    <t>Minimum</t>
  </si>
  <si>
    <t>Item 70, Pg. 17</t>
  </si>
  <si>
    <t>Return Trip:</t>
  </si>
  <si>
    <t>Cans</t>
  </si>
  <si>
    <t>Drum</t>
  </si>
  <si>
    <t>Bale</t>
  </si>
  <si>
    <t>Litter receptacle</t>
  </si>
  <si>
    <t>Toter - 35 Gal</t>
  </si>
  <si>
    <t>Toter - 60 Gal</t>
  </si>
  <si>
    <t>Toter - 90 Gal</t>
  </si>
  <si>
    <t>Recycling container</t>
  </si>
  <si>
    <t>Item 80, pg 19</t>
  </si>
  <si>
    <t>Carry-Out:</t>
  </si>
  <si>
    <t>1-20 GAL CAN WEEKLY SVC</t>
  </si>
  <si>
    <t>Residential:</t>
  </si>
  <si>
    <t>5-25 feet</t>
  </si>
  <si>
    <t>25- plus add</t>
  </si>
  <si>
    <t>3-32 GAL CANS-WEEKLY SVC</t>
  </si>
  <si>
    <t>4 Can</t>
  </si>
  <si>
    <t>Commercial:</t>
  </si>
  <si>
    <t>5 Can</t>
  </si>
  <si>
    <t xml:space="preserve">Cart/Toter 96 NEW </t>
  </si>
  <si>
    <t>Drive-in:</t>
  </si>
  <si>
    <t>125-250 feet</t>
  </si>
  <si>
    <t>Cart 96 gal EOW NEW</t>
  </si>
  <si>
    <t>Locking/Unlocking Gates</t>
  </si>
  <si>
    <t>1-35 GAL CART MONTHLY SVC</t>
  </si>
  <si>
    <t>Item 90, pg 20</t>
  </si>
  <si>
    <t>Stairs - each step</t>
  </si>
  <si>
    <t>Cart 96 gal MG NEW</t>
  </si>
  <si>
    <t>Overhead Obstruction</t>
  </si>
  <si>
    <t>Sunken</t>
  </si>
  <si>
    <t>Item 100, Pg. 22</t>
  </si>
  <si>
    <t>Loose Yard</t>
  </si>
  <si>
    <t>35 Gal Weekly</t>
  </si>
  <si>
    <t>60 Gal Weekly</t>
  </si>
  <si>
    <t>96 Gal Weekly</t>
  </si>
  <si>
    <t>35 Gal EOW</t>
  </si>
  <si>
    <t>60 Gal EOW</t>
  </si>
  <si>
    <t>96 Gal EOW</t>
  </si>
  <si>
    <t>35 Gal Monthly</t>
  </si>
  <si>
    <t>60 Gal Monthly</t>
  </si>
  <si>
    <t>96 Gal Monthly</t>
  </si>
  <si>
    <t>Recycling:</t>
  </si>
  <si>
    <t>EOWR</t>
  </si>
  <si>
    <t>Item 100, Pg. 22A</t>
  </si>
  <si>
    <t>Roll Out Service</t>
  </si>
  <si>
    <t>Additional 5 feet</t>
  </si>
  <si>
    <t>32 Gal Extra</t>
  </si>
  <si>
    <t>Mini-Can Extra</t>
  </si>
  <si>
    <t>35 Gal Extra</t>
  </si>
  <si>
    <t>60 Gal Extra</t>
  </si>
  <si>
    <t>96 Gal Extra</t>
  </si>
  <si>
    <t>Bag</t>
  </si>
  <si>
    <t>On-Call</t>
  </si>
  <si>
    <t>Item 150, Pg. 28A</t>
  </si>
  <si>
    <t>Bulky Materials</t>
  </si>
  <si>
    <t>Loose Material 1-4yd</t>
  </si>
  <si>
    <t>Loose Material per Yard</t>
  </si>
  <si>
    <t>Loose Material Min Charge</t>
  </si>
  <si>
    <t>Loose Material Carry Charge</t>
  </si>
  <si>
    <t>Item 160, Pg. 29</t>
  </si>
  <si>
    <t>Single Rear Drive Axle:</t>
  </si>
  <si>
    <t>Truck and Driver:</t>
  </si>
  <si>
    <t>Non-packer</t>
  </si>
  <si>
    <t>Packer</t>
  </si>
  <si>
    <t>RO</t>
  </si>
  <si>
    <t>Each Extra Person:</t>
  </si>
  <si>
    <t>Minimum Charge:</t>
  </si>
  <si>
    <t>Tandem Rear Drive Axle:</t>
  </si>
  <si>
    <t>Item 205, Pg. 31</t>
  </si>
  <si>
    <t>Roll-Out:</t>
  </si>
  <si>
    <t>Over 25 feet</t>
  </si>
  <si>
    <t xml:space="preserve">Cart, Total </t>
  </si>
  <si>
    <t>Item 207, Pg. 32A</t>
  </si>
  <si>
    <t>Excess Weight</t>
  </si>
  <si>
    <t>Overfilled Container</t>
  </si>
  <si>
    <t>Item 210, Pg. 33</t>
  </si>
  <si>
    <t>Washing:</t>
  </si>
  <si>
    <t>Per yard</t>
  </si>
  <si>
    <t>Minimum, 6 yard</t>
  </si>
  <si>
    <t>Steam Cleaning/Sanitizing:</t>
  </si>
  <si>
    <t>Redelivery:</t>
  </si>
  <si>
    <t>Up to 8 yard</t>
  </si>
  <si>
    <t>Over 8 yard</t>
  </si>
  <si>
    <t>Item 230, Pg. 34</t>
  </si>
  <si>
    <t>City of Port Angeles</t>
  </si>
  <si>
    <t>Refrigerators</t>
  </si>
  <si>
    <t>Environmental Fee</t>
  </si>
  <si>
    <t>Item 240, Pg. 35A</t>
  </si>
  <si>
    <t>Permanent Container Rent:</t>
  </si>
  <si>
    <t xml:space="preserve"> 1 yard</t>
  </si>
  <si>
    <t xml:space="preserve"> 1.5 yard</t>
  </si>
  <si>
    <t xml:space="preserve"> 2 yard </t>
  </si>
  <si>
    <t xml:space="preserve"> 3 yard </t>
  </si>
  <si>
    <t xml:space="preserve"> 4 yard </t>
  </si>
  <si>
    <t xml:space="preserve"> 6 yard </t>
  </si>
  <si>
    <t xml:space="preserve"> 8 yard </t>
  </si>
  <si>
    <t>Pickups:</t>
  </si>
  <si>
    <t>1 Yard</t>
  </si>
  <si>
    <t>1.5 Yard</t>
  </si>
  <si>
    <t>2 Yard</t>
  </si>
  <si>
    <t>3 Yard</t>
  </si>
  <si>
    <t>4 Yard</t>
  </si>
  <si>
    <t>35 gal Temp</t>
  </si>
  <si>
    <t>6 Yard</t>
  </si>
  <si>
    <t>8 Yard</t>
  </si>
  <si>
    <t>Special Pickups:</t>
  </si>
  <si>
    <t>60 gal Temp</t>
  </si>
  <si>
    <t>1 Yard - Special</t>
  </si>
  <si>
    <t>1.5 Yard - Special</t>
  </si>
  <si>
    <t>96 gal NEW</t>
  </si>
  <si>
    <t>2 Yard - Special</t>
  </si>
  <si>
    <t>96 gal Temp NEW</t>
  </si>
  <si>
    <t>3 Yard - Special</t>
  </si>
  <si>
    <t>4 Yard - Special</t>
  </si>
  <si>
    <t>6 Yard - Special</t>
  </si>
  <si>
    <t>8 Yard - Special</t>
  </si>
  <si>
    <t>Extra Unit</t>
  </si>
  <si>
    <t>Temporary:</t>
  </si>
  <si>
    <t>Container Delivery:</t>
  </si>
  <si>
    <t>1 Yard - Temp</t>
  </si>
  <si>
    <t>1.5 Yard - Temp</t>
  </si>
  <si>
    <t>2 Yard - Temp</t>
  </si>
  <si>
    <t>3 Yard - Temp</t>
  </si>
  <si>
    <t>4 Yard - Temp</t>
  </si>
  <si>
    <t>2 yard</t>
  </si>
  <si>
    <t>Rent per Day:</t>
  </si>
  <si>
    <t>Rent per Month:</t>
  </si>
  <si>
    <t>Overfilled:</t>
  </si>
  <si>
    <t>Unlocking/Unlatching:</t>
  </si>
  <si>
    <t>Item 240, Pg 35.5A</t>
  </si>
  <si>
    <t>35 Gal</t>
  </si>
  <si>
    <t>35 Gal - Temp</t>
  </si>
  <si>
    <t>60 Gal</t>
  </si>
  <si>
    <t>60 Gal - Temp</t>
  </si>
  <si>
    <t>96 Gal</t>
  </si>
  <si>
    <t>96 Gal - Temp</t>
  </si>
  <si>
    <t>Extra yard</t>
  </si>
  <si>
    <t>Each Additional Unit</t>
  </si>
  <si>
    <t>35 Gal - Minimum</t>
  </si>
  <si>
    <t>60 Gal - Minimum</t>
  </si>
  <si>
    <t>96 Gal - Minimum</t>
  </si>
  <si>
    <t>Item 245, Pg. 36A</t>
  </si>
  <si>
    <t>6  Yard</t>
  </si>
  <si>
    <t>6  Yard - Special</t>
  </si>
  <si>
    <t>Over-filled Container</t>
  </si>
  <si>
    <t>32 Gal - Minimum</t>
  </si>
  <si>
    <t>Item 255, Pg. 38 (4:1 Compaction Ratio)</t>
  </si>
  <si>
    <t>Disconnect/Reconnect:</t>
  </si>
  <si>
    <t>Unlocking Gates and Containers</t>
  </si>
  <si>
    <t>Item 260, Pg. 39</t>
  </si>
  <si>
    <t>Permanent Rent:</t>
  </si>
  <si>
    <t>10 yard</t>
  </si>
  <si>
    <t>20 yard</t>
  </si>
  <si>
    <t>25 yard</t>
  </si>
  <si>
    <t>30 yard</t>
  </si>
  <si>
    <t>40 yard</t>
  </si>
  <si>
    <t>Hauls:</t>
  </si>
  <si>
    <t>First, Additional</t>
  </si>
  <si>
    <t>Temporary Delivery Fee:</t>
  </si>
  <si>
    <t>Temporary Pickups:</t>
  </si>
  <si>
    <t>Rent per Day</t>
  </si>
  <si>
    <t>Rent Per Month</t>
  </si>
  <si>
    <t>Excess Mileage</t>
  </si>
  <si>
    <t>Intermodal box charge:</t>
  </si>
  <si>
    <t>PTP</t>
  </si>
  <si>
    <t>Cowlitz</t>
  </si>
  <si>
    <t>Wasco</t>
  </si>
  <si>
    <t>Mckinley</t>
  </si>
  <si>
    <t>Tarping</t>
  </si>
  <si>
    <t>Locking/Unlocking Gate</t>
  </si>
  <si>
    <t>Item 265, Pg. 40</t>
  </si>
  <si>
    <t>Permanent</t>
  </si>
  <si>
    <t>Temporary</t>
  </si>
  <si>
    <t>Pickups</t>
  </si>
  <si>
    <t>Item 275, Pg. 42</t>
  </si>
  <si>
    <t>Pickups/Special:</t>
  </si>
  <si>
    <t>15 yard</t>
  </si>
  <si>
    <t>Disconnect/Reconnect</t>
  </si>
  <si>
    <t>Proposed Jefferson Rates Effective</t>
  </si>
  <si>
    <t>Item 55, Pg. 16</t>
  </si>
  <si>
    <t>Item 60, Pg. 16</t>
  </si>
  <si>
    <t>Charge Per Hour</t>
  </si>
  <si>
    <t>Minimum Charge</t>
  </si>
  <si>
    <t>Item 100, Pg. 21</t>
  </si>
  <si>
    <t>Item 100, Pg. 21A</t>
  </si>
  <si>
    <t>95 Gal Extra</t>
  </si>
  <si>
    <t>Item 150, Pg. 28</t>
  </si>
  <si>
    <t>Bulky Items</t>
  </si>
  <si>
    <t>Item 207, Pg. 32</t>
  </si>
  <si>
    <t>Jefferson County (January 1, 2025)</t>
  </si>
  <si>
    <t>Refrigerators (January 1, 2025)</t>
  </si>
  <si>
    <t>Item 240, Pg. 35</t>
  </si>
  <si>
    <t>1 Yard - Rent</t>
  </si>
  <si>
    <t>1.5 Yard - Rent</t>
  </si>
  <si>
    <t>2 Yard - Rent</t>
  </si>
  <si>
    <t>3 Yard - Rent</t>
  </si>
  <si>
    <t>4 Yard - Rent</t>
  </si>
  <si>
    <t>6 Yard - Rent</t>
  </si>
  <si>
    <t xml:space="preserve">3 Yard - Special </t>
  </si>
  <si>
    <t>4 Yard -Special</t>
  </si>
  <si>
    <t>1 Yard - Temp - Delivery</t>
  </si>
  <si>
    <t>1.5 Yard - Temp - Delivery</t>
  </si>
  <si>
    <t>2 Yard - Temp - Delivery</t>
  </si>
  <si>
    <t>3 Yard - Temp - Delivery</t>
  </si>
  <si>
    <t>4 Yard - Temp - Delivery</t>
  </si>
  <si>
    <t>1 Yard - Temp - Rent Per Calendar Day</t>
  </si>
  <si>
    <t>1.5 Yard - Temp - Rent Per Calendar Day</t>
  </si>
  <si>
    <t>2 Yard - Temp - Rent Per Calendar Day</t>
  </si>
  <si>
    <t>3 Yard - Temp - Rent Per Calendar Day</t>
  </si>
  <si>
    <t>4 Yard - Temp - Rent Per Calendar Day</t>
  </si>
  <si>
    <t>1 Yard - Temp - Rent Per Month</t>
  </si>
  <si>
    <t>1.5 Yard - Temp - Rent Per Month</t>
  </si>
  <si>
    <t>2 Yard - Temp - Rent Per Month</t>
  </si>
  <si>
    <t>3 Yard - Temp - Rent Per Month</t>
  </si>
  <si>
    <t>4 Yard - Temp - Rent Per Month</t>
  </si>
  <si>
    <t>Unlocking/Latching:</t>
  </si>
  <si>
    <t>Item 240, Pg 35.5</t>
  </si>
  <si>
    <t>Extra Yard</t>
  </si>
  <si>
    <t>Additional Unit</t>
  </si>
  <si>
    <t>Item 245, Pg. 36</t>
  </si>
  <si>
    <t>Item 245, Pg. 36, Special/Temp</t>
  </si>
  <si>
    <t>Public Companies</t>
  </si>
  <si>
    <t>Public Co</t>
  </si>
  <si>
    <r>
      <t xml:space="preserve">LURITO - GALLAGHER FORMULA  MODEL 2018  </t>
    </r>
    <r>
      <rPr>
        <sz val="8"/>
        <color indexed="9"/>
        <rFont val="Calibri"/>
        <family val="2"/>
      </rPr>
      <t>V5.2c</t>
    </r>
  </si>
  <si>
    <t>CALCULATION TABLES</t>
  </si>
  <si>
    <t>Revenue Senstive Taxes (RevS)</t>
  </si>
  <si>
    <t>(b) + (c)</t>
  </si>
  <si>
    <t>(d) + (e)</t>
  </si>
  <si>
    <t>Regession</t>
  </si>
  <si>
    <t>Adjusted</t>
  </si>
  <si>
    <t>Hauler</t>
  </si>
  <si>
    <t>Revenue Req</t>
  </si>
  <si>
    <t xml:space="preserve">Revenue </t>
  </si>
  <si>
    <t>INPUTS - Test Year</t>
  </si>
  <si>
    <t>(a)</t>
  </si>
  <si>
    <t>(b)</t>
  </si>
  <si>
    <t>(c)</t>
  </si>
  <si>
    <t>(d)</t>
  </si>
  <si>
    <t>(e)</t>
  </si>
  <si>
    <t>(f)</t>
  </si>
  <si>
    <t>Before Tax</t>
  </si>
  <si>
    <t>Less</t>
  </si>
  <si>
    <t>After Tax</t>
  </si>
  <si>
    <t>Flotation Costs</t>
  </si>
  <si>
    <t>Weighted Cost</t>
  </si>
  <si>
    <t>Before RevS</t>
  </si>
  <si>
    <t xml:space="preserve"> Increase Before</t>
  </si>
  <si>
    <t>Increase After</t>
  </si>
  <si>
    <t xml:space="preserve">RevS </t>
  </si>
  <si>
    <t xml:space="preserve">Total </t>
  </si>
  <si>
    <t>Operating Revenue</t>
  </si>
  <si>
    <t>Line</t>
  </si>
  <si>
    <t>Historical</t>
  </si>
  <si>
    <t>Proforma</t>
  </si>
  <si>
    <t xml:space="preserve">Add: Revenue </t>
  </si>
  <si>
    <t>Profit Ratio</t>
  </si>
  <si>
    <t>BTROI</t>
  </si>
  <si>
    <t>WCDebt</t>
  </si>
  <si>
    <t>BTROE</t>
  </si>
  <si>
    <t>ROE</t>
  </si>
  <si>
    <t>Basis Points</t>
  </si>
  <si>
    <t>Equity</t>
  </si>
  <si>
    <t>Equity BFT</t>
  </si>
  <si>
    <t>Debt</t>
  </si>
  <si>
    <t>BTROR</t>
  </si>
  <si>
    <t>Operating Ratio</t>
  </si>
  <si>
    <t>Taxes</t>
  </si>
  <si>
    <t>RevS Taxes</t>
  </si>
  <si>
    <t>Operating Expenses</t>
  </si>
  <si>
    <t>No.</t>
  </si>
  <si>
    <t>Change</t>
  </si>
  <si>
    <t>Sensitive Taxes</t>
  </si>
  <si>
    <t>Requirement</t>
  </si>
  <si>
    <t>Investment</t>
  </si>
  <si>
    <t>Capital Structure-Debt %</t>
  </si>
  <si>
    <t>Capital Structure-Debt Rate</t>
  </si>
  <si>
    <t>Operating Income</t>
  </si>
  <si>
    <t>Federal Income Tax Rate</t>
  </si>
  <si>
    <t>2nd Iteration</t>
  </si>
  <si>
    <t>B&amp;O Tax Rate</t>
  </si>
  <si>
    <t>Interest Expense</t>
  </si>
  <si>
    <t>WUTC Fee</t>
  </si>
  <si>
    <t>Income Tax Expense</t>
  </si>
  <si>
    <t>City Tax</t>
  </si>
  <si>
    <t>Bad Debts</t>
  </si>
  <si>
    <t>Net Income</t>
  </si>
  <si>
    <t>Basis Points - Flotation</t>
  </si>
  <si>
    <t>3rd Iteration</t>
  </si>
  <si>
    <t>Yes</t>
  </si>
  <si>
    <t xml:space="preserve">Operating Ratio </t>
  </si>
  <si>
    <t>Check when input is complete</t>
  </si>
  <si>
    <t>No</t>
  </si>
  <si>
    <t>For Intial input: Uncheck Checkbox Until Completed</t>
  </si>
  <si>
    <t>Historical Revenue</t>
  </si>
  <si>
    <t>Revenue Increase before taxes</t>
  </si>
  <si>
    <t>Rev Sensitive Taxes</t>
  </si>
  <si>
    <t>4th Iteration</t>
  </si>
  <si>
    <t>Percent Increase</t>
  </si>
  <si>
    <t>2018 Version Update Changes</t>
  </si>
  <si>
    <t>● Allows Income Tax Rate Changes,</t>
  </si>
  <si>
    <t>Captial Structure Financing Investment</t>
  </si>
  <si>
    <t>Financing Cost</t>
  </si>
  <si>
    <t>● Minimizes impact of changes in test-year revenue from</t>
  </si>
  <si>
    <t>Type</t>
  </si>
  <si>
    <t>Percent</t>
  </si>
  <si>
    <t>Amount</t>
  </si>
  <si>
    <t>Cost of Capital</t>
  </si>
  <si>
    <t>Weighted</t>
  </si>
  <si>
    <t>5th Iteration</t>
  </si>
  <si>
    <t xml:space="preserve">   resulting revenue requirment,</t>
  </si>
  <si>
    <t>● Corrects interest rate transposition in LG.</t>
  </si>
  <si>
    <t>Before</t>
  </si>
  <si>
    <t>After</t>
  </si>
  <si>
    <t>6th Iteration</t>
  </si>
  <si>
    <t>Operating Statistics</t>
  </si>
  <si>
    <t>Income Tax</t>
  </si>
  <si>
    <t>Return on Investment</t>
  </si>
  <si>
    <t>Return on Equity</t>
  </si>
  <si>
    <t>7th Iteration</t>
  </si>
  <si>
    <t>Profit Margin</t>
  </si>
  <si>
    <t>Final turnover</t>
  </si>
  <si>
    <t>Tax Rate</t>
  </si>
  <si>
    <t>Revenue Sensitive Taxes Charges</t>
  </si>
  <si>
    <t>Curve</t>
  </si>
  <si>
    <t>Rate</t>
  </si>
  <si>
    <t>Lookup Table</t>
  </si>
  <si>
    <t xml:space="preserve"> B &amp; O Tax</t>
  </si>
  <si>
    <t xml:space="preserve"> WUTC Fee</t>
  </si>
  <si>
    <t xml:space="preserve"> City Tax</t>
  </si>
  <si>
    <t>Percent Chg</t>
  </si>
  <si>
    <t xml:space="preserve"> Bad Debts</t>
  </si>
  <si>
    <t>Revenue Sensitive</t>
  </si>
  <si>
    <t>Curve turnover</t>
  </si>
  <si>
    <t>@EXP(5.72260-(.68367*@LN(T)))</t>
  </si>
  <si>
    <t>Curve No. Used</t>
  </si>
  <si>
    <t>@EXP(5.70827-(.68367*@LN(T)))</t>
  </si>
  <si>
    <t>Conversion Factor</t>
  </si>
  <si>
    <t>@EXP(5.69850-(.68367*@LN(T)))</t>
  </si>
  <si>
    <t>@EXP(5.69220-(.68367*@LN(T)))</t>
  </si>
  <si>
    <t>Base Utility from LG Sample Study</t>
  </si>
  <si>
    <t>Regression Results</t>
  </si>
  <si>
    <t>Cost</t>
  </si>
  <si>
    <t>Y intercept (1)</t>
  </si>
  <si>
    <t>Y intercept (3)</t>
  </si>
  <si>
    <t>Y intercept (2)</t>
  </si>
  <si>
    <t>Y intercept (4)</t>
  </si>
  <si>
    <t>Pfd.</t>
  </si>
  <si>
    <t>Slope</t>
  </si>
  <si>
    <t>Pre-tax</t>
  </si>
  <si>
    <t>B&amp;O Increase Percentage</t>
  </si>
  <si>
    <t>Gross Up Factor</t>
  </si>
  <si>
    <t>Gross Up B&amp;O Increase Percentage</t>
  </si>
  <si>
    <t>Grossed Up for Mill Hauls Operating Margin</t>
  </si>
  <si>
    <t>Grossed Up for Clallam Operating Margin</t>
  </si>
  <si>
    <t>New 10/1/2025 Rate</t>
  </si>
  <si>
    <t>Grossed Up for Jefferson Operating Margin</t>
  </si>
  <si>
    <t>Each Extra Person</t>
  </si>
  <si>
    <t>B&amp;O With Gross Up</t>
  </si>
  <si>
    <t>Revenue Increase</t>
  </si>
  <si>
    <t>Mills</t>
  </si>
  <si>
    <t>B&amp;O Gross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</si>
</sst>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"/>
    <numFmt numFmtId="169" formatCode="0.000000"/>
    <numFmt numFmtId="170" formatCode="&quot;$&quot;#,##0.0000"/>
    <numFmt numFmtId="171" formatCode="0.00000"/>
    <numFmt numFmtId="172" formatCode="General_)"/>
    <numFmt numFmtId="173" formatCode="#,##0.0000_);\(#,##0.0000\)"/>
    <numFmt numFmtId="174" formatCode="0.000%"/>
    <numFmt numFmtId="175" formatCode="#,##0.000_);\(#,##0.000\)"/>
    <numFmt numFmtId="176" formatCode="#,##0.00000_);\(#,##0.00000\)"/>
    <numFmt numFmtId="177" formatCode="0.0000%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0"/>
      <color rgb="FFFF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MS Sans Serif"/>
      <family val="2"/>
    </font>
    <font>
      <b/>
      <sz val="9"/>
      <color theme="1"/>
      <name val="Calibri"/>
      <family val="2"/>
      <scheme val="minor"/>
    </font>
    <font>
      <b/>
      <sz val="10"/>
      <color indexed="50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SWISS"/>
    </font>
    <font>
      <sz val="12"/>
      <color indexed="12"/>
      <name val="SWISS"/>
    </font>
    <font>
      <sz val="12"/>
      <name val="Helv"/>
    </font>
    <font>
      <b/>
      <sz val="12"/>
      <name val="SWISS"/>
    </font>
    <font>
      <sz val="8"/>
      <color indexed="9"/>
      <name val="Calibri"/>
      <family val="2"/>
    </font>
    <font>
      <sz val="14"/>
      <color indexed="9"/>
      <name val="Calibri"/>
      <family val="2"/>
    </font>
    <font>
      <sz val="9"/>
      <color indexed="9"/>
      <name val="Calibri"/>
      <family val="2"/>
    </font>
    <font>
      <b/>
      <sz val="14"/>
      <name val="SWISS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i/>
      <sz val="8"/>
      <color indexed="12"/>
      <name val="Times New Roman"/>
      <family val="1"/>
    </font>
    <font>
      <sz val="12"/>
      <color indexed="39"/>
      <name val="SWISS"/>
    </font>
    <font>
      <sz val="12"/>
      <color indexed="39"/>
      <name val="Times New Roman"/>
      <family val="1"/>
    </font>
    <font>
      <sz val="10"/>
      <name val="Times New Roman"/>
      <family val="1"/>
    </font>
    <font>
      <b/>
      <sz val="12"/>
      <color indexed="39"/>
      <name val="Times New Roman"/>
      <family val="1"/>
    </font>
    <font>
      <sz val="12"/>
      <color indexed="10"/>
      <name val="SWISS"/>
    </font>
    <font>
      <sz val="12"/>
      <color indexed="8"/>
      <name val="SWISS"/>
    </font>
    <font>
      <sz val="9"/>
      <color indexed="39"/>
      <name val="Times New Roman"/>
      <family val="1"/>
    </font>
    <font>
      <b/>
      <sz val="12"/>
      <name val="Times New Roman"/>
      <family val="1"/>
    </font>
    <font>
      <u/>
      <sz val="12"/>
      <color indexed="12"/>
      <name val="Times New Roman"/>
      <family val="1"/>
    </font>
    <font>
      <b/>
      <u/>
      <sz val="12"/>
      <color indexed="39"/>
      <name val="Times New Roman"/>
      <family val="1"/>
    </font>
    <font>
      <sz val="12"/>
      <color indexed="18"/>
      <name val="Times New Roman"/>
      <family val="1"/>
    </font>
    <font>
      <u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32"/>
      <name val="SWISS"/>
    </font>
    <font>
      <sz val="12"/>
      <color indexed="18"/>
      <name val="SWISS"/>
    </font>
    <font>
      <sz val="10"/>
      <name val="SWISS"/>
    </font>
    <font>
      <sz val="12"/>
      <color indexed="56"/>
      <name val="SWISS"/>
    </font>
    <font>
      <i/>
      <sz val="12"/>
      <name val="SWISS"/>
    </font>
    <font>
      <sz val="11"/>
      <name val="Times New Roman"/>
      <family val="1"/>
    </font>
    <font>
      <u/>
      <sz val="12"/>
      <name val="SWISS"/>
    </font>
    <font>
      <sz val="10"/>
      <color indexed="39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indexed="9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0" fontId="24" fillId="16" borderId="0"/>
    <xf numFmtId="172" fontId="26" fillId="0" borderId="0"/>
    <xf numFmtId="0" fontId="3" fillId="2" borderId="0" applyNumberFormat="0" applyBorder="0" applyAlignment="0" applyProtection="0"/>
    <xf numFmtId="41" fontId="37" fillId="20" borderId="0">
      <alignment horizontal="left"/>
    </xf>
    <xf numFmtId="10" fontId="37" fillId="20" borderId="0"/>
    <xf numFmtId="41" fontId="37" fillId="20" borderId="0">
      <alignment horizontal="left"/>
    </xf>
    <xf numFmtId="9" fontId="26" fillId="0" borderId="0" applyFont="0" applyFill="0" applyBorder="0" applyAlignment="0" applyProtection="0"/>
    <xf numFmtId="10" fontId="37" fillId="20" borderId="0"/>
    <xf numFmtId="0" fontId="8" fillId="0" borderId="0"/>
  </cellStyleXfs>
  <cellXfs count="525">
    <xf numFmtId="0" fontId="0" fillId="0" borderId="0" xfId="0"/>
    <xf numFmtId="0" fontId="4" fillId="0" borderId="0" xfId="0" applyFont="1"/>
    <xf numFmtId="0" fontId="5" fillId="0" borderId="0" xfId="0" applyFont="1"/>
    <xf numFmtId="164" fontId="7" fillId="0" borderId="0" xfId="4" applyNumberFormat="1" applyFont="1"/>
    <xf numFmtId="165" fontId="7" fillId="0" borderId="0" xfId="4" applyNumberFormat="1" applyFont="1"/>
    <xf numFmtId="0" fontId="7" fillId="0" borderId="0" xfId="4" applyFont="1"/>
    <xf numFmtId="1" fontId="4" fillId="0" borderId="0" xfId="0" applyNumberFormat="1" applyFont="1"/>
    <xf numFmtId="166" fontId="4" fillId="0" borderId="0" xfId="5" applyNumberFormat="1" applyFont="1"/>
    <xf numFmtId="166" fontId="0" fillId="0" borderId="0" xfId="1" applyNumberFormat="1" applyFont="1"/>
    <xf numFmtId="0" fontId="9" fillId="3" borderId="0" xfId="4" applyFont="1" applyFill="1"/>
    <xf numFmtId="0" fontId="10" fillId="3" borderId="0" xfId="4" applyFont="1" applyFill="1" applyAlignment="1">
      <alignment horizontal="center" wrapText="1"/>
    </xf>
    <xf numFmtId="0" fontId="5" fillId="0" borderId="0" xfId="0" applyFont="1" applyAlignment="1">
      <alignment horizontal="right"/>
    </xf>
    <xf numFmtId="10" fontId="4" fillId="0" borderId="0" xfId="0" applyNumberFormat="1" applyFont="1"/>
    <xf numFmtId="10" fontId="11" fillId="0" borderId="0" xfId="6" applyNumberFormat="1" applyFont="1"/>
    <xf numFmtId="166" fontId="4" fillId="0" borderId="0" xfId="0" applyNumberFormat="1" applyFont="1"/>
    <xf numFmtId="0" fontId="12" fillId="0" borderId="0" xfId="4" applyFont="1"/>
    <xf numFmtId="2" fontId="7" fillId="0" borderId="0" xfId="4" applyNumberFormat="1" applyFont="1"/>
    <xf numFmtId="0" fontId="9" fillId="0" borderId="1" xfId="4" applyFont="1" applyBorder="1" applyAlignment="1">
      <alignment horizontal="centerContinuous"/>
    </xf>
    <xf numFmtId="0" fontId="9" fillId="0" borderId="2" xfId="4" applyFont="1" applyBorder="1" applyAlignment="1">
      <alignment horizontal="centerContinuous"/>
    </xf>
    <xf numFmtId="0" fontId="13" fillId="0" borderId="0" xfId="4" applyFont="1"/>
    <xf numFmtId="0" fontId="12" fillId="0" borderId="0" xfId="4" applyFont="1" applyAlignment="1">
      <alignment horizontal="center" wrapText="1"/>
    </xf>
    <xf numFmtId="164" fontId="12" fillId="4" borderId="0" xfId="7" applyNumberFormat="1" applyFont="1" applyFill="1" applyAlignment="1">
      <alignment horizontal="center"/>
    </xf>
    <xf numFmtId="165" fontId="12" fillId="4" borderId="0" xfId="7" applyNumberFormat="1" applyFont="1" applyFill="1" applyAlignment="1">
      <alignment horizontal="center"/>
    </xf>
    <xf numFmtId="17" fontId="12" fillId="5" borderId="0" xfId="4" applyNumberFormat="1" applyFont="1" applyFill="1" applyAlignment="1">
      <alignment horizontal="center"/>
    </xf>
    <xf numFmtId="17" fontId="12" fillId="6" borderId="0" xfId="4" applyNumberFormat="1" applyFont="1" applyFill="1" applyAlignment="1">
      <alignment horizontal="center"/>
    </xf>
    <xf numFmtId="0" fontId="9" fillId="0" borderId="3" xfId="4" applyFont="1" applyBorder="1"/>
    <xf numFmtId="0" fontId="9" fillId="0" borderId="4" xfId="4" applyFont="1" applyBorder="1"/>
    <xf numFmtId="0" fontId="5" fillId="7" borderId="0" xfId="0" applyFont="1" applyFill="1"/>
    <xf numFmtId="0" fontId="2" fillId="7" borderId="0" xfId="0" applyFont="1" applyFill="1"/>
    <xf numFmtId="0" fontId="14" fillId="7" borderId="0" xfId="4" applyFont="1" applyFill="1"/>
    <xf numFmtId="0" fontId="12" fillId="0" borderId="0" xfId="4" applyFont="1" applyAlignment="1">
      <alignment horizontal="center"/>
    </xf>
    <xf numFmtId="164" fontId="12" fillId="4" borderId="0" xfId="7" applyNumberFormat="1" applyFont="1" applyFill="1" applyAlignment="1">
      <alignment horizontal="center" wrapText="1"/>
    </xf>
    <xf numFmtId="165" fontId="12" fillId="4" borderId="0" xfId="7" applyNumberFormat="1" applyFont="1" applyFill="1" applyAlignment="1">
      <alignment horizontal="center" wrapText="1"/>
    </xf>
    <xf numFmtId="0" fontId="12" fillId="5" borderId="0" xfId="4" applyFont="1" applyFill="1" applyAlignment="1">
      <alignment horizontal="center" wrapText="1"/>
    </xf>
    <xf numFmtId="0" fontId="12" fillId="6" borderId="0" xfId="4" applyFont="1" applyFill="1" applyAlignment="1">
      <alignment horizontal="center" wrapText="1"/>
    </xf>
    <xf numFmtId="0" fontId="12" fillId="8" borderId="0" xfId="4" applyFont="1" applyFill="1" applyAlignment="1">
      <alignment horizontal="center" wrapText="1"/>
    </xf>
    <xf numFmtId="166" fontId="12" fillId="8" borderId="0" xfId="8" applyNumberFormat="1" applyFont="1" applyFill="1" applyAlignment="1">
      <alignment horizontal="center" wrapText="1"/>
    </xf>
    <xf numFmtId="167" fontId="4" fillId="0" borderId="5" xfId="2" applyNumberFormat="1" applyFont="1" applyBorder="1"/>
    <xf numFmtId="167" fontId="4" fillId="0" borderId="6" xfId="2" applyNumberFormat="1" applyFont="1" applyBorder="1"/>
    <xf numFmtId="167" fontId="0" fillId="0" borderId="6" xfId="2" applyNumberFormat="1" applyFont="1" applyBorder="1"/>
    <xf numFmtId="167" fontId="13" fillId="7" borderId="7" xfId="2" applyNumberFormat="1" applyFont="1" applyFill="1" applyBorder="1"/>
    <xf numFmtId="164" fontId="4" fillId="0" borderId="0" xfId="0" applyNumberFormat="1" applyFont="1"/>
    <xf numFmtId="165" fontId="4" fillId="0" borderId="0" xfId="7" applyNumberFormat="1" applyFont="1" applyAlignment="1">
      <alignment horizontal="center"/>
    </xf>
    <xf numFmtId="166" fontId="7" fillId="0" borderId="0" xfId="5" applyNumberFormat="1" applyFont="1"/>
    <xf numFmtId="1" fontId="7" fillId="0" borderId="0" xfId="4" applyNumberFormat="1" applyFont="1"/>
    <xf numFmtId="164" fontId="13" fillId="0" borderId="0" xfId="4" applyNumberFormat="1" applyFont="1"/>
    <xf numFmtId="165" fontId="13" fillId="0" borderId="0" xfId="4" applyNumberFormat="1" applyFont="1"/>
    <xf numFmtId="0" fontId="14" fillId="0" borderId="0" xfId="4" applyFont="1" applyAlignment="1">
      <alignment horizontal="center"/>
    </xf>
    <xf numFmtId="0" fontId="13" fillId="0" borderId="0" xfId="0" applyFont="1"/>
    <xf numFmtId="1" fontId="13" fillId="0" borderId="0" xfId="4" applyNumberFormat="1" applyFont="1"/>
    <xf numFmtId="0" fontId="15" fillId="0" borderId="0" xfId="4" applyFont="1" applyAlignment="1">
      <alignment horizontal="left"/>
    </xf>
    <xf numFmtId="164" fontId="15" fillId="0" borderId="0" xfId="4" applyNumberFormat="1" applyFont="1" applyAlignment="1">
      <alignment horizontal="left"/>
    </xf>
    <xf numFmtId="165" fontId="15" fillId="0" borderId="0" xfId="4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5" fillId="6" borderId="8" xfId="0" applyFont="1" applyFill="1" applyBorder="1"/>
    <xf numFmtId="0" fontId="4" fillId="6" borderId="9" xfId="0" applyFont="1" applyFill="1" applyBorder="1"/>
    <xf numFmtId="166" fontId="4" fillId="6" borderId="9" xfId="1" applyNumberFormat="1" applyFont="1" applyFill="1" applyBorder="1"/>
    <xf numFmtId="0" fontId="4" fillId="6" borderId="10" xfId="0" applyFont="1" applyFill="1" applyBorder="1"/>
    <xf numFmtId="0" fontId="2" fillId="0" borderId="0" xfId="0" applyFont="1"/>
    <xf numFmtId="0" fontId="2" fillId="0" borderId="0" xfId="0" applyFont="1" applyAlignment="1">
      <alignment horizontal="left" indent="1"/>
    </xf>
    <xf numFmtId="0" fontId="4" fillId="6" borderId="11" xfId="0" applyFont="1" applyFill="1" applyBorder="1"/>
    <xf numFmtId="0" fontId="4" fillId="6" borderId="0" xfId="0" applyFont="1" applyFill="1"/>
    <xf numFmtId="166" fontId="4" fillId="6" borderId="0" xfId="1" applyNumberFormat="1" applyFont="1" applyFill="1" applyBorder="1"/>
    <xf numFmtId="0" fontId="4" fillId="6" borderId="12" xfId="0" applyFont="1" applyFill="1" applyBorder="1"/>
    <xf numFmtId="0" fontId="14" fillId="0" borderId="0" xfId="4" applyFont="1" applyAlignment="1">
      <alignment horizontal="left"/>
    </xf>
    <xf numFmtId="164" fontId="14" fillId="0" borderId="0" xfId="4" applyNumberFormat="1" applyFont="1" applyAlignment="1">
      <alignment horizontal="left"/>
    </xf>
    <xf numFmtId="165" fontId="14" fillId="0" borderId="0" xfId="4" applyNumberFormat="1" applyFont="1" applyAlignment="1">
      <alignment horizontal="left"/>
    </xf>
    <xf numFmtId="43" fontId="13" fillId="0" borderId="0" xfId="5" applyFont="1" applyFill="1" applyAlignment="1">
      <alignment horizontal="center"/>
    </xf>
    <xf numFmtId="166" fontId="13" fillId="0" borderId="0" xfId="5" applyNumberFormat="1" applyFont="1" applyFill="1"/>
    <xf numFmtId="166" fontId="13" fillId="0" borderId="0" xfId="5" applyNumberFormat="1" applyFont="1"/>
    <xf numFmtId="0" fontId="0" fillId="6" borderId="12" xfId="0" applyFill="1" applyBorder="1"/>
    <xf numFmtId="0" fontId="13" fillId="9" borderId="0" xfId="4" applyFont="1" applyFill="1"/>
    <xf numFmtId="0" fontId="13" fillId="9" borderId="0" xfId="0" applyFont="1" applyFill="1"/>
    <xf numFmtId="164" fontId="13" fillId="4" borderId="0" xfId="7" applyNumberFormat="1" applyFont="1" applyFill="1" applyAlignment="1">
      <alignment horizontal="right"/>
    </xf>
    <xf numFmtId="165" fontId="13" fillId="4" borderId="0" xfId="7" applyNumberFormat="1" applyFont="1" applyFill="1" applyAlignment="1">
      <alignment horizontal="center"/>
    </xf>
    <xf numFmtId="166" fontId="13" fillId="9" borderId="0" xfId="5" applyNumberFormat="1" applyFont="1" applyFill="1"/>
    <xf numFmtId="166" fontId="13" fillId="0" borderId="0" xfId="4" applyNumberFormat="1" applyFont="1"/>
    <xf numFmtId="10" fontId="0" fillId="0" borderId="0" xfId="3" applyNumberFormat="1" applyFont="1"/>
    <xf numFmtId="43" fontId="0" fillId="10" borderId="0" xfId="1" applyFont="1" applyFill="1"/>
    <xf numFmtId="44" fontId="0" fillId="10" borderId="0" xfId="2" applyFont="1" applyFill="1" applyBorder="1"/>
    <xf numFmtId="167" fontId="4" fillId="0" borderId="0" xfId="2" applyNumberFormat="1" applyFont="1"/>
    <xf numFmtId="10" fontId="4" fillId="0" borderId="0" xfId="3" applyNumberFormat="1" applyFont="1"/>
    <xf numFmtId="0" fontId="13" fillId="6" borderId="0" xfId="4" applyFont="1" applyFill="1"/>
    <xf numFmtId="166" fontId="13" fillId="6" borderId="0" xfId="1" applyNumberFormat="1" applyFont="1" applyFill="1" applyBorder="1"/>
    <xf numFmtId="0" fontId="13" fillId="6" borderId="12" xfId="4" applyFont="1" applyFill="1" applyBorder="1"/>
    <xf numFmtId="166" fontId="0" fillId="6" borderId="0" xfId="1" applyNumberFormat="1" applyFont="1" applyFill="1"/>
    <xf numFmtId="166" fontId="0" fillId="11" borderId="0" xfId="1" applyNumberFormat="1" applyFont="1" applyFill="1"/>
    <xf numFmtId="166" fontId="0" fillId="12" borderId="0" xfId="1" applyNumberFormat="1" applyFont="1" applyFill="1"/>
    <xf numFmtId="166" fontId="0" fillId="13" borderId="0" xfId="1" applyNumberFormat="1" applyFont="1" applyFill="1"/>
    <xf numFmtId="43" fontId="13" fillId="0" borderId="0" xfId="4" applyNumberFormat="1" applyFont="1"/>
    <xf numFmtId="0" fontId="13" fillId="6" borderId="11" xfId="4" applyFont="1" applyFill="1" applyBorder="1"/>
    <xf numFmtId="0" fontId="0" fillId="6" borderId="11" xfId="0" applyFill="1" applyBorder="1"/>
    <xf numFmtId="166" fontId="0" fillId="6" borderId="0" xfId="1" applyNumberFormat="1" applyFont="1" applyFill="1" applyBorder="1"/>
    <xf numFmtId="0" fontId="7" fillId="6" borderId="0" xfId="4" applyFont="1" applyFill="1"/>
    <xf numFmtId="166" fontId="7" fillId="6" borderId="0" xfId="1" applyNumberFormat="1" applyFont="1" applyFill="1" applyBorder="1"/>
    <xf numFmtId="0" fontId="7" fillId="6" borderId="12" xfId="4" applyFont="1" applyFill="1" applyBorder="1"/>
    <xf numFmtId="0" fontId="7" fillId="6" borderId="8" xfId="4" applyFont="1" applyFill="1" applyBorder="1"/>
    <xf numFmtId="166" fontId="7" fillId="6" borderId="10" xfId="1" applyNumberFormat="1" applyFont="1" applyFill="1" applyBorder="1"/>
    <xf numFmtId="0" fontId="7" fillId="6" borderId="11" xfId="4" applyFont="1" applyFill="1" applyBorder="1"/>
    <xf numFmtId="166" fontId="7" fillId="6" borderId="12" xfId="1" applyNumberFormat="1" applyFont="1" applyFill="1" applyBorder="1"/>
    <xf numFmtId="0" fontId="7" fillId="6" borderId="13" xfId="4" applyFont="1" applyFill="1" applyBorder="1"/>
    <xf numFmtId="166" fontId="7" fillId="6" borderId="14" xfId="1" applyNumberFormat="1" applyFont="1" applyFill="1" applyBorder="1"/>
    <xf numFmtId="0" fontId="12" fillId="6" borderId="5" xfId="4" applyFont="1" applyFill="1" applyBorder="1"/>
    <xf numFmtId="166" fontId="7" fillId="6" borderId="7" xfId="1" applyNumberFormat="1" applyFont="1" applyFill="1" applyBorder="1"/>
    <xf numFmtId="43" fontId="0" fillId="0" borderId="0" xfId="1" applyFont="1"/>
    <xf numFmtId="0" fontId="13" fillId="6" borderId="13" xfId="4" applyFont="1" applyFill="1" applyBorder="1"/>
    <xf numFmtId="0" fontId="7" fillId="6" borderId="15" xfId="4" applyFont="1" applyFill="1" applyBorder="1"/>
    <xf numFmtId="0" fontId="7" fillId="6" borderId="14" xfId="4" applyFont="1" applyFill="1" applyBorder="1"/>
    <xf numFmtId="164" fontId="13" fillId="0" borderId="0" xfId="0" applyNumberFormat="1" applyFont="1"/>
    <xf numFmtId="165" fontId="13" fillId="0" borderId="0" xfId="0" applyNumberFormat="1" applyFont="1"/>
    <xf numFmtId="0" fontId="8" fillId="0" borderId="0" xfId="9"/>
    <xf numFmtId="0" fontId="8" fillId="12" borderId="0" xfId="9" applyFill="1"/>
    <xf numFmtId="164" fontId="14" fillId="0" borderId="0" xfId="4" applyNumberFormat="1" applyFont="1" applyAlignment="1">
      <alignment horizontal="right"/>
    </xf>
    <xf numFmtId="165" fontId="14" fillId="0" borderId="0" xfId="4" applyNumberFormat="1" applyFont="1" applyAlignment="1">
      <alignment horizontal="right"/>
    </xf>
    <xf numFmtId="164" fontId="13" fillId="0" borderId="0" xfId="5" applyNumberFormat="1" applyFont="1" applyFill="1" applyAlignment="1">
      <alignment horizontal="center"/>
    </xf>
    <xf numFmtId="164" fontId="14" fillId="0" borderId="16" xfId="7" applyNumberFormat="1" applyFont="1" applyFill="1" applyBorder="1"/>
    <xf numFmtId="166" fontId="14" fillId="14" borderId="17" xfId="5" applyNumberFormat="1" applyFont="1" applyFill="1" applyBorder="1"/>
    <xf numFmtId="164" fontId="8" fillId="0" borderId="0" xfId="9" applyNumberFormat="1"/>
    <xf numFmtId="166" fontId="17" fillId="0" borderId="18" xfId="0" applyNumberFormat="1" applyFont="1" applyBorder="1"/>
    <xf numFmtId="168" fontId="14" fillId="0" borderId="16" xfId="7" applyNumberFormat="1" applyFont="1" applyFill="1" applyBorder="1"/>
    <xf numFmtId="10" fontId="13" fillId="0" borderId="0" xfId="3" applyNumberFormat="1" applyFont="1"/>
    <xf numFmtId="164" fontId="15" fillId="0" borderId="0" xfId="4" applyNumberFormat="1" applyFont="1" applyAlignment="1">
      <alignment horizontal="center"/>
    </xf>
    <xf numFmtId="165" fontId="15" fillId="0" borderId="0" xfId="4" applyNumberFormat="1" applyFont="1" applyAlignment="1">
      <alignment horizontal="center"/>
    </xf>
    <xf numFmtId="164" fontId="13" fillId="0" borderId="0" xfId="5" applyNumberFormat="1" applyFont="1" applyFill="1"/>
    <xf numFmtId="164" fontId="8" fillId="12" borderId="0" xfId="9" applyNumberFormat="1" applyFill="1"/>
    <xf numFmtId="43" fontId="13" fillId="0" borderId="0" xfId="5" applyFont="1" applyFill="1"/>
    <xf numFmtId="0" fontId="14" fillId="0" borderId="0" xfId="4" applyFont="1" applyAlignment="1">
      <alignment horizontal="right"/>
    </xf>
    <xf numFmtId="166" fontId="13" fillId="0" borderId="0" xfId="5" applyNumberFormat="1" applyFont="1" applyFill="1" applyBorder="1"/>
    <xf numFmtId="166" fontId="14" fillId="0" borderId="0" xfId="5" applyNumberFormat="1" applyFont="1" applyFill="1" applyBorder="1"/>
    <xf numFmtId="0" fontId="7" fillId="12" borderId="0" xfId="4" applyFont="1" applyFill="1"/>
    <xf numFmtId="9" fontId="13" fillId="0" borderId="0" xfId="6" applyFont="1"/>
    <xf numFmtId="166" fontId="17" fillId="0" borderId="0" xfId="0" applyNumberFormat="1" applyFont="1"/>
    <xf numFmtId="164" fontId="13" fillId="4" borderId="0" xfId="5" applyNumberFormat="1" applyFont="1" applyFill="1" applyBorder="1"/>
    <xf numFmtId="166" fontId="4" fillId="0" borderId="0" xfId="5" applyNumberFormat="1" applyFont="1" applyAlignment="1">
      <alignment horizontal="right" indent="1"/>
    </xf>
    <xf numFmtId="0" fontId="11" fillId="0" borderId="0" xfId="4" applyFont="1"/>
    <xf numFmtId="43" fontId="0" fillId="0" borderId="0" xfId="0" applyNumberFormat="1"/>
    <xf numFmtId="166" fontId="4" fillId="0" borderId="0" xfId="5" applyNumberFormat="1" applyFont="1" applyBorder="1" applyAlignment="1">
      <alignment horizontal="right" indent="1"/>
    </xf>
    <xf numFmtId="166" fontId="4" fillId="0" borderId="0" xfId="5" applyNumberFormat="1" applyFont="1" applyFill="1" applyAlignment="1">
      <alignment horizontal="right" indent="1"/>
    </xf>
    <xf numFmtId="166" fontId="4" fillId="0" borderId="0" xfId="5" applyNumberFormat="1" applyFont="1" applyFill="1" applyBorder="1" applyAlignment="1">
      <alignment horizontal="right" indent="1"/>
    </xf>
    <xf numFmtId="0" fontId="13" fillId="15" borderId="0" xfId="0" applyFont="1" applyFill="1"/>
    <xf numFmtId="166" fontId="13" fillId="15" borderId="0" xfId="5" applyNumberFormat="1" applyFont="1" applyFill="1"/>
    <xf numFmtId="0" fontId="13" fillId="15" borderId="0" xfId="4" applyFont="1" applyFill="1"/>
    <xf numFmtId="166" fontId="13" fillId="15" borderId="0" xfId="5" applyNumberFormat="1" applyFont="1" applyFill="1" applyBorder="1"/>
    <xf numFmtId="0" fontId="13" fillId="0" borderId="8" xfId="4" applyFont="1" applyBorder="1"/>
    <xf numFmtId="166" fontId="13" fillId="0" borderId="10" xfId="5" applyNumberFormat="1" applyFont="1" applyBorder="1"/>
    <xf numFmtId="164" fontId="13" fillId="0" borderId="0" xfId="0" applyNumberFormat="1" applyFont="1" applyAlignment="1">
      <alignment vertical="top"/>
    </xf>
    <xf numFmtId="166" fontId="14" fillId="14" borderId="16" xfId="5" applyNumberFormat="1" applyFont="1" applyFill="1" applyBorder="1"/>
    <xf numFmtId="164" fontId="13" fillId="0" borderId="13" xfId="4" applyNumberFormat="1" applyFont="1" applyBorder="1"/>
    <xf numFmtId="166" fontId="13" fillId="0" borderId="14" xfId="5" applyNumberFormat="1" applyFont="1" applyBorder="1"/>
    <xf numFmtId="164" fontId="13" fillId="12" borderId="0" xfId="4" applyNumberFormat="1" applyFont="1" applyFill="1"/>
    <xf numFmtId="0" fontId="13" fillId="0" borderId="0" xfId="0" applyFont="1" applyAlignment="1">
      <alignment vertical="top"/>
    </xf>
    <xf numFmtId="165" fontId="13" fillId="0" borderId="0" xfId="0" applyNumberFormat="1" applyFont="1" applyAlignment="1">
      <alignment vertical="top"/>
    </xf>
    <xf numFmtId="0" fontId="13" fillId="12" borderId="0" xfId="0" applyFont="1" applyFill="1"/>
    <xf numFmtId="0" fontId="15" fillId="0" borderId="0" xfId="4" applyFont="1" applyAlignment="1">
      <alignment horizontal="center"/>
    </xf>
    <xf numFmtId="0" fontId="14" fillId="0" borderId="0" xfId="4" applyFont="1"/>
    <xf numFmtId="164" fontId="14" fillId="0" borderId="0" xfId="4" applyNumberFormat="1" applyFont="1"/>
    <xf numFmtId="165" fontId="14" fillId="0" borderId="0" xfId="4" applyNumberFormat="1" applyFont="1"/>
    <xf numFmtId="0" fontId="11" fillId="0" borderId="0" xfId="0" applyFont="1"/>
    <xf numFmtId="164" fontId="13" fillId="0" borderId="0" xfId="5" applyNumberFormat="1" applyFont="1" applyFill="1" applyBorder="1"/>
    <xf numFmtId="165" fontId="13" fillId="0" borderId="0" xfId="5" applyNumberFormat="1" applyFont="1" applyFill="1" applyBorder="1"/>
    <xf numFmtId="44" fontId="13" fillId="12" borderId="0" xfId="2" applyFont="1" applyFill="1"/>
    <xf numFmtId="1" fontId="13" fillId="0" borderId="0" xfId="0" applyNumberFormat="1" applyFont="1"/>
    <xf numFmtId="0" fontId="4" fillId="12" borderId="0" xfId="0" applyFont="1" applyFill="1"/>
    <xf numFmtId="167" fontId="13" fillId="0" borderId="0" xfId="2" applyNumberFormat="1" applyFont="1"/>
    <xf numFmtId="44" fontId="14" fillId="0" borderId="16" xfId="7" applyFont="1" applyFill="1" applyBorder="1"/>
    <xf numFmtId="164" fontId="13" fillId="12" borderId="0" xfId="0" applyNumberFormat="1" applyFont="1" applyFill="1"/>
    <xf numFmtId="164" fontId="14" fillId="0" borderId="0" xfId="7" applyNumberFormat="1" applyFont="1" applyFill="1" applyBorder="1"/>
    <xf numFmtId="0" fontId="13" fillId="12" borderId="0" xfId="4" applyFont="1" applyFill="1"/>
    <xf numFmtId="1" fontId="13" fillId="0" borderId="0" xfId="5" applyNumberFormat="1" applyFont="1" applyFill="1"/>
    <xf numFmtId="1" fontId="13" fillId="0" borderId="0" xfId="5" applyNumberFormat="1" applyFont="1"/>
    <xf numFmtId="1" fontId="13" fillId="0" borderId="17" xfId="0" applyNumberFormat="1" applyFont="1" applyBorder="1"/>
    <xf numFmtId="165" fontId="4" fillId="0" borderId="0" xfId="0" applyNumberFormat="1" applyFont="1"/>
    <xf numFmtId="166" fontId="13" fillId="0" borderId="19" xfId="5" applyNumberFormat="1" applyFont="1" applyFill="1" applyBorder="1"/>
    <xf numFmtId="166" fontId="13" fillId="0" borderId="0" xfId="0" applyNumberFormat="1" applyFont="1"/>
    <xf numFmtId="166" fontId="13" fillId="0" borderId="19" xfId="0" applyNumberFormat="1" applyFont="1" applyBorder="1"/>
    <xf numFmtId="44" fontId="14" fillId="0" borderId="19" xfId="7" applyFont="1" applyFill="1" applyBorder="1"/>
    <xf numFmtId="164" fontId="7" fillId="0" borderId="0" xfId="7" applyNumberFormat="1" applyFont="1" applyAlignment="1">
      <alignment horizontal="right"/>
    </xf>
    <xf numFmtId="164" fontId="7" fillId="0" borderId="0" xfId="7" applyNumberFormat="1" applyFont="1" applyAlignment="1">
      <alignment horizontal="center"/>
    </xf>
    <xf numFmtId="164" fontId="4" fillId="0" borderId="0" xfId="7" applyNumberFormat="1" applyFont="1" applyAlignment="1">
      <alignment horizontal="center"/>
    </xf>
    <xf numFmtId="0" fontId="4" fillId="6" borderId="8" xfId="0" applyFont="1" applyFill="1" applyBorder="1"/>
    <xf numFmtId="164" fontId="4" fillId="6" borderId="10" xfId="2" applyNumberFormat="1" applyFont="1" applyFill="1" applyBorder="1"/>
    <xf numFmtId="0" fontId="18" fillId="0" borderId="0" xfId="4" applyFont="1" applyAlignment="1">
      <alignment horizontal="center"/>
    </xf>
    <xf numFmtId="0" fontId="4" fillId="6" borderId="20" xfId="0" applyFont="1" applyFill="1" applyBorder="1"/>
    <xf numFmtId="44" fontId="4" fillId="6" borderId="21" xfId="2" applyFont="1" applyFill="1" applyBorder="1"/>
    <xf numFmtId="0" fontId="19" fillId="0" borderId="0" xfId="4" applyFont="1" applyAlignment="1">
      <alignment horizontal="left"/>
    </xf>
    <xf numFmtId="0" fontId="4" fillId="6" borderId="13" xfId="0" applyFont="1" applyFill="1" applyBorder="1"/>
    <xf numFmtId="44" fontId="4" fillId="6" borderId="14" xfId="2" applyFont="1" applyFill="1" applyBorder="1"/>
    <xf numFmtId="0" fontId="12" fillId="0" borderId="0" xfId="4" applyFont="1" applyAlignment="1">
      <alignment horizontal="left"/>
    </xf>
    <xf numFmtId="164" fontId="7" fillId="0" borderId="0" xfId="7" applyNumberFormat="1" applyFont="1" applyFill="1" applyAlignment="1">
      <alignment horizontal="right"/>
    </xf>
    <xf numFmtId="43" fontId="7" fillId="0" borderId="0" xfId="5" applyFont="1" applyFill="1" applyAlignment="1">
      <alignment horizontal="center"/>
    </xf>
    <xf numFmtId="166" fontId="7" fillId="0" borderId="0" xfId="5" applyNumberFormat="1" applyFont="1" applyFill="1"/>
    <xf numFmtId="167" fontId="7" fillId="0" borderId="0" xfId="4" applyNumberFormat="1" applyFont="1"/>
    <xf numFmtId="0" fontId="13" fillId="4" borderId="0" xfId="7" applyNumberFormat="1" applyFont="1" applyFill="1" applyAlignment="1">
      <alignment horizontal="center"/>
    </xf>
    <xf numFmtId="166" fontId="0" fillId="0" borderId="0" xfId="0" applyNumberFormat="1"/>
    <xf numFmtId="164" fontId="4" fillId="10" borderId="0" xfId="0" applyNumberFormat="1" applyFont="1" applyFill="1"/>
    <xf numFmtId="44" fontId="4" fillId="0" borderId="0" xfId="2" applyFont="1"/>
    <xf numFmtId="166" fontId="7" fillId="11" borderId="0" xfId="4" applyNumberFormat="1" applyFont="1" applyFill="1"/>
    <xf numFmtId="164" fontId="13" fillId="10" borderId="0" xfId="7" applyNumberFormat="1" applyFont="1" applyFill="1" applyAlignment="1">
      <alignment horizontal="right"/>
    </xf>
    <xf numFmtId="164" fontId="4" fillId="10" borderId="0" xfId="2" applyNumberFormat="1" applyFont="1" applyFill="1"/>
    <xf numFmtId="164" fontId="13" fillId="0" borderId="0" xfId="7" applyNumberFormat="1" applyFont="1" applyFill="1" applyAlignment="1">
      <alignment horizontal="right"/>
    </xf>
    <xf numFmtId="0" fontId="8" fillId="0" borderId="0" xfId="10"/>
    <xf numFmtId="164" fontId="14" fillId="0" borderId="16" xfId="5" applyNumberFormat="1" applyFont="1" applyFill="1" applyBorder="1"/>
    <xf numFmtId="164" fontId="7" fillId="0" borderId="0" xfId="5" applyNumberFormat="1" applyFont="1"/>
    <xf numFmtId="166" fontId="14" fillId="0" borderId="17" xfId="5" applyNumberFormat="1" applyFont="1" applyBorder="1"/>
    <xf numFmtId="164" fontId="8" fillId="0" borderId="0" xfId="10" applyNumberFormat="1"/>
    <xf numFmtId="10" fontId="7" fillId="0" borderId="0" xfId="3" applyNumberFormat="1" applyFont="1"/>
    <xf numFmtId="169" fontId="15" fillId="0" borderId="0" xfId="4" applyNumberFormat="1" applyFont="1" applyAlignment="1">
      <alignment horizontal="left"/>
    </xf>
    <xf numFmtId="43" fontId="13" fillId="0" borderId="0" xfId="5" applyFont="1"/>
    <xf numFmtId="166" fontId="14" fillId="0" borderId="0" xfId="5" applyNumberFormat="1" applyFont="1"/>
    <xf numFmtId="164" fontId="13" fillId="0" borderId="0" xfId="7" applyNumberFormat="1" applyFont="1" applyAlignment="1">
      <alignment horizontal="right"/>
    </xf>
    <xf numFmtId="43" fontId="7" fillId="0" borderId="0" xfId="1" applyFont="1"/>
    <xf numFmtId="0" fontId="7" fillId="0" borderId="8" xfId="4" applyFont="1" applyBorder="1"/>
    <xf numFmtId="166" fontId="7" fillId="0" borderId="10" xfId="5" applyNumberFormat="1" applyFont="1" applyBorder="1"/>
    <xf numFmtId="0" fontId="7" fillId="0" borderId="13" xfId="4" applyFont="1" applyBorder="1"/>
    <xf numFmtId="166" fontId="7" fillId="0" borderId="14" xfId="5" applyNumberFormat="1" applyFont="1" applyBorder="1"/>
    <xf numFmtId="170" fontId="4" fillId="0" borderId="0" xfId="0" applyNumberFormat="1" applyFont="1"/>
    <xf numFmtId="9" fontId="4" fillId="0" borderId="0" xfId="3" applyFont="1"/>
    <xf numFmtId="1" fontId="11" fillId="0" borderId="0" xfId="0" applyNumberFormat="1" applyFont="1"/>
    <xf numFmtId="0" fontId="13" fillId="0" borderId="0" xfId="7" applyNumberFormat="1" applyFont="1" applyFill="1" applyAlignment="1">
      <alignment horizontal="center"/>
    </xf>
    <xf numFmtId="44" fontId="13" fillId="0" borderId="0" xfId="0" applyNumberFormat="1" applyFont="1"/>
    <xf numFmtId="44" fontId="14" fillId="0" borderId="0" xfId="7" applyFont="1" applyFill="1" applyBorder="1"/>
    <xf numFmtId="167" fontId="7" fillId="0" borderId="0" xfId="2" applyNumberFormat="1" applyFont="1"/>
    <xf numFmtId="166" fontId="4" fillId="0" borderId="17" xfId="5" applyNumberFormat="1" applyFont="1" applyBorder="1"/>
    <xf numFmtId="4" fontId="13" fillId="0" borderId="0" xfId="0" applyNumberFormat="1" applyFont="1"/>
    <xf numFmtId="42" fontId="13" fillId="0" borderId="0" xfId="0" applyNumberFormat="1" applyFont="1"/>
    <xf numFmtId="0" fontId="4" fillId="0" borderId="8" xfId="0" applyFont="1" applyBorder="1"/>
    <xf numFmtId="164" fontId="4" fillId="0" borderId="9" xfId="0" applyNumberFormat="1" applyFont="1" applyBorder="1"/>
    <xf numFmtId="164" fontId="4" fillId="0" borderId="10" xfId="0" applyNumberFormat="1" applyFont="1" applyBorder="1"/>
    <xf numFmtId="0" fontId="4" fillId="0" borderId="20" xfId="0" applyFont="1" applyBorder="1"/>
    <xf numFmtId="164" fontId="4" fillId="0" borderId="19" xfId="0" applyNumberFormat="1" applyFont="1" applyBorder="1"/>
    <xf numFmtId="0" fontId="4" fillId="0" borderId="11" xfId="0" applyFont="1" applyBorder="1"/>
    <xf numFmtId="164" fontId="4" fillId="0" borderId="12" xfId="0" applyNumberFormat="1" applyFont="1" applyBorder="1"/>
    <xf numFmtId="41" fontId="4" fillId="0" borderId="0" xfId="0" applyNumberFormat="1" applyFont="1"/>
    <xf numFmtId="42" fontId="4" fillId="0" borderId="0" xfId="0" applyNumberFormat="1" applyFont="1"/>
    <xf numFmtId="43" fontId="13" fillId="0" borderId="0" xfId="0" applyNumberFormat="1" applyFont="1"/>
    <xf numFmtId="164" fontId="4" fillId="0" borderId="0" xfId="7" applyNumberFormat="1" applyFont="1" applyAlignment="1">
      <alignment horizontal="right"/>
    </xf>
    <xf numFmtId="0" fontId="4" fillId="14" borderId="0" xfId="0" applyFont="1" applyFill="1"/>
    <xf numFmtId="0" fontId="7" fillId="0" borderId="0" xfId="4" applyFont="1" applyAlignment="1">
      <alignment horizontal="center"/>
    </xf>
    <xf numFmtId="3" fontId="13" fillId="4" borderId="0" xfId="7" applyNumberFormat="1" applyFont="1" applyFill="1" applyAlignment="1">
      <alignment horizontal="center"/>
    </xf>
    <xf numFmtId="44" fontId="13" fillId="0" borderId="0" xfId="2" applyFont="1"/>
    <xf numFmtId="166" fontId="2" fillId="0" borderId="0" xfId="0" applyNumberFormat="1" applyFont="1" applyAlignment="1">
      <alignment horizontal="left" indent="1"/>
    </xf>
    <xf numFmtId="164" fontId="13" fillId="0" borderId="0" xfId="2" applyNumberFormat="1" applyFont="1"/>
    <xf numFmtId="43" fontId="7" fillId="0" borderId="0" xfId="4" applyNumberFormat="1" applyFont="1"/>
    <xf numFmtId="43" fontId="13" fillId="0" borderId="0" xfId="5" applyFont="1" applyFill="1" applyAlignment="1">
      <alignment horizontal="left"/>
    </xf>
    <xf numFmtId="0" fontId="7" fillId="0" borderId="5" xfId="4" applyFont="1" applyBorder="1"/>
    <xf numFmtId="166" fontId="7" fillId="0" borderId="7" xfId="5" applyNumberFormat="1" applyFont="1" applyBorder="1"/>
    <xf numFmtId="164" fontId="13" fillId="0" borderId="0" xfId="5" applyNumberFormat="1" applyFont="1" applyFill="1" applyAlignment="1">
      <alignment horizontal="left"/>
    </xf>
    <xf numFmtId="0" fontId="13" fillId="0" borderId="0" xfId="0" applyFont="1" applyAlignment="1">
      <alignment horizontal="left"/>
    </xf>
    <xf numFmtId="2" fontId="4" fillId="0" borderId="0" xfId="0" applyNumberFormat="1" applyFont="1"/>
    <xf numFmtId="164" fontId="13" fillId="0" borderId="0" xfId="5" applyNumberFormat="1" applyFont="1"/>
    <xf numFmtId="0" fontId="22" fillId="0" borderId="0" xfId="0" applyFont="1"/>
    <xf numFmtId="0" fontId="22" fillId="0" borderId="0" xfId="0" applyFont="1" applyAlignment="1">
      <alignment horizontal="left" indent="1"/>
    </xf>
    <xf numFmtId="0" fontId="13" fillId="0" borderId="0" xfId="0" applyFont="1" applyAlignment="1">
      <alignment horizontal="center"/>
    </xf>
    <xf numFmtId="166" fontId="4" fillId="0" borderId="0" xfId="5" applyNumberFormat="1" applyFont="1" applyFill="1" applyBorder="1"/>
    <xf numFmtId="164" fontId="4" fillId="0" borderId="5" xfId="0" applyNumberFormat="1" applyFont="1" applyBorder="1"/>
    <xf numFmtId="166" fontId="4" fillId="0" borderId="7" xfId="5" applyNumberFormat="1" applyFont="1" applyBorder="1"/>
    <xf numFmtId="164" fontId="13" fillId="0" borderId="0" xfId="0" applyNumberFormat="1" applyFont="1" applyAlignment="1">
      <alignment horizontal="center"/>
    </xf>
    <xf numFmtId="0" fontId="13" fillId="0" borderId="0" xfId="6" applyNumberFormat="1" applyFont="1"/>
    <xf numFmtId="0" fontId="13" fillId="0" borderId="0" xfId="5" applyNumberFormat="1" applyFont="1" applyFill="1"/>
    <xf numFmtId="166" fontId="7" fillId="0" borderId="0" xfId="5" applyNumberFormat="1" applyFont="1" applyFill="1" applyBorder="1"/>
    <xf numFmtId="0" fontId="13" fillId="0" borderId="0" xfId="5" applyNumberFormat="1" applyFont="1"/>
    <xf numFmtId="166" fontId="13" fillId="15" borderId="0" xfId="0" applyNumberFormat="1" applyFont="1" applyFill="1"/>
    <xf numFmtId="166" fontId="4" fillId="0" borderId="0" xfId="5" applyNumberFormat="1" applyFont="1" applyFill="1"/>
    <xf numFmtId="44" fontId="4" fillId="12" borderId="0" xfId="2" applyFont="1" applyFill="1"/>
    <xf numFmtId="167" fontId="4" fillId="12" borderId="0" xfId="2" applyNumberFormat="1" applyFont="1" applyFill="1"/>
    <xf numFmtId="9" fontId="13" fillId="0" borderId="0" xfId="6" applyFont="1" applyFill="1" applyAlignment="1">
      <alignment horizontal="center"/>
    </xf>
    <xf numFmtId="9" fontId="13" fillId="0" borderId="0" xfId="6" applyFont="1" applyAlignment="1">
      <alignment horizontal="center"/>
    </xf>
    <xf numFmtId="171" fontId="13" fillId="0" borderId="0" xfId="0" applyNumberFormat="1" applyFont="1"/>
    <xf numFmtId="10" fontId="11" fillId="0" borderId="0" xfId="3" applyNumberFormat="1" applyFont="1"/>
    <xf numFmtId="41" fontId="0" fillId="0" borderId="0" xfId="0" applyNumberFormat="1"/>
    <xf numFmtId="0" fontId="2" fillId="6" borderId="0" xfId="0" applyFont="1" applyFill="1"/>
    <xf numFmtId="44" fontId="0" fillId="0" borderId="0" xfId="2" applyFont="1"/>
    <xf numFmtId="164" fontId="0" fillId="0" borderId="0" xfId="0" applyNumberFormat="1"/>
    <xf numFmtId="44" fontId="0" fillId="0" borderId="0" xfId="2" applyFont="1" applyFill="1"/>
    <xf numFmtId="44" fontId="0" fillId="0" borderId="0" xfId="0" applyNumberFormat="1"/>
    <xf numFmtId="44" fontId="0" fillId="0" borderId="19" xfId="2" applyFont="1" applyFill="1" applyBorder="1"/>
    <xf numFmtId="44" fontId="0" fillId="0" borderId="19" xfId="0" applyNumberFormat="1" applyBorder="1"/>
    <xf numFmtId="43" fontId="0" fillId="0" borderId="0" xfId="1" applyFont="1" applyFill="1"/>
    <xf numFmtId="14" fontId="2" fillId="0" borderId="0" xfId="1" applyNumberFormat="1" applyFont="1" applyFill="1" applyAlignment="1">
      <alignment horizontal="center"/>
    </xf>
    <xf numFmtId="43" fontId="2" fillId="0" borderId="0" xfId="1" applyFont="1" applyFill="1" applyBorder="1" applyAlignment="1">
      <alignment horizontal="center"/>
    </xf>
    <xf numFmtId="43" fontId="2" fillId="0" borderId="0" xfId="0" applyNumberFormat="1" applyFont="1" applyAlignment="1">
      <alignment horizontal="center"/>
    </xf>
    <xf numFmtId="43" fontId="2" fillId="0" borderId="0" xfId="1" applyFont="1" applyFill="1" applyAlignment="1">
      <alignment horizontal="center"/>
    </xf>
    <xf numFmtId="0" fontId="2" fillId="0" borderId="0" xfId="1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3" fillId="0" borderId="0" xfId="11" applyFont="1"/>
    <xf numFmtId="4" fontId="0" fillId="10" borderId="0" xfId="12" applyNumberFormat="1" applyFont="1" applyFill="1" applyBorder="1"/>
    <xf numFmtId="43" fontId="23" fillId="0" borderId="0" xfId="1" applyFont="1" applyFill="1"/>
    <xf numFmtId="4" fontId="0" fillId="0" borderId="0" xfId="0" applyNumberFormat="1"/>
    <xf numFmtId="4" fontId="2" fillId="0" borderId="0" xfId="12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12" applyNumberFormat="1" applyFont="1" applyFill="1" applyBorder="1" applyAlignment="1">
      <alignment horizontal="center" wrapText="1"/>
    </xf>
    <xf numFmtId="4" fontId="0" fillId="10" borderId="0" xfId="0" applyNumberFormat="1" applyFill="1"/>
    <xf numFmtId="43" fontId="0" fillId="10" borderId="0" xfId="0" applyNumberFormat="1" applyFill="1"/>
    <xf numFmtId="4" fontId="0" fillId="0" borderId="0" xfId="12" applyNumberFormat="1" applyFont="1" applyFill="1" applyBorder="1"/>
    <xf numFmtId="0" fontId="0" fillId="0" borderId="0" xfId="0" quotePrefix="1"/>
    <xf numFmtId="2" fontId="0" fillId="0" borderId="0" xfId="0" applyNumberFormat="1"/>
    <xf numFmtId="0" fontId="24" fillId="17" borderId="0" xfId="13" applyFill="1"/>
    <xf numFmtId="0" fontId="25" fillId="17" borderId="0" xfId="13" applyFont="1" applyFill="1"/>
    <xf numFmtId="0" fontId="25" fillId="17" borderId="15" xfId="13" applyFont="1" applyFill="1" applyBorder="1"/>
    <xf numFmtId="0" fontId="25" fillId="0" borderId="22" xfId="13" applyFont="1" applyFill="1" applyBorder="1"/>
    <xf numFmtId="0" fontId="25" fillId="0" borderId="0" xfId="13" applyFont="1" applyFill="1" applyAlignment="1">
      <alignment horizontal="center"/>
    </xf>
    <xf numFmtId="0" fontId="25" fillId="0" borderId="0" xfId="13" applyFont="1" applyFill="1"/>
    <xf numFmtId="0" fontId="28" fillId="2" borderId="5" xfId="15" applyNumberFormat="1" applyFont="1" applyBorder="1" applyAlignment="1">
      <alignment horizontal="centerContinuous"/>
    </xf>
    <xf numFmtId="0" fontId="29" fillId="2" borderId="6" xfId="15" applyNumberFormat="1" applyFont="1" applyBorder="1" applyAlignment="1">
      <alignment horizontal="centerContinuous"/>
    </xf>
    <xf numFmtId="0" fontId="29" fillId="2" borderId="6" xfId="15" applyNumberFormat="1" applyFont="1" applyBorder="1" applyAlignment="1">
      <alignment horizontal="left"/>
    </xf>
    <xf numFmtId="0" fontId="30" fillId="2" borderId="7" xfId="15" applyNumberFormat="1" applyFont="1" applyBorder="1" applyAlignment="1">
      <alignment horizontal="centerContinuous"/>
    </xf>
    <xf numFmtId="0" fontId="24" fillId="16" borderId="0" xfId="13"/>
    <xf numFmtId="0" fontId="24" fillId="16" borderId="22" xfId="13" applyBorder="1"/>
    <xf numFmtId="0" fontId="31" fillId="16" borderId="1" xfId="13" applyFont="1" applyBorder="1" applyAlignment="1">
      <alignment horizontal="centerContinuous"/>
    </xf>
    <xf numFmtId="0" fontId="31" fillId="16" borderId="2" xfId="13" applyFont="1" applyBorder="1" applyAlignment="1">
      <alignment horizontal="centerContinuous"/>
    </xf>
    <xf numFmtId="0" fontId="24" fillId="16" borderId="2" xfId="13" applyBorder="1" applyAlignment="1">
      <alignment horizontal="centerContinuous"/>
    </xf>
    <xf numFmtId="0" fontId="32" fillId="16" borderId="23" xfId="13" applyFont="1" applyBorder="1"/>
    <xf numFmtId="0" fontId="32" fillId="16" borderId="0" xfId="13" applyFont="1"/>
    <xf numFmtId="0" fontId="33" fillId="18" borderId="0" xfId="13" applyFont="1" applyFill="1" applyAlignment="1">
      <alignment horizontal="center"/>
    </xf>
    <xf numFmtId="0" fontId="34" fillId="18" borderId="0" xfId="13" applyFont="1" applyFill="1" applyAlignment="1">
      <alignment horizontal="center"/>
    </xf>
    <xf numFmtId="0" fontId="24" fillId="16" borderId="0" xfId="13" applyAlignment="1">
      <alignment horizontal="center"/>
    </xf>
    <xf numFmtId="0" fontId="29" fillId="2" borderId="24" xfId="15" applyNumberFormat="1" applyFont="1" applyBorder="1" applyAlignment="1">
      <alignment horizontal="left"/>
    </xf>
    <xf numFmtId="0" fontId="24" fillId="19" borderId="0" xfId="13" applyFill="1"/>
    <xf numFmtId="0" fontId="32" fillId="16" borderId="22" xfId="13" applyFont="1" applyBorder="1"/>
    <xf numFmtId="0" fontId="35" fillId="17" borderId="0" xfId="13" applyFont="1" applyFill="1"/>
    <xf numFmtId="0" fontId="36" fillId="16" borderId="25" xfId="13" applyFont="1" applyBorder="1" applyAlignment="1">
      <alignment horizontal="right"/>
    </xf>
    <xf numFmtId="41" fontId="32" fillId="0" borderId="4" xfId="16" applyFont="1" applyFill="1" applyBorder="1">
      <alignment horizontal="left"/>
    </xf>
    <xf numFmtId="0" fontId="36" fillId="16" borderId="22" xfId="13" applyFont="1" applyBorder="1"/>
    <xf numFmtId="0" fontId="36" fillId="16" borderId="0" xfId="13" applyFont="1"/>
    <xf numFmtId="0" fontId="38" fillId="18" borderId="0" xfId="13" applyFont="1" applyFill="1" applyAlignment="1">
      <alignment horizontal="center"/>
    </xf>
    <xf numFmtId="0" fontId="38" fillId="18" borderId="0" xfId="14" applyNumberFormat="1" applyFont="1" applyFill="1" applyAlignment="1">
      <alignment horizontal="center"/>
    </xf>
    <xf numFmtId="41" fontId="24" fillId="17" borderId="0" xfId="13" applyNumberFormat="1" applyFill="1"/>
    <xf numFmtId="0" fontId="37" fillId="16" borderId="0" xfId="13" applyFont="1"/>
    <xf numFmtId="41" fontId="32" fillId="0" borderId="2" xfId="16" applyFont="1" applyFill="1" applyBorder="1">
      <alignment horizontal="left"/>
    </xf>
    <xf numFmtId="0" fontId="36" fillId="16" borderId="3" xfId="13" applyFont="1" applyBorder="1"/>
    <xf numFmtId="0" fontId="33" fillId="18" borderId="19" xfId="13" applyFont="1" applyFill="1" applyBorder="1"/>
    <xf numFmtId="0" fontId="38" fillId="18" borderId="19" xfId="13" applyFont="1" applyFill="1" applyBorder="1" applyAlignment="1">
      <alignment horizontal="center"/>
    </xf>
    <xf numFmtId="0" fontId="38" fillId="18" borderId="19" xfId="13" applyFont="1" applyFill="1" applyBorder="1"/>
    <xf numFmtId="0" fontId="24" fillId="16" borderId="26" xfId="13" applyBorder="1" applyAlignment="1">
      <alignment horizontal="center"/>
    </xf>
    <xf numFmtId="2" fontId="24" fillId="16" borderId="26" xfId="13" applyNumberFormat="1" applyBorder="1" applyAlignment="1">
      <alignment horizontal="center"/>
    </xf>
    <xf numFmtId="173" fontId="24" fillId="16" borderId="27" xfId="13" applyNumberFormat="1" applyBorder="1"/>
    <xf numFmtId="10" fontId="39" fillId="16" borderId="27" xfId="13" applyNumberFormat="1" applyFont="1" applyBorder="1"/>
    <xf numFmtId="41" fontId="24" fillId="16" borderId="28" xfId="13" applyNumberFormat="1" applyBorder="1"/>
    <xf numFmtId="41" fontId="24" fillId="16" borderId="26" xfId="13" applyNumberFormat="1" applyBorder="1"/>
    <xf numFmtId="41" fontId="24" fillId="16" borderId="27" xfId="13" applyNumberFormat="1" applyBorder="1"/>
    <xf numFmtId="0" fontId="36" fillId="16" borderId="29" xfId="13" applyFont="1" applyBorder="1" applyAlignment="1">
      <alignment horizontal="center"/>
    </xf>
    <xf numFmtId="0" fontId="36" fillId="16" borderId="0" xfId="13" applyFont="1" applyAlignment="1">
      <alignment horizontal="right"/>
    </xf>
    <xf numFmtId="41" fontId="36" fillId="16" borderId="0" xfId="13" applyNumberFormat="1" applyFont="1"/>
    <xf numFmtId="0" fontId="40" fillId="16" borderId="22" xfId="13" applyFont="1" applyBorder="1" applyAlignment="1">
      <alignment horizontal="center"/>
    </xf>
    <xf numFmtId="2" fontId="24" fillId="16" borderId="22" xfId="13" applyNumberFormat="1" applyBorder="1" applyAlignment="1">
      <alignment horizontal="center"/>
    </xf>
    <xf numFmtId="173" fontId="24" fillId="16" borderId="0" xfId="13" applyNumberFormat="1"/>
    <xf numFmtId="10" fontId="39" fillId="16" borderId="0" xfId="13" applyNumberFormat="1" applyFont="1"/>
    <xf numFmtId="41" fontId="24" fillId="16" borderId="30" xfId="13" applyNumberFormat="1" applyBorder="1"/>
    <xf numFmtId="41" fontId="24" fillId="16" borderId="22" xfId="13" applyNumberFormat="1" applyBorder="1"/>
    <xf numFmtId="41" fontId="24" fillId="16" borderId="0" xfId="13" applyNumberFormat="1"/>
    <xf numFmtId="10" fontId="32" fillId="0" borderId="2" xfId="17" applyFont="1" applyFill="1" applyBorder="1"/>
    <xf numFmtId="0" fontId="36" fillId="16" borderId="25" xfId="13" applyFont="1" applyBorder="1" applyAlignment="1">
      <alignment horizontal="center"/>
    </xf>
    <xf numFmtId="41" fontId="32" fillId="16" borderId="0" xfId="13" applyNumberFormat="1" applyFont="1"/>
    <xf numFmtId="0" fontId="24" fillId="16" borderId="22" xfId="13" applyBorder="1" applyAlignment="1">
      <alignment horizontal="center"/>
    </xf>
    <xf numFmtId="41" fontId="36" fillId="16" borderId="16" xfId="13" applyNumberFormat="1" applyFont="1" applyBorder="1"/>
    <xf numFmtId="5" fontId="36" fillId="16" borderId="16" xfId="13" applyNumberFormat="1" applyFont="1" applyBorder="1"/>
    <xf numFmtId="0" fontId="24" fillId="16" borderId="3" xfId="13" applyBorder="1" applyAlignment="1">
      <alignment horizontal="center"/>
    </xf>
    <xf numFmtId="0" fontId="38" fillId="16" borderId="25" xfId="13" applyFont="1" applyBorder="1" applyAlignment="1">
      <alignment horizontal="right"/>
    </xf>
    <xf numFmtId="174" fontId="32" fillId="0" borderId="2" xfId="17" applyNumberFormat="1" applyFont="1" applyFill="1" applyBorder="1"/>
    <xf numFmtId="173" fontId="40" fillId="16" borderId="0" xfId="13" applyNumberFormat="1" applyFont="1"/>
    <xf numFmtId="0" fontId="36" fillId="16" borderId="31" xfId="13" applyFont="1" applyBorder="1" applyAlignment="1">
      <alignment horizontal="right"/>
    </xf>
    <xf numFmtId="41" fontId="36" fillId="16" borderId="32" xfId="13" applyNumberFormat="1" applyFont="1" applyBorder="1"/>
    <xf numFmtId="173" fontId="24" fillId="16" borderId="19" xfId="13" applyNumberFormat="1" applyBorder="1"/>
    <xf numFmtId="10" fontId="32" fillId="0" borderId="33" xfId="17" applyFont="1" applyFill="1" applyBorder="1"/>
    <xf numFmtId="10" fontId="36" fillId="16" borderId="0" xfId="13" applyNumberFormat="1" applyFont="1" applyAlignment="1">
      <alignment horizontal="right"/>
    </xf>
    <xf numFmtId="41" fontId="32" fillId="20" borderId="0" xfId="18" applyFont="1" applyAlignment="1">
      <alignment horizontal="right"/>
    </xf>
    <xf numFmtId="0" fontId="24" fillId="16" borderId="0" xfId="13" applyAlignment="1">
      <alignment horizontal="right"/>
    </xf>
    <xf numFmtId="0" fontId="24" fillId="16" borderId="34" xfId="13" applyBorder="1" applyAlignment="1">
      <alignment horizontal="center"/>
    </xf>
    <xf numFmtId="2" fontId="24" fillId="16" borderId="34" xfId="13" applyNumberFormat="1" applyBorder="1" applyAlignment="1">
      <alignment horizontal="center"/>
    </xf>
    <xf numFmtId="41" fontId="24" fillId="16" borderId="35" xfId="13" applyNumberFormat="1" applyBorder="1"/>
    <xf numFmtId="41" fontId="24" fillId="16" borderId="34" xfId="13" applyNumberFormat="1" applyBorder="1"/>
    <xf numFmtId="0" fontId="36" fillId="16" borderId="36" xfId="13" applyFont="1" applyBorder="1" applyAlignment="1">
      <alignment horizontal="right"/>
    </xf>
    <xf numFmtId="0" fontId="32" fillId="17" borderId="0" xfId="13" applyFont="1" applyFill="1"/>
    <xf numFmtId="0" fontId="33" fillId="18" borderId="34" xfId="13" applyFont="1" applyFill="1" applyBorder="1" applyAlignment="1">
      <alignment horizontal="left"/>
    </xf>
    <xf numFmtId="0" fontId="24" fillId="16" borderId="27" xfId="13" applyBorder="1"/>
    <xf numFmtId="0" fontId="24" fillId="16" borderId="35" xfId="13" applyBorder="1"/>
    <xf numFmtId="0" fontId="41" fillId="16" borderId="0" xfId="13" applyFont="1" applyAlignment="1">
      <alignment horizontal="left"/>
    </xf>
    <xf numFmtId="41" fontId="36" fillId="16" borderId="30" xfId="13" applyNumberFormat="1" applyFont="1" applyBorder="1"/>
    <xf numFmtId="10" fontId="41" fillId="16" borderId="0" xfId="19" applyNumberFormat="1" applyFont="1" applyFill="1" applyBorder="1" applyAlignment="1">
      <alignment horizontal="left"/>
    </xf>
    <xf numFmtId="0" fontId="38" fillId="16" borderId="0" xfId="13" applyFont="1" applyAlignment="1">
      <alignment horizontal="right"/>
    </xf>
    <xf numFmtId="41" fontId="38" fillId="16" borderId="38" xfId="13" applyNumberFormat="1" applyFont="1" applyBorder="1"/>
    <xf numFmtId="41" fontId="38" fillId="16" borderId="39" xfId="13" applyNumberFormat="1" applyFont="1" applyBorder="1"/>
    <xf numFmtId="9" fontId="24" fillId="17" borderId="0" xfId="6" applyFont="1" applyFill="1"/>
    <xf numFmtId="0" fontId="24" fillId="16" borderId="3" xfId="13" applyBorder="1"/>
    <xf numFmtId="0" fontId="24" fillId="16" borderId="19" xfId="13" applyBorder="1"/>
    <xf numFmtId="0" fontId="36" fillId="16" borderId="19" xfId="13" applyFont="1" applyBorder="1" applyAlignment="1">
      <alignment horizontal="right" vertical="center"/>
    </xf>
    <xf numFmtId="10" fontId="38" fillId="16" borderId="19" xfId="13" applyNumberFormat="1" applyFont="1" applyBorder="1" applyAlignment="1">
      <alignment horizontal="center" vertical="center"/>
    </xf>
    <xf numFmtId="0" fontId="24" fillId="16" borderId="4" xfId="13" applyBorder="1"/>
    <xf numFmtId="0" fontId="42" fillId="17" borderId="0" xfId="14" applyNumberFormat="1" applyFont="1" applyFill="1"/>
    <xf numFmtId="0" fontId="26" fillId="17" borderId="0" xfId="14" applyNumberFormat="1" applyFill="1"/>
    <xf numFmtId="0" fontId="32" fillId="17" borderId="0" xfId="14" applyNumberFormat="1" applyFont="1" applyFill="1"/>
    <xf numFmtId="0" fontId="33" fillId="18" borderId="0" xfId="13" applyFont="1" applyFill="1" applyAlignment="1">
      <alignment horizontal="left"/>
    </xf>
    <xf numFmtId="0" fontId="33" fillId="20" borderId="0" xfId="13" applyFont="1" applyFill="1" applyAlignment="1">
      <alignment horizontal="centerContinuous"/>
    </xf>
    <xf numFmtId="0" fontId="43" fillId="16" borderId="0" xfId="13" applyFont="1" applyAlignment="1">
      <alignment horizontal="right"/>
    </xf>
    <xf numFmtId="41" fontId="43" fillId="16" borderId="0" xfId="13" applyNumberFormat="1" applyFont="1" applyAlignment="1">
      <alignment horizontal="center"/>
    </xf>
    <xf numFmtId="0" fontId="43" fillId="16" borderId="0" xfId="13" applyFont="1" applyAlignment="1">
      <alignment horizontal="center"/>
    </xf>
    <xf numFmtId="37" fontId="24" fillId="16" borderId="0" xfId="13" applyNumberFormat="1"/>
    <xf numFmtId="39" fontId="24" fillId="16" borderId="0" xfId="13" applyNumberFormat="1"/>
    <xf numFmtId="10" fontId="36" fillId="16" borderId="0" xfId="13" applyNumberFormat="1" applyFont="1" applyAlignment="1">
      <alignment horizontal="center"/>
    </xf>
    <xf numFmtId="41" fontId="36" fillId="16" borderId="0" xfId="13" applyNumberFormat="1" applyFont="1" applyProtection="1">
      <protection locked="0"/>
    </xf>
    <xf numFmtId="41" fontId="36" fillId="16" borderId="19" xfId="13" applyNumberFormat="1" applyFont="1" applyBorder="1" applyProtection="1">
      <protection locked="0"/>
    </xf>
    <xf numFmtId="41" fontId="36" fillId="16" borderId="40" xfId="13" applyNumberFormat="1" applyFont="1" applyBorder="1"/>
    <xf numFmtId="0" fontId="32" fillId="16" borderId="0" xfId="13" applyFont="1" applyAlignment="1">
      <alignment horizontal="right"/>
    </xf>
    <xf numFmtId="10" fontId="36" fillId="16" borderId="40" xfId="13" applyNumberFormat="1" applyFont="1" applyBorder="1" applyAlignment="1">
      <alignment horizontal="center"/>
    </xf>
    <xf numFmtId="5" fontId="24" fillId="17" borderId="0" xfId="13" applyNumberFormat="1" applyFill="1"/>
    <xf numFmtId="0" fontId="38" fillId="16" borderId="0" xfId="13" applyFont="1" applyAlignment="1">
      <alignment horizontal="center"/>
    </xf>
    <xf numFmtId="0" fontId="44" fillId="16" borderId="0" xfId="13" applyFont="1"/>
    <xf numFmtId="0" fontId="38" fillId="16" borderId="0" xfId="13" applyFont="1"/>
    <xf numFmtId="0" fontId="44" fillId="16" borderId="0" xfId="13" applyFont="1" applyAlignment="1">
      <alignment horizontal="right"/>
    </xf>
    <xf numFmtId="10" fontId="36" fillId="16" borderId="0" xfId="13" applyNumberFormat="1" applyFont="1"/>
    <xf numFmtId="10" fontId="24" fillId="17" borderId="0" xfId="13" applyNumberFormat="1" applyFill="1"/>
    <xf numFmtId="0" fontId="36" fillId="16" borderId="0" xfId="13" quotePrefix="1" applyFont="1" applyAlignment="1">
      <alignment horizontal="left"/>
    </xf>
    <xf numFmtId="175" fontId="24" fillId="16" borderId="0" xfId="13" applyNumberFormat="1"/>
    <xf numFmtId="0" fontId="45" fillId="16" borderId="0" xfId="13" applyFont="1"/>
    <xf numFmtId="39" fontId="36" fillId="16" borderId="0" xfId="13" applyNumberFormat="1" applyFont="1"/>
    <xf numFmtId="0" fontId="24" fillId="16" borderId="25" xfId="13" applyBorder="1"/>
    <xf numFmtId="0" fontId="46" fillId="16" borderId="0" xfId="13" applyFont="1"/>
    <xf numFmtId="0" fontId="24" fillId="16" borderId="34" xfId="13" applyBorder="1" applyAlignment="1">
      <alignment horizontal="centerContinuous"/>
    </xf>
    <xf numFmtId="0" fontId="24" fillId="16" borderId="35" xfId="13" applyBorder="1" applyAlignment="1">
      <alignment horizontal="centerContinuous"/>
    </xf>
    <xf numFmtId="10" fontId="37" fillId="20" borderId="0" xfId="20"/>
    <xf numFmtId="0" fontId="38" fillId="16" borderId="19" xfId="13" applyFont="1" applyBorder="1" applyAlignment="1">
      <alignment horizontal="right"/>
    </xf>
    <xf numFmtId="0" fontId="38" fillId="16" borderId="19" xfId="13" applyFont="1" applyBorder="1" applyAlignment="1">
      <alignment horizontal="center"/>
    </xf>
    <xf numFmtId="0" fontId="24" fillId="16" borderId="22" xfId="13" applyBorder="1" applyAlignment="1">
      <alignment horizontal="centerContinuous"/>
    </xf>
    <xf numFmtId="0" fontId="24" fillId="16" borderId="30" xfId="13" applyBorder="1" applyAlignment="1">
      <alignment horizontal="centerContinuous"/>
    </xf>
    <xf numFmtId="0" fontId="24" fillId="16" borderId="30" xfId="13" applyBorder="1"/>
    <xf numFmtId="0" fontId="47" fillId="16" borderId="0" xfId="13" applyFont="1"/>
    <xf numFmtId="174" fontId="36" fillId="16" borderId="0" xfId="13" applyNumberFormat="1" applyFont="1"/>
    <xf numFmtId="166" fontId="36" fillId="16" borderId="0" xfId="13" applyNumberFormat="1" applyFont="1" applyProtection="1">
      <protection locked="0"/>
    </xf>
    <xf numFmtId="0" fontId="24" fillId="16" borderId="30" xfId="13" applyBorder="1" applyAlignment="1">
      <alignment horizontal="center"/>
    </xf>
    <xf numFmtId="0" fontId="24" fillId="16" borderId="0" xfId="13" quotePrefix="1" applyAlignment="1">
      <alignment horizontal="right"/>
    </xf>
    <xf numFmtId="10" fontId="24" fillId="16" borderId="30" xfId="13" applyNumberFormat="1" applyBorder="1"/>
    <xf numFmtId="10" fontId="24" fillId="16" borderId="0" xfId="13" applyNumberFormat="1" applyAlignment="1">
      <alignment horizontal="center"/>
    </xf>
    <xf numFmtId="10" fontId="24" fillId="16" borderId="30" xfId="19" applyNumberFormat="1" applyFont="1" applyFill="1" applyBorder="1"/>
    <xf numFmtId="0" fontId="24" fillId="16" borderId="4" xfId="13" applyBorder="1" applyAlignment="1">
      <alignment horizontal="center"/>
    </xf>
    <xf numFmtId="174" fontId="36" fillId="16" borderId="40" xfId="13" applyNumberFormat="1" applyFont="1" applyBorder="1"/>
    <xf numFmtId="0" fontId="24" fillId="16" borderId="27" xfId="13" quotePrefix="1" applyBorder="1" applyAlignment="1">
      <alignment horizontal="left"/>
    </xf>
    <xf numFmtId="174" fontId="32" fillId="16" borderId="0" xfId="13" applyNumberFormat="1" applyFont="1"/>
    <xf numFmtId="0" fontId="24" fillId="16" borderId="0" xfId="13" quotePrefix="1" applyAlignment="1">
      <alignment horizontal="left"/>
    </xf>
    <xf numFmtId="0" fontId="48" fillId="17" borderId="0" xfId="13" applyFont="1" applyFill="1"/>
    <xf numFmtId="2" fontId="48" fillId="17" borderId="0" xfId="13" applyNumberFormat="1" applyFont="1" applyFill="1"/>
    <xf numFmtId="10" fontId="24" fillId="16" borderId="3" xfId="13" applyNumberFormat="1" applyBorder="1" applyAlignment="1">
      <alignment horizontal="center"/>
    </xf>
    <xf numFmtId="0" fontId="24" fillId="16" borderId="19" xfId="13" quotePrefix="1" applyBorder="1" applyAlignment="1">
      <alignment horizontal="left"/>
    </xf>
    <xf numFmtId="0" fontId="49" fillId="16" borderId="4" xfId="13" applyFont="1" applyBorder="1"/>
    <xf numFmtId="0" fontId="49" fillId="17" borderId="0" xfId="13" applyFont="1" applyFill="1"/>
    <xf numFmtId="176" fontId="24" fillId="16" borderId="0" xfId="13" applyNumberFormat="1"/>
    <xf numFmtId="0" fontId="27" fillId="16" borderId="0" xfId="13" applyFont="1" applyAlignment="1">
      <alignment horizontal="centerContinuous"/>
    </xf>
    <xf numFmtId="0" fontId="24" fillId="16" borderId="0" xfId="13" applyAlignment="1">
      <alignment horizontal="centerContinuous"/>
    </xf>
    <xf numFmtId="0" fontId="24" fillId="17" borderId="0" xfId="13" applyFill="1" applyAlignment="1">
      <alignment horizontal="right"/>
    </xf>
    <xf numFmtId="0" fontId="24" fillId="16" borderId="34" xfId="13" applyBorder="1"/>
    <xf numFmtId="0" fontId="50" fillId="16" borderId="27" xfId="13" applyFont="1" applyBorder="1" applyAlignment="1">
      <alignment horizontal="center"/>
    </xf>
    <xf numFmtId="0" fontId="50" fillId="16" borderId="35" xfId="13" applyFont="1" applyBorder="1" applyAlignment="1">
      <alignment horizontal="center"/>
    </xf>
    <xf numFmtId="0" fontId="24" fillId="16" borderId="34" xfId="13" applyBorder="1" applyAlignment="1">
      <alignment horizontal="left"/>
    </xf>
    <xf numFmtId="171" fontId="51" fillId="16" borderId="27" xfId="13" applyNumberFormat="1" applyFont="1" applyBorder="1" applyAlignment="1">
      <alignment horizontal="center"/>
    </xf>
    <xf numFmtId="0" fontId="24" fillId="16" borderId="27" xfId="13" applyBorder="1" applyAlignment="1">
      <alignment horizontal="left"/>
    </xf>
    <xf numFmtId="171" fontId="51" fillId="16" borderId="35" xfId="13" applyNumberFormat="1" applyFont="1" applyBorder="1" applyAlignment="1">
      <alignment horizontal="center"/>
    </xf>
    <xf numFmtId="10" fontId="24" fillId="16" borderId="30" xfId="13" applyNumberFormat="1" applyBorder="1" applyAlignment="1">
      <alignment horizontal="center"/>
    </xf>
    <xf numFmtId="0" fontId="24" fillId="16" borderId="22" xfId="13" applyBorder="1" applyAlignment="1">
      <alignment horizontal="left"/>
    </xf>
    <xf numFmtId="171" fontId="51" fillId="16" borderId="0" xfId="13" applyNumberFormat="1" applyFont="1" applyAlignment="1">
      <alignment horizontal="center"/>
    </xf>
    <xf numFmtId="0" fontId="24" fillId="16" borderId="0" xfId="13" applyAlignment="1">
      <alignment horizontal="left"/>
    </xf>
    <xf numFmtId="171" fontId="51" fillId="16" borderId="30" xfId="13" applyNumberFormat="1" applyFont="1" applyBorder="1" applyAlignment="1">
      <alignment horizontal="center"/>
    </xf>
    <xf numFmtId="0" fontId="52" fillId="16" borderId="0" xfId="13" applyFont="1" applyAlignment="1">
      <alignment horizontal="centerContinuous"/>
    </xf>
    <xf numFmtId="171" fontId="24" fillId="16" borderId="30" xfId="13" applyNumberFormat="1" applyBorder="1" applyAlignment="1">
      <alignment horizontal="center"/>
    </xf>
    <xf numFmtId="0" fontId="49" fillId="17" borderId="0" xfId="13" applyFont="1" applyFill="1" applyAlignment="1">
      <alignment horizontal="fill"/>
    </xf>
    <xf numFmtId="10" fontId="24" fillId="16" borderId="19" xfId="13" applyNumberFormat="1" applyBorder="1" applyAlignment="1">
      <alignment horizontal="center"/>
    </xf>
    <xf numFmtId="10" fontId="53" fillId="20" borderId="0" xfId="20" applyFont="1"/>
    <xf numFmtId="174" fontId="53" fillId="20" borderId="30" xfId="20" applyNumberFormat="1" applyFont="1" applyBorder="1"/>
    <xf numFmtId="0" fontId="24" fillId="16" borderId="19" xfId="13" applyBorder="1" applyAlignment="1">
      <alignment horizontal="right"/>
    </xf>
    <xf numFmtId="171" fontId="51" fillId="16" borderId="19" xfId="13" applyNumberFormat="1" applyFont="1" applyBorder="1" applyAlignment="1">
      <alignment horizontal="left"/>
    </xf>
    <xf numFmtId="171" fontId="24" fillId="16" borderId="4" xfId="13" applyNumberFormat="1" applyBorder="1" applyAlignment="1">
      <alignment horizontal="center"/>
    </xf>
    <xf numFmtId="10" fontId="53" fillId="20" borderId="19" xfId="20" applyFont="1" applyBorder="1"/>
    <xf numFmtId="10" fontId="53" fillId="20" borderId="4" xfId="20" applyFont="1" applyBorder="1"/>
    <xf numFmtId="171" fontId="24" fillId="16" borderId="0" xfId="13" applyNumberFormat="1"/>
    <xf numFmtId="0" fontId="54" fillId="16" borderId="0" xfId="13" applyFont="1"/>
    <xf numFmtId="0" fontId="24" fillId="16" borderId="27" xfId="13" quotePrefix="1" applyBorder="1" applyAlignment="1">
      <alignment horizontal="right"/>
    </xf>
    <xf numFmtId="0" fontId="24" fillId="16" borderId="35" xfId="13" quotePrefix="1" applyBorder="1" applyAlignment="1">
      <alignment horizontal="right"/>
    </xf>
    <xf numFmtId="0" fontId="55" fillId="16" borderId="0" xfId="13" applyFont="1"/>
    <xf numFmtId="0" fontId="55" fillId="16" borderId="30" xfId="13" applyFont="1" applyBorder="1"/>
    <xf numFmtId="0" fontId="24" fillId="20" borderId="0" xfId="13" applyFill="1"/>
    <xf numFmtId="0" fontId="24" fillId="16" borderId="19" xfId="13" quotePrefix="1" applyBorder="1" applyAlignment="1">
      <alignment horizontal="right"/>
    </xf>
    <xf numFmtId="10" fontId="24" fillId="16" borderId="4" xfId="13" applyNumberFormat="1" applyBorder="1"/>
    <xf numFmtId="0" fontId="31" fillId="16" borderId="41" xfId="13" applyFont="1" applyBorder="1" applyAlignment="1">
      <alignment horizontal="centerContinuous"/>
    </xf>
    <xf numFmtId="0" fontId="31" fillId="16" borderId="33" xfId="13" applyFont="1" applyBorder="1" applyAlignment="1">
      <alignment horizontal="centerContinuous"/>
    </xf>
    <xf numFmtId="0" fontId="24" fillId="16" borderId="33" xfId="13" applyBorder="1" applyAlignment="1">
      <alignment horizontal="centerContinuous"/>
    </xf>
    <xf numFmtId="41" fontId="32" fillId="0" borderId="33" xfId="16" applyFont="1" applyFill="1" applyBorder="1">
      <alignment horizontal="left"/>
    </xf>
    <xf numFmtId="0" fontId="36" fillId="16" borderId="42" xfId="13" applyFont="1" applyBorder="1" applyAlignment="1">
      <alignment horizontal="center"/>
    </xf>
    <xf numFmtId="41" fontId="36" fillId="16" borderId="37" xfId="13" applyNumberFormat="1" applyFont="1" applyBorder="1"/>
    <xf numFmtId="5" fontId="36" fillId="16" borderId="37" xfId="13" applyNumberFormat="1" applyFont="1" applyBorder="1"/>
    <xf numFmtId="174" fontId="32" fillId="0" borderId="33" xfId="17" applyNumberFormat="1" applyFont="1" applyFill="1" applyBorder="1"/>
    <xf numFmtId="41" fontId="36" fillId="16" borderId="43" xfId="13" applyNumberFormat="1" applyFont="1" applyBorder="1"/>
    <xf numFmtId="0" fontId="36" fillId="16" borderId="44" xfId="13" applyFont="1" applyBorder="1" applyAlignment="1">
      <alignment horizontal="right"/>
    </xf>
    <xf numFmtId="174" fontId="23" fillId="21" borderId="0" xfId="21" applyNumberFormat="1" applyFont="1" applyFill="1"/>
    <xf numFmtId="0" fontId="23" fillId="21" borderId="0" xfId="21" applyFont="1" applyFill="1"/>
    <xf numFmtId="177" fontId="23" fillId="21" borderId="0" xfId="6" applyNumberFormat="1" applyFont="1" applyFill="1" applyBorder="1"/>
    <xf numFmtId="0" fontId="31" fillId="16" borderId="45" xfId="13" applyFont="1" applyBorder="1" applyAlignment="1">
      <alignment horizontal="centerContinuous"/>
    </xf>
    <xf numFmtId="177" fontId="23" fillId="0" borderId="0" xfId="6" applyNumberFormat="1" applyFont="1" applyFill="1" applyBorder="1"/>
    <xf numFmtId="0" fontId="23" fillId="0" borderId="0" xfId="21" applyFont="1"/>
    <xf numFmtId="174" fontId="23" fillId="0" borderId="0" xfId="21" applyNumberFormat="1" applyFont="1"/>
    <xf numFmtId="0" fontId="10" fillId="7" borderId="0" xfId="4" applyFont="1" applyFill="1" applyAlignment="1">
      <alignment horizontal="center" wrapText="1"/>
    </xf>
    <xf numFmtId="0" fontId="0" fillId="7" borderId="0" xfId="0" applyFill="1"/>
    <xf numFmtId="44" fontId="0" fillId="7" borderId="0" xfId="0" applyNumberFormat="1" applyFill="1"/>
    <xf numFmtId="44" fontId="0" fillId="7" borderId="19" xfId="0" applyNumberFormat="1" applyFill="1" applyBorder="1"/>
    <xf numFmtId="10" fontId="0" fillId="7" borderId="0" xfId="3" applyNumberFormat="1" applyFont="1" applyFill="1"/>
    <xf numFmtId="0" fontId="4" fillId="7" borderId="0" xfId="0" applyFont="1" applyFill="1"/>
    <xf numFmtId="0" fontId="7" fillId="7" borderId="0" xfId="4" applyFont="1" applyFill="1"/>
    <xf numFmtId="164" fontId="7" fillId="7" borderId="0" xfId="4" applyNumberFormat="1" applyFont="1" applyFill="1"/>
    <xf numFmtId="0" fontId="13" fillId="7" borderId="0" xfId="4" applyFont="1" applyFill="1"/>
    <xf numFmtId="164" fontId="4" fillId="7" borderId="0" xfId="0" applyNumberFormat="1" applyFont="1" applyFill="1"/>
    <xf numFmtId="10" fontId="4" fillId="7" borderId="0" xfId="3" applyNumberFormat="1" applyFont="1" applyFill="1"/>
    <xf numFmtId="0" fontId="5" fillId="7" borderId="0" xfId="0" applyFont="1" applyFill="1" applyAlignment="1">
      <alignment wrapText="1"/>
    </xf>
    <xf numFmtId="0" fontId="5" fillId="7" borderId="0" xfId="0" applyFont="1" applyFill="1" applyAlignment="1">
      <alignment horizontal="center" wrapText="1"/>
    </xf>
    <xf numFmtId="168" fontId="14" fillId="7" borderId="16" xfId="7" applyNumberFormat="1" applyFont="1" applyFill="1" applyBorder="1"/>
    <xf numFmtId="166" fontId="7" fillId="7" borderId="0" xfId="4" applyNumberFormat="1" applyFont="1" applyFill="1"/>
    <xf numFmtId="43" fontId="7" fillId="7" borderId="0" xfId="4" applyNumberFormat="1" applyFont="1" applyFill="1"/>
    <xf numFmtId="168" fontId="4" fillId="0" borderId="0" xfId="0" applyNumberFormat="1" applyFont="1"/>
    <xf numFmtId="43" fontId="0" fillId="6" borderId="0" xfId="1" applyFont="1" applyFill="1"/>
    <xf numFmtId="43" fontId="0" fillId="22" borderId="0" xfId="1" applyFont="1" applyFill="1"/>
    <xf numFmtId="4" fontId="0" fillId="6" borderId="0" xfId="12" applyNumberFormat="1" applyFont="1" applyFill="1" applyBorder="1"/>
    <xf numFmtId="43" fontId="23" fillId="6" borderId="0" xfId="1" applyFont="1" applyFill="1"/>
    <xf numFmtId="0" fontId="27" fillId="17" borderId="0" xfId="14" applyNumberFormat="1" applyFont="1" applyFill="1" applyAlignment="1">
      <alignment horizontal="center"/>
    </xf>
    <xf numFmtId="0" fontId="24" fillId="16" borderId="5" xfId="13" applyBorder="1" applyAlignment="1">
      <alignment horizontal="center"/>
    </xf>
    <xf numFmtId="0" fontId="24" fillId="16" borderId="6" xfId="13" applyBorder="1" applyAlignment="1">
      <alignment horizontal="center"/>
    </xf>
    <xf numFmtId="0" fontId="24" fillId="16" borderId="7" xfId="13" applyBorder="1" applyAlignment="1">
      <alignment horizontal="center"/>
    </xf>
    <xf numFmtId="0" fontId="32" fillId="17" borderId="0" xfId="14" applyNumberFormat="1" applyFont="1" applyFill="1" applyAlignment="1">
      <alignment horizontal="center"/>
    </xf>
    <xf numFmtId="0" fontId="32" fillId="17" borderId="37" xfId="14" applyNumberFormat="1" applyFont="1" applyFill="1" applyBorder="1" applyAlignment="1">
      <alignment horizontal="center"/>
    </xf>
    <xf numFmtId="0" fontId="44" fillId="16" borderId="0" xfId="13" applyFont="1" applyAlignment="1">
      <alignment horizontal="center"/>
    </xf>
  </cellXfs>
  <cellStyles count="22">
    <cellStyle name="Accent5 2 4 3" xfId="15" xr:uid="{9DA1CF22-0D8B-4DC3-A893-92124217B945}"/>
    <cellStyle name="Comma" xfId="1" builtinId="3"/>
    <cellStyle name="Comma 10" xfId="5" xr:uid="{BD782346-8504-486D-BFD4-D648A444E712}"/>
    <cellStyle name="Comma 19" xfId="8" xr:uid="{3EA9B917-9C75-42EC-9784-74D41B39FF66}"/>
    <cellStyle name="Comma 2 2 2 2" xfId="12" xr:uid="{E235289B-5C30-40A0-A119-A5C2D7FBF77F}"/>
    <cellStyle name="Comma 2 8" xfId="16" xr:uid="{FB7CF024-95CC-4048-AA68-6351A8E0750E}"/>
    <cellStyle name="Comma 2 9 2" xfId="18" xr:uid="{18F8DC02-6A14-4183-B402-1D7ECE23C2FE}"/>
    <cellStyle name="Currency" xfId="2" builtinId="4"/>
    <cellStyle name="Currency 10 5" xfId="7" xr:uid="{B59C82C9-5C0C-43DC-9EDB-787B6E9736B5}"/>
    <cellStyle name="Normal" xfId="0" builtinId="0"/>
    <cellStyle name="Normal 2 12 2 2" xfId="13" xr:uid="{99ED8609-3B81-4DA9-A008-A827EE93AF4F}"/>
    <cellStyle name="Normal 3 4" xfId="14" xr:uid="{D0B630C0-606E-4F50-8612-B6D18344AAB0}"/>
    <cellStyle name="Normal 49" xfId="9" xr:uid="{49CFEC6D-D76F-473F-B0C3-31C2B471CB70}"/>
    <cellStyle name="Normal 50" xfId="10" xr:uid="{687403D4-F6CB-47CD-88AF-12B3A396AEA6}"/>
    <cellStyle name="Normal 84 2" xfId="11" xr:uid="{FE2B5574-B445-45BD-A8BF-C4F90D76B4A3}"/>
    <cellStyle name="Normal_M-A DF Calculation 3-1-2013-Final" xfId="21" xr:uid="{D05FBD96-7CA0-4622-AB2D-75CB23C4B87C}"/>
    <cellStyle name="Normal_Regulated Price Out 9-6-2011 Final HL" xfId="4" xr:uid="{423B4F02-A5C3-4C18-A907-63759EAE3343}"/>
    <cellStyle name="Percent" xfId="3" builtinId="5"/>
    <cellStyle name="Percent 11" xfId="6" xr:uid="{258AD2EA-47F7-4CF0-BF2A-FE036F3DFA99}"/>
    <cellStyle name="Percent 2 3 2 3" xfId="20" xr:uid="{0C7C3AE9-C6E9-42D2-BCC6-8395BE452938}"/>
    <cellStyle name="Percent 2 4 2" xfId="17" xr:uid="{5F090353-4F00-462B-B089-E17BEDBEA62F}"/>
    <cellStyle name="Percent 5 5 7" xfId="19" xr:uid="{31C085CD-4174-4D53-BE21-3CE5313575A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15</xdr:row>
      <xdr:rowOff>180975</xdr:rowOff>
    </xdr:from>
    <xdr:to>
      <xdr:col>2</xdr:col>
      <xdr:colOff>342900</xdr:colOff>
      <xdr:row>17</xdr:row>
      <xdr:rowOff>19050</xdr:rowOff>
    </xdr:to>
    <xdr:sp macro="" textlink="">
      <xdr:nvSpPr>
        <xdr:cNvPr id="2" name="DataCompleted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B0BD8C51-D4A1-43BF-BE9D-5C9A76B720E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2</xdr:col>
      <xdr:colOff>114300</xdr:colOff>
      <xdr:row>15</xdr:row>
      <xdr:rowOff>180975</xdr:rowOff>
    </xdr:from>
    <xdr:to>
      <xdr:col>2</xdr:col>
      <xdr:colOff>342900</xdr:colOff>
      <xdr:row>17</xdr:row>
      <xdr:rowOff>19050</xdr:rowOff>
    </xdr:to>
    <xdr:pic>
      <xdr:nvPicPr>
        <xdr:cNvPr id="2049" name="DataCompleted">
          <a:extLst>
            <a:ext uri="{FF2B5EF4-FFF2-40B4-BE49-F238E27FC236}">
              <a16:creationId xmlns:a16="http://schemas.microsoft.com/office/drawing/2014/main" id="{F612666C-CB59-3339-D5E7-8AB10032BAF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305175"/>
          <a:ext cx="228600" cy="2381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15</xdr:row>
      <xdr:rowOff>180975</xdr:rowOff>
    </xdr:from>
    <xdr:to>
      <xdr:col>2</xdr:col>
      <xdr:colOff>342900</xdr:colOff>
      <xdr:row>17</xdr:row>
      <xdr:rowOff>19050</xdr:rowOff>
    </xdr:to>
    <xdr:sp macro="" textlink="">
      <xdr:nvSpPr>
        <xdr:cNvPr id="2" name="DataCompleted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44896AF-96E2-436B-BA18-B15E2859EFE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2</xdr:col>
      <xdr:colOff>114300</xdr:colOff>
      <xdr:row>15</xdr:row>
      <xdr:rowOff>180975</xdr:rowOff>
    </xdr:from>
    <xdr:to>
      <xdr:col>2</xdr:col>
      <xdr:colOff>342900</xdr:colOff>
      <xdr:row>17</xdr:row>
      <xdr:rowOff>19050</xdr:rowOff>
    </xdr:to>
    <xdr:pic>
      <xdr:nvPicPr>
        <xdr:cNvPr id="3073" name="DataCompleted">
          <a:extLst>
            <a:ext uri="{FF2B5EF4-FFF2-40B4-BE49-F238E27FC236}">
              <a16:creationId xmlns:a16="http://schemas.microsoft.com/office/drawing/2014/main" id="{2103FAA1-97DA-A362-839D-9EEB62E7ABB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305175"/>
          <a:ext cx="228600" cy="2381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15</xdr:row>
      <xdr:rowOff>180975</xdr:rowOff>
    </xdr:from>
    <xdr:to>
      <xdr:col>2</xdr:col>
      <xdr:colOff>342900</xdr:colOff>
      <xdr:row>17</xdr:row>
      <xdr:rowOff>9525</xdr:rowOff>
    </xdr:to>
    <xdr:sp macro="" textlink="">
      <xdr:nvSpPr>
        <xdr:cNvPr id="2" name="DataCompleted" hidden="1">
          <a:extLst>
            <a:ext uri="{63B3BB69-23CF-44E3-9099-C40C66FF867C}">
              <a14:compatExt xmlns:a14="http://schemas.microsoft.com/office/drawing/2010/main" spid="_x0000_s4097"/>
            </a:ext>
            <a:ext uri="{FF2B5EF4-FFF2-40B4-BE49-F238E27FC236}">
              <a16:creationId xmlns:a16="http://schemas.microsoft.com/office/drawing/2014/main" id="{C93D85F6-4CB1-40CF-A569-F2996910FEC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2</xdr:col>
      <xdr:colOff>114300</xdr:colOff>
      <xdr:row>15</xdr:row>
      <xdr:rowOff>180975</xdr:rowOff>
    </xdr:from>
    <xdr:to>
      <xdr:col>2</xdr:col>
      <xdr:colOff>342900</xdr:colOff>
      <xdr:row>17</xdr:row>
      <xdr:rowOff>9525</xdr:rowOff>
    </xdr:to>
    <xdr:pic>
      <xdr:nvPicPr>
        <xdr:cNvPr id="4097" name="DataCompleted">
          <a:extLst>
            <a:ext uri="{FF2B5EF4-FFF2-40B4-BE49-F238E27FC236}">
              <a16:creationId xmlns:a16="http://schemas.microsoft.com/office/drawing/2014/main" id="{1D7CE145-B3EA-7F8E-BF13-6E60E78145A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305175"/>
          <a:ext cx="228600" cy="2286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DC2AC-A18A-4FF6-A14C-19BFCC8DC975}">
  <sheetPr>
    <tabColor theme="6" tint="0.39997558519241921"/>
  </sheetPr>
  <dimension ref="A1:I371"/>
  <sheetViews>
    <sheetView tabSelected="1" topLeftCell="B299" workbookViewId="0">
      <selection activeCell="J310" sqref="J310"/>
    </sheetView>
  </sheetViews>
  <sheetFormatPr defaultRowHeight="15" outlineLevelCol="1"/>
  <cols>
    <col min="1" max="1" width="25.85546875" hidden="1" customWidth="1" outlineLevel="1"/>
    <col min="2" max="2" width="36" bestFit="1" customWidth="1" collapsed="1"/>
    <col min="3" max="3" width="12.7109375" style="277" customWidth="1"/>
    <col min="4" max="4" width="15" style="135" customWidth="1"/>
    <col min="5" max="5" width="12.5703125" style="277" customWidth="1"/>
    <col min="8" max="8" width="16.85546875" bestFit="1" customWidth="1"/>
    <col min="9" max="9" width="10.140625" bestFit="1" customWidth="1"/>
  </cols>
  <sheetData>
    <row r="1" spans="2:9">
      <c r="B1" s="58" t="s">
        <v>471</v>
      </c>
    </row>
    <row r="2" spans="2:9">
      <c r="B2" s="58" t="s">
        <v>5</v>
      </c>
    </row>
    <row r="3" spans="2:9">
      <c r="B3" s="58" t="s">
        <v>473</v>
      </c>
      <c r="C3" s="278">
        <v>45931</v>
      </c>
    </row>
    <row r="4" spans="2:9">
      <c r="B4" s="58"/>
    </row>
    <row r="5" spans="2:9">
      <c r="C5" s="279"/>
      <c r="D5" s="280"/>
      <c r="E5" s="281"/>
      <c r="H5" s="496">
        <f>0.021-0.0175</f>
        <v>3.4999999999999996E-3</v>
      </c>
      <c r="I5" s="495" t="s">
        <v>839</v>
      </c>
    </row>
    <row r="6" spans="2:9" ht="60" customHeight="1">
      <c r="C6" s="282" t="s">
        <v>462</v>
      </c>
      <c r="D6" s="283" t="s">
        <v>474</v>
      </c>
      <c r="E6" s="283" t="s">
        <v>844</v>
      </c>
      <c r="H6" s="496">
        <f>1-H5</f>
        <v>0.99650000000000005</v>
      </c>
      <c r="I6" s="495" t="s">
        <v>840</v>
      </c>
    </row>
    <row r="7" spans="2:9">
      <c r="B7" s="58" t="s">
        <v>475</v>
      </c>
      <c r="H7" s="494">
        <f>+H5/H6</f>
        <v>3.5122930255895631E-3</v>
      </c>
      <c r="I7" s="495" t="s">
        <v>841</v>
      </c>
    </row>
    <row r="8" spans="2:9">
      <c r="B8" t="s">
        <v>476</v>
      </c>
      <c r="C8" s="514">
        <v>20.51</v>
      </c>
      <c r="D8" s="135">
        <f>+ROUND($H$5*C8,2)</f>
        <v>7.0000000000000007E-2</v>
      </c>
      <c r="E8" s="78">
        <f>C8+D8</f>
        <v>20.580000000000002</v>
      </c>
      <c r="H8" s="494">
        <f ca="1">+H7/'LG Public - Clallam Total'!M16</f>
        <v>3.8176256978042764E-3</v>
      </c>
      <c r="I8" s="495" t="s">
        <v>843</v>
      </c>
    </row>
    <row r="9" spans="2:9">
      <c r="H9" s="494">
        <f ca="1">+H7/'LG Public - Mill Hauls'!M16</f>
        <v>3.756367510449487E-3</v>
      </c>
      <c r="I9" s="495" t="s">
        <v>842</v>
      </c>
    </row>
    <row r="10" spans="2:9">
      <c r="B10" s="58" t="s">
        <v>477</v>
      </c>
      <c r="H10" s="494"/>
      <c r="I10" s="495"/>
    </row>
    <row r="11" spans="2:9">
      <c r="B11" t="s">
        <v>478</v>
      </c>
      <c r="C11" s="514">
        <v>11.386515623686021</v>
      </c>
      <c r="D11" s="135">
        <f>+ROUND($H$5*C11,2)</f>
        <v>0.04</v>
      </c>
      <c r="E11" s="78">
        <f>C11+D11</f>
        <v>11.42651562368602</v>
      </c>
      <c r="H11" s="494"/>
      <c r="I11" s="495"/>
    </row>
    <row r="13" spans="2:9">
      <c r="B13" s="58" t="s">
        <v>479</v>
      </c>
    </row>
    <row r="14" spans="2:9">
      <c r="B14" t="s">
        <v>480</v>
      </c>
      <c r="C14" s="514">
        <v>34.270634828362319</v>
      </c>
      <c r="D14" s="135">
        <f>+ROUND($H$5*C14,2)</f>
        <v>0.12</v>
      </c>
      <c r="E14" s="78">
        <f t="shared" ref="E14:E17" si="0">C14+D14</f>
        <v>34.390634828362316</v>
      </c>
    </row>
    <row r="15" spans="2:9">
      <c r="B15" t="s">
        <v>481</v>
      </c>
      <c r="C15" s="514">
        <v>22.784140043102468</v>
      </c>
      <c r="D15" s="135">
        <f t="shared" ref="D15:D16" si="1">+ROUND($H$5*C15,2)</f>
        <v>0.08</v>
      </c>
      <c r="E15" s="78">
        <f t="shared" si="0"/>
        <v>22.864140043102466</v>
      </c>
    </row>
    <row r="16" spans="2:9">
      <c r="B16" t="s">
        <v>482</v>
      </c>
      <c r="C16" s="514">
        <v>34.270634828362319</v>
      </c>
      <c r="D16" s="135">
        <f t="shared" si="1"/>
        <v>0.12</v>
      </c>
      <c r="E16" s="78">
        <f t="shared" si="0"/>
        <v>34.390634828362316</v>
      </c>
    </row>
    <row r="17" spans="2:6">
      <c r="B17" t="s">
        <v>483</v>
      </c>
      <c r="C17" s="514">
        <v>68.374637720768249</v>
      </c>
      <c r="D17" s="135">
        <f>+ROUND($H$5*C17,2)</f>
        <v>0.24</v>
      </c>
      <c r="E17" s="78">
        <f t="shared" si="0"/>
        <v>68.614637720768243</v>
      </c>
    </row>
    <row r="19" spans="2:6">
      <c r="B19" s="58" t="s">
        <v>484</v>
      </c>
    </row>
    <row r="20" spans="2:6">
      <c r="B20" t="s">
        <v>485</v>
      </c>
      <c r="C20" s="514">
        <v>7.9205713557933004</v>
      </c>
      <c r="D20" s="135">
        <f t="shared" ref="D20:D80" si="2">+ROUND($H$5*C20,2)</f>
        <v>0.03</v>
      </c>
      <c r="E20" s="78">
        <f>C20+D20</f>
        <v>7.9505713557933007</v>
      </c>
      <c r="F20" s="135"/>
    </row>
    <row r="22" spans="2:6">
      <c r="B22" s="58" t="s">
        <v>486</v>
      </c>
    </row>
    <row r="23" spans="2:6">
      <c r="B23" t="s">
        <v>487</v>
      </c>
      <c r="C23" s="515">
        <v>278.49</v>
      </c>
      <c r="D23" s="135">
        <f t="shared" si="2"/>
        <v>0.97</v>
      </c>
      <c r="E23" s="78">
        <f t="shared" ref="E23:E24" si="3">C23+D23</f>
        <v>279.46000000000004</v>
      </c>
    </row>
    <row r="24" spans="2:6">
      <c r="B24" t="s">
        <v>488</v>
      </c>
      <c r="C24" s="515">
        <v>278.49</v>
      </c>
      <c r="D24" s="135">
        <f t="shared" si="2"/>
        <v>0.97</v>
      </c>
      <c r="E24" s="78">
        <f t="shared" si="3"/>
        <v>279.46000000000004</v>
      </c>
    </row>
    <row r="26" spans="2:6">
      <c r="B26" s="58" t="s">
        <v>489</v>
      </c>
    </row>
    <row r="27" spans="2:6">
      <c r="B27" s="58" t="s">
        <v>490</v>
      </c>
    </row>
    <row r="28" spans="2:6">
      <c r="B28" t="s">
        <v>491</v>
      </c>
      <c r="C28" s="514">
        <v>6.8541269656724637</v>
      </c>
      <c r="D28" s="135">
        <f t="shared" si="2"/>
        <v>0.02</v>
      </c>
      <c r="E28" s="78">
        <f t="shared" ref="E28:E37" si="4">C28+D28</f>
        <v>6.8741269656724633</v>
      </c>
    </row>
    <row r="29" spans="2:6">
      <c r="B29" t="s">
        <v>492</v>
      </c>
      <c r="C29" s="514">
        <v>6.8541269656724637</v>
      </c>
      <c r="D29" s="135">
        <f t="shared" si="2"/>
        <v>0.02</v>
      </c>
      <c r="E29" s="78">
        <f t="shared" si="4"/>
        <v>6.8741269656724633</v>
      </c>
    </row>
    <row r="30" spans="2:6">
      <c r="B30" t="s">
        <v>493</v>
      </c>
      <c r="C30" s="514">
        <v>6.8541269656724637</v>
      </c>
      <c r="D30" s="135">
        <f t="shared" si="2"/>
        <v>0.02</v>
      </c>
      <c r="E30" s="78">
        <f t="shared" si="4"/>
        <v>6.8741269656724633</v>
      </c>
    </row>
    <row r="31" spans="2:6">
      <c r="B31" t="s">
        <v>494</v>
      </c>
      <c r="C31" s="514">
        <v>6.8541269656724637</v>
      </c>
      <c r="D31" s="135">
        <f t="shared" si="2"/>
        <v>0.02</v>
      </c>
      <c r="E31" s="78">
        <f t="shared" si="4"/>
        <v>6.8741269656724633</v>
      </c>
    </row>
    <row r="32" spans="2:6">
      <c r="B32" t="s">
        <v>10</v>
      </c>
      <c r="C32" s="514">
        <v>135.9</v>
      </c>
      <c r="D32" s="135">
        <f t="shared" si="2"/>
        <v>0.48</v>
      </c>
      <c r="E32" s="78">
        <f t="shared" si="4"/>
        <v>136.38</v>
      </c>
    </row>
    <row r="33" spans="1:6">
      <c r="B33" t="s">
        <v>9</v>
      </c>
      <c r="C33" s="514">
        <v>11.008816568851557</v>
      </c>
      <c r="D33" s="135">
        <f t="shared" si="2"/>
        <v>0.04</v>
      </c>
      <c r="E33" s="78">
        <f t="shared" si="4"/>
        <v>11.048816568851556</v>
      </c>
    </row>
    <row r="34" spans="1:6">
      <c r="B34" t="s">
        <v>495</v>
      </c>
      <c r="C34" s="514">
        <v>6.8541269656724637</v>
      </c>
      <c r="D34" s="135">
        <f t="shared" si="2"/>
        <v>0.02</v>
      </c>
      <c r="E34" s="78">
        <f t="shared" si="4"/>
        <v>6.8741269656724633</v>
      </c>
    </row>
    <row r="35" spans="1:6">
      <c r="B35" t="s">
        <v>496</v>
      </c>
      <c r="C35" s="514">
        <v>6.8541269656724637</v>
      </c>
      <c r="D35" s="135">
        <f t="shared" si="2"/>
        <v>0.02</v>
      </c>
      <c r="E35" s="78">
        <f t="shared" si="4"/>
        <v>6.8741269656724633</v>
      </c>
    </row>
    <row r="36" spans="1:6">
      <c r="B36" t="s">
        <v>497</v>
      </c>
      <c r="C36" s="514">
        <v>6.8541269656724637</v>
      </c>
      <c r="D36" s="135">
        <f t="shared" si="2"/>
        <v>0.02</v>
      </c>
      <c r="E36" s="78">
        <f t="shared" si="4"/>
        <v>6.8741269656724633</v>
      </c>
    </row>
    <row r="37" spans="1:6">
      <c r="B37" t="s">
        <v>498</v>
      </c>
      <c r="C37" s="514">
        <v>6.8541269656724637</v>
      </c>
      <c r="D37" s="135">
        <f t="shared" si="2"/>
        <v>0.02</v>
      </c>
      <c r="E37" s="78">
        <f t="shared" si="4"/>
        <v>6.8741269656724633</v>
      </c>
    </row>
    <row r="39" spans="1:6">
      <c r="B39" s="58" t="s">
        <v>499</v>
      </c>
      <c r="F39" s="135"/>
    </row>
    <row r="40" spans="1:6">
      <c r="B40" s="58" t="s">
        <v>500</v>
      </c>
      <c r="F40" s="135"/>
    </row>
    <row r="41" spans="1:6">
      <c r="A41" t="s">
        <v>501</v>
      </c>
      <c r="B41" t="s">
        <v>502</v>
      </c>
      <c r="F41" s="135"/>
    </row>
    <row r="42" spans="1:6">
      <c r="A42" t="s">
        <v>41</v>
      </c>
      <c r="B42" t="s">
        <v>503</v>
      </c>
      <c r="C42" s="514">
        <v>1.8329512955201888</v>
      </c>
      <c r="D42" s="135">
        <f t="shared" si="2"/>
        <v>0.01</v>
      </c>
      <c r="E42" s="78">
        <f t="shared" ref="E42:E43" si="5">C42+D42</f>
        <v>1.8429512955201888</v>
      </c>
      <c r="F42" s="135"/>
    </row>
    <row r="43" spans="1:6">
      <c r="A43" t="s">
        <v>44</v>
      </c>
      <c r="B43" t="s">
        <v>504</v>
      </c>
      <c r="C43" s="514">
        <v>0.92203004562530699</v>
      </c>
      <c r="D43" s="135">
        <f t="shared" si="2"/>
        <v>0</v>
      </c>
      <c r="E43" s="78">
        <f t="shared" si="5"/>
        <v>0.92203004562530699</v>
      </c>
      <c r="F43" s="135"/>
    </row>
    <row r="44" spans="1:6">
      <c r="A44" t="s">
        <v>505</v>
      </c>
      <c r="F44" s="135"/>
    </row>
    <row r="45" spans="1:6">
      <c r="A45" s="284" t="s">
        <v>506</v>
      </c>
      <c r="B45" s="58" t="s">
        <v>507</v>
      </c>
      <c r="F45" s="135"/>
    </row>
    <row r="46" spans="1:6">
      <c r="A46" s="284" t="s">
        <v>508</v>
      </c>
      <c r="B46" t="s">
        <v>503</v>
      </c>
      <c r="C46" s="514">
        <v>1.8329512955201888</v>
      </c>
      <c r="D46" s="135">
        <f t="shared" si="2"/>
        <v>0.01</v>
      </c>
      <c r="E46" s="78">
        <f t="shared" ref="E46:E47" si="6">C46+D46</f>
        <v>1.8429512955201888</v>
      </c>
      <c r="F46" s="135"/>
    </row>
    <row r="47" spans="1:6">
      <c r="A47" t="s">
        <v>47</v>
      </c>
      <c r="B47" t="s">
        <v>504</v>
      </c>
      <c r="C47" s="514">
        <v>0.92203004562530699</v>
      </c>
      <c r="D47" s="135">
        <f t="shared" si="2"/>
        <v>0</v>
      </c>
      <c r="E47" s="78">
        <f t="shared" si="6"/>
        <v>0.92203004562530699</v>
      </c>
      <c r="F47" s="135"/>
    </row>
    <row r="48" spans="1:6">
      <c r="A48" t="s">
        <v>74</v>
      </c>
      <c r="F48" s="135"/>
    </row>
    <row r="49" spans="1:6">
      <c r="A49" s="284" t="s">
        <v>509</v>
      </c>
      <c r="B49" s="58" t="s">
        <v>510</v>
      </c>
      <c r="F49" s="135"/>
    </row>
    <row r="50" spans="1:6">
      <c r="A50" t="s">
        <v>39</v>
      </c>
      <c r="B50" t="s">
        <v>511</v>
      </c>
      <c r="C50" s="514">
        <v>5.9876408986992828</v>
      </c>
      <c r="D50" s="135">
        <f t="shared" si="2"/>
        <v>0.02</v>
      </c>
      <c r="E50" s="78">
        <f>C50+D50</f>
        <v>6.0076408986992824</v>
      </c>
      <c r="F50" s="135"/>
    </row>
    <row r="51" spans="1:6">
      <c r="A51" t="s">
        <v>76</v>
      </c>
      <c r="F51" s="135"/>
    </row>
    <row r="52" spans="1:6">
      <c r="A52" t="s">
        <v>82</v>
      </c>
      <c r="B52" s="58" t="s">
        <v>507</v>
      </c>
      <c r="F52" s="135"/>
    </row>
    <row r="53" spans="1:6">
      <c r="A53" s="284" t="s">
        <v>512</v>
      </c>
      <c r="B53" t="s">
        <v>511</v>
      </c>
      <c r="C53" s="514">
        <v>5.9876408986992828</v>
      </c>
      <c r="D53" s="135">
        <f t="shared" si="2"/>
        <v>0.02</v>
      </c>
      <c r="E53" s="78">
        <f>C53+D53</f>
        <v>6.0076408986992824</v>
      </c>
      <c r="F53" s="135"/>
    </row>
    <row r="54" spans="1:6">
      <c r="A54" s="284"/>
      <c r="F54" s="135"/>
    </row>
    <row r="55" spans="1:6">
      <c r="A55" s="284"/>
      <c r="B55" t="s">
        <v>513</v>
      </c>
      <c r="C55" s="514">
        <v>1.2441851218076434</v>
      </c>
      <c r="D55" s="135">
        <f t="shared" si="2"/>
        <v>0</v>
      </c>
      <c r="E55" s="78">
        <f>C55+D55</f>
        <v>1.2441851218076434</v>
      </c>
      <c r="F55" s="135"/>
    </row>
    <row r="56" spans="1:6">
      <c r="A56" t="s">
        <v>120</v>
      </c>
      <c r="F56" s="135"/>
    </row>
    <row r="57" spans="1:6">
      <c r="A57" t="s">
        <v>514</v>
      </c>
      <c r="B57" s="58" t="s">
        <v>515</v>
      </c>
      <c r="F57" s="135"/>
    </row>
    <row r="58" spans="1:6">
      <c r="A58" t="s">
        <v>87</v>
      </c>
      <c r="B58" t="s">
        <v>516</v>
      </c>
      <c r="C58" s="514">
        <v>0.27771989326063468</v>
      </c>
      <c r="D58" s="135">
        <f t="shared" si="2"/>
        <v>0</v>
      </c>
      <c r="E58" s="78">
        <f t="shared" ref="E58:E60" si="7">C58+D58</f>
        <v>0.27771989326063468</v>
      </c>
      <c r="F58" s="135"/>
    </row>
    <row r="59" spans="1:6">
      <c r="A59" t="s">
        <v>517</v>
      </c>
      <c r="B59" t="s">
        <v>518</v>
      </c>
      <c r="C59" s="514">
        <v>1.0775531858512624</v>
      </c>
      <c r="D59" s="135">
        <f t="shared" si="2"/>
        <v>0</v>
      </c>
      <c r="E59" s="78">
        <f t="shared" si="7"/>
        <v>1.0775531858512624</v>
      </c>
      <c r="F59" s="135"/>
    </row>
    <row r="60" spans="1:6">
      <c r="B60" t="s">
        <v>519</v>
      </c>
      <c r="C60" s="514">
        <v>1.0775531858512624</v>
      </c>
      <c r="D60" s="135">
        <f t="shared" si="2"/>
        <v>0</v>
      </c>
      <c r="E60" s="78">
        <f t="shared" si="7"/>
        <v>1.0775531858512624</v>
      </c>
      <c r="F60" s="135"/>
    </row>
    <row r="61" spans="1:6">
      <c r="F61" s="135"/>
    </row>
    <row r="62" spans="1:6">
      <c r="B62" t="s">
        <v>513</v>
      </c>
      <c r="C62" s="514">
        <v>1.2441851218076434</v>
      </c>
      <c r="D62" s="135">
        <f t="shared" si="2"/>
        <v>0</v>
      </c>
      <c r="E62" s="78">
        <f>C62+D62</f>
        <v>1.2441851218076434</v>
      </c>
      <c r="F62" s="135"/>
    </row>
    <row r="63" spans="1:6">
      <c r="F63" s="135"/>
    </row>
    <row r="64" spans="1:6">
      <c r="A64" t="s">
        <v>58</v>
      </c>
      <c r="B64" s="58" t="s">
        <v>520</v>
      </c>
      <c r="F64" s="135"/>
    </row>
    <row r="65" spans="1:6">
      <c r="A65" t="s">
        <v>521</v>
      </c>
      <c r="B65" t="s">
        <v>522</v>
      </c>
      <c r="C65" s="514">
        <v>30.526970667208964</v>
      </c>
      <c r="D65" s="135">
        <f t="shared" si="2"/>
        <v>0.11</v>
      </c>
      <c r="E65" s="78">
        <f t="shared" ref="E65:E73" si="8">C65+D65</f>
        <v>30.636970667208963</v>
      </c>
      <c r="F65" s="135"/>
    </row>
    <row r="66" spans="1:6">
      <c r="A66" t="s">
        <v>521</v>
      </c>
      <c r="B66" t="s">
        <v>523</v>
      </c>
      <c r="C66" s="514">
        <v>39.691727144809903</v>
      </c>
      <c r="D66" s="135">
        <f t="shared" si="2"/>
        <v>0.14000000000000001</v>
      </c>
      <c r="E66" s="78">
        <f t="shared" si="8"/>
        <v>39.831727144809904</v>
      </c>
      <c r="F66" s="135"/>
    </row>
    <row r="67" spans="1:6">
      <c r="A67" t="s">
        <v>521</v>
      </c>
      <c r="B67" t="s">
        <v>524</v>
      </c>
      <c r="C67" s="514">
        <v>52.266883911651441</v>
      </c>
      <c r="D67" s="135">
        <f t="shared" si="2"/>
        <v>0.18</v>
      </c>
      <c r="E67" s="78">
        <f t="shared" si="8"/>
        <v>52.44688391165144</v>
      </c>
      <c r="F67" s="135"/>
    </row>
    <row r="68" spans="1:6">
      <c r="B68" t="s">
        <v>525</v>
      </c>
      <c r="C68" s="514">
        <v>17.351938930924454</v>
      </c>
      <c r="D68" s="135">
        <f t="shared" si="2"/>
        <v>0.06</v>
      </c>
      <c r="E68" s="78">
        <f t="shared" si="8"/>
        <v>17.411938930924453</v>
      </c>
      <c r="F68" s="135"/>
    </row>
    <row r="69" spans="1:6">
      <c r="A69" t="s">
        <v>62</v>
      </c>
      <c r="B69" t="s">
        <v>526</v>
      </c>
      <c r="C69" s="514">
        <v>22.417549783998428</v>
      </c>
      <c r="D69" s="135">
        <f t="shared" si="2"/>
        <v>0.08</v>
      </c>
      <c r="E69" s="78">
        <f t="shared" si="8"/>
        <v>22.497549783998426</v>
      </c>
      <c r="F69" s="135"/>
    </row>
    <row r="70" spans="1:6">
      <c r="B70" t="s">
        <v>527</v>
      </c>
      <c r="C70" s="514">
        <v>29.460526277088125</v>
      </c>
      <c r="D70" s="135">
        <f t="shared" si="2"/>
        <v>0.1</v>
      </c>
      <c r="E70" s="78">
        <f t="shared" si="8"/>
        <v>29.560526277088126</v>
      </c>
      <c r="F70" s="135"/>
    </row>
    <row r="71" spans="1:6">
      <c r="B71" t="s">
        <v>528</v>
      </c>
      <c r="C71" s="514">
        <v>10.353397620756461</v>
      </c>
      <c r="D71" s="135">
        <f t="shared" si="2"/>
        <v>0.04</v>
      </c>
      <c r="E71" s="78">
        <f t="shared" si="8"/>
        <v>10.39339762075646</v>
      </c>
      <c r="F71" s="135"/>
    </row>
    <row r="72" spans="1:6">
      <c r="B72" t="s">
        <v>529</v>
      </c>
      <c r="C72" s="514">
        <v>14.719154342813637</v>
      </c>
      <c r="D72" s="135">
        <f t="shared" si="2"/>
        <v>0.05</v>
      </c>
      <c r="E72" s="78">
        <f t="shared" si="8"/>
        <v>14.769154342813637</v>
      </c>
      <c r="F72" s="135"/>
    </row>
    <row r="73" spans="1:6">
      <c r="B73" t="s">
        <v>530</v>
      </c>
      <c r="C73" s="514">
        <v>19.184890226444644</v>
      </c>
      <c r="D73" s="135">
        <f t="shared" si="2"/>
        <v>7.0000000000000007E-2</v>
      </c>
      <c r="E73" s="78">
        <f t="shared" si="8"/>
        <v>19.254890226444644</v>
      </c>
      <c r="F73" s="135"/>
    </row>
    <row r="74" spans="1:6">
      <c r="F74" s="135"/>
    </row>
    <row r="75" spans="1:6">
      <c r="B75" s="58" t="s">
        <v>531</v>
      </c>
      <c r="C75" s="514">
        <v>10.597791126825818</v>
      </c>
      <c r="D75" s="135">
        <f t="shared" si="2"/>
        <v>0.04</v>
      </c>
      <c r="E75" s="78">
        <f t="shared" ref="E75:E76" si="9">C75+D75</f>
        <v>10.637791126825817</v>
      </c>
      <c r="F75" s="135"/>
    </row>
    <row r="76" spans="1:6">
      <c r="B76" t="s">
        <v>532</v>
      </c>
      <c r="C76" s="514">
        <v>12.07</v>
      </c>
      <c r="D76" s="135">
        <f t="shared" si="2"/>
        <v>0.04</v>
      </c>
      <c r="E76" s="78">
        <f t="shared" si="9"/>
        <v>12.11</v>
      </c>
      <c r="F76" s="135"/>
    </row>
    <row r="77" spans="1:6">
      <c r="F77" s="135"/>
    </row>
    <row r="78" spans="1:6">
      <c r="A78" t="s">
        <v>161</v>
      </c>
      <c r="B78" s="58" t="s">
        <v>533</v>
      </c>
    </row>
    <row r="79" spans="1:6">
      <c r="B79" t="s">
        <v>534</v>
      </c>
      <c r="C79" s="514">
        <v>0.6220925609038217</v>
      </c>
      <c r="D79" s="135">
        <f t="shared" si="2"/>
        <v>0</v>
      </c>
      <c r="E79" s="78">
        <f t="shared" ref="E79:E80" si="10">C79+D79</f>
        <v>0.6220925609038217</v>
      </c>
    </row>
    <row r="80" spans="1:6">
      <c r="B80" t="s">
        <v>535</v>
      </c>
      <c r="C80" s="514">
        <v>0.12219675303467925</v>
      </c>
      <c r="D80" s="135">
        <f t="shared" si="2"/>
        <v>0</v>
      </c>
      <c r="E80" s="78">
        <f t="shared" si="10"/>
        <v>0.12219675303467925</v>
      </c>
    </row>
    <row r="81" spans="1:6">
      <c r="B81" s="58"/>
    </row>
    <row r="82" spans="1:6">
      <c r="A82" t="s">
        <v>150</v>
      </c>
      <c r="B82" t="s">
        <v>536</v>
      </c>
      <c r="C82" s="514">
        <v>8.4649023465841449</v>
      </c>
      <c r="D82" s="135">
        <f t="shared" ref="D82:D144" si="11">+ROUND($H$5*C82,2)</f>
        <v>0.03</v>
      </c>
      <c r="E82" s="78">
        <f t="shared" ref="E82:E88" si="12">C82+D82</f>
        <v>8.4949023465841442</v>
      </c>
      <c r="F82" s="135"/>
    </row>
    <row r="83" spans="1:6">
      <c r="A83" t="s">
        <v>175</v>
      </c>
      <c r="B83" t="s">
        <v>537</v>
      </c>
      <c r="C83" s="514">
        <v>8.4649023465841449</v>
      </c>
      <c r="D83" s="135">
        <f t="shared" si="11"/>
        <v>0.03</v>
      </c>
      <c r="E83" s="78">
        <f t="shared" si="12"/>
        <v>8.4949023465841442</v>
      </c>
      <c r="F83" s="135"/>
    </row>
    <row r="84" spans="1:6">
      <c r="A84" t="s">
        <v>155</v>
      </c>
      <c r="B84" t="s">
        <v>538</v>
      </c>
      <c r="C84" s="514">
        <v>8.4649023465841449</v>
      </c>
      <c r="D84" s="135">
        <f t="shared" si="11"/>
        <v>0.03</v>
      </c>
      <c r="E84" s="78">
        <f t="shared" si="12"/>
        <v>8.4949023465841442</v>
      </c>
      <c r="F84" s="135"/>
    </row>
    <row r="85" spans="1:6">
      <c r="A85" t="s">
        <v>158</v>
      </c>
      <c r="B85" t="s">
        <v>539</v>
      </c>
      <c r="C85" s="514">
        <v>8.4649023465841449</v>
      </c>
      <c r="D85" s="135">
        <f t="shared" si="11"/>
        <v>0.03</v>
      </c>
      <c r="E85" s="78">
        <f t="shared" si="12"/>
        <v>8.4949023465841442</v>
      </c>
      <c r="F85" s="135"/>
    </row>
    <row r="86" spans="1:6">
      <c r="B86" t="s">
        <v>540</v>
      </c>
      <c r="C86" s="514">
        <v>8.4649023465841449</v>
      </c>
      <c r="D86" s="135">
        <f t="shared" si="11"/>
        <v>0.03</v>
      </c>
      <c r="E86" s="78">
        <f t="shared" si="12"/>
        <v>8.4949023465841442</v>
      </c>
      <c r="F86" s="135"/>
    </row>
    <row r="87" spans="1:6">
      <c r="B87" t="s">
        <v>541</v>
      </c>
      <c r="C87" s="514">
        <v>8.4649023465841449</v>
      </c>
      <c r="D87" s="135">
        <f t="shared" si="11"/>
        <v>0.03</v>
      </c>
      <c r="E87" s="78">
        <f t="shared" si="12"/>
        <v>8.4949023465841442</v>
      </c>
      <c r="F87" s="135"/>
    </row>
    <row r="88" spans="1:6">
      <c r="A88" t="s">
        <v>369</v>
      </c>
      <c r="B88" t="s">
        <v>542</v>
      </c>
      <c r="C88" s="514">
        <v>10.175656889069653</v>
      </c>
      <c r="D88" s="135">
        <f t="shared" si="11"/>
        <v>0.04</v>
      </c>
      <c r="E88" s="78">
        <f t="shared" si="12"/>
        <v>10.215656889069653</v>
      </c>
      <c r="F88" s="135"/>
    </row>
    <row r="89" spans="1:6">
      <c r="F89" s="135"/>
    </row>
    <row r="90" spans="1:6">
      <c r="B90" s="58" t="s">
        <v>543</v>
      </c>
      <c r="F90" s="135"/>
    </row>
    <row r="91" spans="1:6">
      <c r="B91" t="s">
        <v>544</v>
      </c>
      <c r="C91" s="514">
        <v>34.303961215553592</v>
      </c>
      <c r="D91" s="135">
        <f t="shared" si="11"/>
        <v>0.12</v>
      </c>
      <c r="E91" s="78">
        <f t="shared" ref="E91:E95" si="13">C91+D91</f>
        <v>34.423961215553589</v>
      </c>
      <c r="F91" s="135"/>
    </row>
    <row r="92" spans="1:6">
      <c r="B92" t="s">
        <v>545</v>
      </c>
      <c r="C92" s="514">
        <v>34.303961215553592</v>
      </c>
      <c r="D92" s="135">
        <f t="shared" si="11"/>
        <v>0.12</v>
      </c>
      <c r="E92" s="78">
        <f t="shared" si="13"/>
        <v>34.423961215553589</v>
      </c>
      <c r="F92" s="135"/>
    </row>
    <row r="93" spans="1:6">
      <c r="B93" t="s">
        <v>546</v>
      </c>
      <c r="C93" s="514">
        <v>34.303961215553592</v>
      </c>
      <c r="D93" s="135">
        <f t="shared" si="11"/>
        <v>0.12</v>
      </c>
      <c r="E93" s="78">
        <f t="shared" si="13"/>
        <v>34.423961215553589</v>
      </c>
      <c r="F93" s="135"/>
    </row>
    <row r="94" spans="1:6">
      <c r="B94" t="s">
        <v>547</v>
      </c>
      <c r="C94" s="514">
        <v>34.303961215553592</v>
      </c>
      <c r="D94" s="135">
        <f t="shared" si="11"/>
        <v>0.12</v>
      </c>
      <c r="E94" s="78">
        <f t="shared" si="13"/>
        <v>34.423961215553589</v>
      </c>
      <c r="F94" s="135"/>
    </row>
    <row r="95" spans="1:6">
      <c r="B95" t="s">
        <v>548</v>
      </c>
      <c r="C95" s="514">
        <v>18.329512955201889</v>
      </c>
      <c r="D95" s="135">
        <f t="shared" si="11"/>
        <v>0.06</v>
      </c>
      <c r="E95" s="78">
        <f t="shared" si="13"/>
        <v>18.389512955201887</v>
      </c>
      <c r="F95" s="135"/>
    </row>
    <row r="96" spans="1:6">
      <c r="F96" s="135"/>
    </row>
    <row r="97" spans="2:6">
      <c r="B97" s="58" t="s">
        <v>549</v>
      </c>
      <c r="F97" s="135"/>
    </row>
    <row r="98" spans="2:6">
      <c r="B98" s="58" t="s">
        <v>550</v>
      </c>
      <c r="F98" s="135"/>
    </row>
    <row r="99" spans="2:6">
      <c r="B99" s="58" t="s">
        <v>551</v>
      </c>
      <c r="F99" s="135"/>
    </row>
    <row r="100" spans="2:6">
      <c r="B100" t="s">
        <v>552</v>
      </c>
      <c r="C100" s="514">
        <v>58.487809520689659</v>
      </c>
      <c r="D100" s="135">
        <f t="shared" si="11"/>
        <v>0.2</v>
      </c>
      <c r="E100" s="78">
        <f t="shared" ref="E100:E102" si="14">C100+D100</f>
        <v>58.687809520689662</v>
      </c>
      <c r="F100" s="135"/>
    </row>
    <row r="101" spans="2:6">
      <c r="B101" t="s">
        <v>553</v>
      </c>
      <c r="C101" s="514">
        <v>64.497668010849793</v>
      </c>
      <c r="D101" s="135">
        <f t="shared" si="11"/>
        <v>0.23</v>
      </c>
      <c r="E101" s="78">
        <f t="shared" si="14"/>
        <v>64.727668010849797</v>
      </c>
      <c r="F101" s="135"/>
    </row>
    <row r="102" spans="2:6">
      <c r="B102" t="s">
        <v>554</v>
      </c>
      <c r="C102" s="514">
        <v>89.670199135993713</v>
      </c>
      <c r="D102" s="135">
        <f t="shared" si="11"/>
        <v>0.31</v>
      </c>
      <c r="E102" s="78">
        <f t="shared" si="14"/>
        <v>89.980199135993715</v>
      </c>
      <c r="F102" s="135"/>
    </row>
    <row r="103" spans="2:6">
      <c r="F103" s="135"/>
    </row>
    <row r="104" spans="2:6">
      <c r="B104" s="58" t="s">
        <v>555</v>
      </c>
      <c r="F104" s="135"/>
    </row>
    <row r="105" spans="2:6">
      <c r="B105" t="s">
        <v>552</v>
      </c>
      <c r="C105" s="515">
        <v>33.409999999999997</v>
      </c>
      <c r="D105" s="135">
        <f t="shared" si="11"/>
        <v>0.12</v>
      </c>
      <c r="E105" s="78">
        <f t="shared" ref="E105:E107" si="15">C105+D105</f>
        <v>33.529999999999994</v>
      </c>
      <c r="F105" s="135"/>
    </row>
    <row r="106" spans="2:6">
      <c r="B106" t="s">
        <v>553</v>
      </c>
      <c r="C106" s="515">
        <v>33.409999999999997</v>
      </c>
      <c r="D106" s="135">
        <f t="shared" si="11"/>
        <v>0.12</v>
      </c>
      <c r="E106" s="78">
        <f t="shared" si="15"/>
        <v>33.529999999999994</v>
      </c>
      <c r="F106" s="135"/>
    </row>
    <row r="107" spans="2:6">
      <c r="B107" t="s">
        <v>554</v>
      </c>
      <c r="C107" s="515">
        <v>33.409999999999997</v>
      </c>
      <c r="D107" s="135">
        <f t="shared" si="11"/>
        <v>0.12</v>
      </c>
      <c r="E107" s="78">
        <f t="shared" si="15"/>
        <v>33.529999999999994</v>
      </c>
      <c r="F107" s="135"/>
    </row>
    <row r="108" spans="2:6">
      <c r="F108" s="135"/>
    </row>
    <row r="109" spans="2:6">
      <c r="B109" s="58" t="s">
        <v>556</v>
      </c>
      <c r="F109" s="135"/>
    </row>
    <row r="110" spans="2:6">
      <c r="B110" t="s">
        <v>552</v>
      </c>
      <c r="C110" s="514">
        <v>58.487809520689659</v>
      </c>
      <c r="D110" s="135">
        <f t="shared" si="11"/>
        <v>0.2</v>
      </c>
      <c r="E110" s="78">
        <f t="shared" ref="E110:E112" si="16">C110+D110</f>
        <v>58.687809520689662</v>
      </c>
      <c r="F110" s="135"/>
    </row>
    <row r="111" spans="2:6">
      <c r="B111" t="s">
        <v>553</v>
      </c>
      <c r="C111" s="514">
        <v>64.497668010849793</v>
      </c>
      <c r="D111" s="135">
        <f t="shared" si="11"/>
        <v>0.23</v>
      </c>
      <c r="E111" s="78">
        <f t="shared" si="16"/>
        <v>64.727668010849797</v>
      </c>
      <c r="F111" s="135"/>
    </row>
    <row r="112" spans="2:6">
      <c r="B112" t="s">
        <v>554</v>
      </c>
      <c r="C112" s="514">
        <v>89.670199135993713</v>
      </c>
      <c r="D112" s="135">
        <f t="shared" si="11"/>
        <v>0.31</v>
      </c>
      <c r="E112" s="78">
        <f t="shared" si="16"/>
        <v>89.980199135993715</v>
      </c>
      <c r="F112" s="135"/>
    </row>
    <row r="113" spans="2:6">
      <c r="F113" s="135"/>
    </row>
    <row r="114" spans="2:6">
      <c r="B114" s="58" t="s">
        <v>557</v>
      </c>
      <c r="F114" s="135"/>
    </row>
    <row r="115" spans="2:6">
      <c r="B115" t="s">
        <v>551</v>
      </c>
      <c r="F115" s="135"/>
    </row>
    <row r="116" spans="2:6">
      <c r="B116" t="s">
        <v>552</v>
      </c>
      <c r="C116" s="514">
        <v>64.497668010849793</v>
      </c>
      <c r="D116" s="135">
        <f t="shared" si="11"/>
        <v>0.23</v>
      </c>
      <c r="E116" s="78">
        <f t="shared" ref="E116:E118" si="17">C116+D116</f>
        <v>64.727668010849797</v>
      </c>
      <c r="F116" s="135"/>
    </row>
    <row r="117" spans="2:6">
      <c r="B117" t="s">
        <v>553</v>
      </c>
      <c r="C117" s="514">
        <v>64.497668010849793</v>
      </c>
      <c r="D117" s="135">
        <f t="shared" si="11"/>
        <v>0.23</v>
      </c>
      <c r="E117" s="78">
        <f t="shared" si="17"/>
        <v>64.727668010849797</v>
      </c>
      <c r="F117" s="135"/>
    </row>
    <row r="118" spans="2:6">
      <c r="B118" t="s">
        <v>554</v>
      </c>
      <c r="C118" s="514">
        <v>89.670199135993713</v>
      </c>
      <c r="D118" s="135">
        <f t="shared" si="11"/>
        <v>0.31</v>
      </c>
      <c r="E118" s="78">
        <f t="shared" si="17"/>
        <v>89.980199135993715</v>
      </c>
      <c r="F118" s="135"/>
    </row>
    <row r="119" spans="2:6">
      <c r="F119" s="135"/>
    </row>
    <row r="120" spans="2:6">
      <c r="B120" s="58" t="s">
        <v>846</v>
      </c>
      <c r="F120" s="135"/>
    </row>
    <row r="121" spans="2:6">
      <c r="B121" t="s">
        <v>552</v>
      </c>
      <c r="C121" s="515">
        <v>33.409999999999997</v>
      </c>
      <c r="D121" s="135">
        <f t="shared" si="11"/>
        <v>0.12</v>
      </c>
      <c r="E121" s="78">
        <f t="shared" ref="E121:E123" si="18">C121+D121</f>
        <v>33.529999999999994</v>
      </c>
      <c r="F121" s="135"/>
    </row>
    <row r="122" spans="2:6">
      <c r="B122" t="s">
        <v>553</v>
      </c>
      <c r="C122" s="515">
        <v>33.409999999999997</v>
      </c>
      <c r="D122" s="135">
        <f t="shared" si="11"/>
        <v>0.12</v>
      </c>
      <c r="E122" s="78">
        <f t="shared" si="18"/>
        <v>33.529999999999994</v>
      </c>
      <c r="F122" s="135"/>
    </row>
    <row r="123" spans="2:6">
      <c r="B123" t="s">
        <v>554</v>
      </c>
      <c r="C123" s="515">
        <v>33.409999999999997</v>
      </c>
      <c r="D123" s="135">
        <f t="shared" si="11"/>
        <v>0.12</v>
      </c>
      <c r="E123" s="78">
        <f t="shared" si="18"/>
        <v>33.529999999999994</v>
      </c>
      <c r="F123" s="135"/>
    </row>
    <row r="124" spans="2:6">
      <c r="F124" s="135"/>
    </row>
    <row r="125" spans="2:6">
      <c r="B125" s="58" t="s">
        <v>556</v>
      </c>
      <c r="F125" s="135"/>
    </row>
    <row r="126" spans="2:6">
      <c r="B126" t="s">
        <v>552</v>
      </c>
      <c r="C126" s="514">
        <v>64.497668010849793</v>
      </c>
      <c r="D126" s="135">
        <f t="shared" si="11"/>
        <v>0.23</v>
      </c>
      <c r="E126" s="78">
        <f t="shared" ref="E126:E128" si="19">C126+D126</f>
        <v>64.727668010849797</v>
      </c>
      <c r="F126" s="135"/>
    </row>
    <row r="127" spans="2:6">
      <c r="B127" t="s">
        <v>553</v>
      </c>
      <c r="C127" s="514">
        <v>64.497668010849793</v>
      </c>
      <c r="D127" s="135">
        <f t="shared" si="11"/>
        <v>0.23</v>
      </c>
      <c r="E127" s="78">
        <f t="shared" si="19"/>
        <v>64.727668010849797</v>
      </c>
      <c r="F127" s="135"/>
    </row>
    <row r="128" spans="2:6">
      <c r="B128" t="s">
        <v>554</v>
      </c>
      <c r="C128" s="514">
        <v>89.670199135993713</v>
      </c>
      <c r="D128" s="135">
        <f t="shared" si="11"/>
        <v>0.31</v>
      </c>
      <c r="E128" s="78">
        <f t="shared" si="19"/>
        <v>89.980199135993715</v>
      </c>
      <c r="F128" s="135"/>
    </row>
    <row r="129" spans="2:6">
      <c r="F129" s="135"/>
    </row>
    <row r="130" spans="2:6">
      <c r="B130" s="58" t="s">
        <v>558</v>
      </c>
      <c r="F130" s="135"/>
    </row>
    <row r="131" spans="2:6">
      <c r="B131" s="58" t="s">
        <v>559</v>
      </c>
      <c r="F131" s="135"/>
    </row>
    <row r="132" spans="2:6">
      <c r="B132" t="s">
        <v>9</v>
      </c>
      <c r="C132" s="514">
        <v>1.2441851218076434</v>
      </c>
      <c r="D132" s="135">
        <f t="shared" si="11"/>
        <v>0</v>
      </c>
      <c r="E132" s="78">
        <f t="shared" ref="E132:E135" si="20">C132+D132</f>
        <v>1.2441851218076434</v>
      </c>
      <c r="F132" s="135"/>
    </row>
    <row r="133" spans="2:6">
      <c r="B133" t="s">
        <v>560</v>
      </c>
      <c r="C133" s="514">
        <v>0.17774073168680618</v>
      </c>
      <c r="D133" s="135">
        <f t="shared" si="11"/>
        <v>0</v>
      </c>
      <c r="E133" s="78">
        <f t="shared" si="20"/>
        <v>0.17774073168680618</v>
      </c>
      <c r="F133" s="135"/>
    </row>
    <row r="134" spans="2:6">
      <c r="B134" t="s">
        <v>561</v>
      </c>
      <c r="C134" s="514">
        <v>0.6220925609038217</v>
      </c>
      <c r="D134" s="135">
        <f t="shared" si="11"/>
        <v>0</v>
      </c>
      <c r="E134" s="78">
        <f t="shared" si="20"/>
        <v>0.6220925609038217</v>
      </c>
      <c r="F134" s="135"/>
    </row>
    <row r="135" spans="2:6">
      <c r="B135" t="s">
        <v>560</v>
      </c>
      <c r="C135" s="514">
        <v>0.12219675303467925</v>
      </c>
      <c r="D135" s="135">
        <f t="shared" si="11"/>
        <v>0</v>
      </c>
      <c r="E135" s="78">
        <f t="shared" si="20"/>
        <v>0.12219675303467925</v>
      </c>
      <c r="F135" s="135"/>
    </row>
    <row r="136" spans="2:6">
      <c r="F136" s="135"/>
    </row>
    <row r="137" spans="2:6">
      <c r="B137" s="58" t="s">
        <v>562</v>
      </c>
      <c r="F137" s="135"/>
    </row>
    <row r="138" spans="2:6">
      <c r="B138" t="s">
        <v>563</v>
      </c>
      <c r="C138" s="516">
        <v>34.392831581396997</v>
      </c>
      <c r="D138" s="135">
        <f t="shared" si="11"/>
        <v>0.12</v>
      </c>
      <c r="E138" s="78">
        <f t="shared" ref="E138:E139" si="21">C138+D138</f>
        <v>34.512831581396995</v>
      </c>
      <c r="F138" s="135"/>
    </row>
    <row r="139" spans="2:6">
      <c r="B139" t="s">
        <v>564</v>
      </c>
      <c r="C139" s="514">
        <v>34.303961215553592</v>
      </c>
      <c r="D139" s="135">
        <f t="shared" si="11"/>
        <v>0.12</v>
      </c>
      <c r="E139" s="78">
        <f t="shared" si="21"/>
        <v>34.423961215553589</v>
      </c>
      <c r="F139" s="135"/>
    </row>
    <row r="140" spans="2:6">
      <c r="F140" s="135"/>
    </row>
    <row r="141" spans="2:6">
      <c r="B141" s="58" t="s">
        <v>565</v>
      </c>
      <c r="F141" s="135"/>
    </row>
    <row r="142" spans="2:6">
      <c r="B142" s="58" t="s">
        <v>566</v>
      </c>
      <c r="F142" s="135"/>
    </row>
    <row r="143" spans="2:6">
      <c r="B143" t="s">
        <v>567</v>
      </c>
      <c r="C143" s="514">
        <v>3.8991873013793104</v>
      </c>
      <c r="D143" s="135">
        <f t="shared" si="11"/>
        <v>0.01</v>
      </c>
      <c r="E143" s="78">
        <f t="shared" ref="E143:E144" si="22">C143+D143</f>
        <v>3.9091873013793101</v>
      </c>
      <c r="F143" s="135"/>
    </row>
    <row r="144" spans="2:6">
      <c r="B144" t="s">
        <v>568</v>
      </c>
      <c r="C144" s="514">
        <v>15.596749205517241</v>
      </c>
      <c r="D144" s="135">
        <f t="shared" si="11"/>
        <v>0.05</v>
      </c>
      <c r="E144" s="78">
        <f t="shared" si="22"/>
        <v>15.646749205517242</v>
      </c>
      <c r="F144" s="135"/>
    </row>
    <row r="145" spans="2:6">
      <c r="F145" s="135"/>
    </row>
    <row r="146" spans="2:6">
      <c r="B146" s="58" t="s">
        <v>569</v>
      </c>
      <c r="F146" s="135"/>
    </row>
    <row r="147" spans="2:6">
      <c r="B147" t="s">
        <v>567</v>
      </c>
      <c r="C147" s="514">
        <v>4.4546270879005796</v>
      </c>
      <c r="D147" s="135">
        <f t="shared" ref="D147:D207" si="23">+ROUND($H$5*C147,2)</f>
        <v>0.02</v>
      </c>
      <c r="E147" s="78">
        <f t="shared" ref="E147:E148" si="24">C147+D147</f>
        <v>4.4746270879005792</v>
      </c>
      <c r="F147" s="135"/>
    </row>
    <row r="148" spans="2:6">
      <c r="B148" t="s">
        <v>568</v>
      </c>
      <c r="C148" s="514">
        <v>17.818508351602318</v>
      </c>
      <c r="D148" s="135">
        <f t="shared" si="23"/>
        <v>0.06</v>
      </c>
      <c r="E148" s="78">
        <f t="shared" si="24"/>
        <v>17.878508351602317</v>
      </c>
      <c r="F148" s="135"/>
    </row>
    <row r="149" spans="2:6">
      <c r="F149" s="135"/>
    </row>
    <row r="150" spans="2:6">
      <c r="B150" s="58" t="s">
        <v>570</v>
      </c>
      <c r="F150" s="135"/>
    </row>
    <row r="151" spans="2:6">
      <c r="B151" t="s">
        <v>571</v>
      </c>
      <c r="C151" s="514">
        <v>34.270634828362319</v>
      </c>
      <c r="D151" s="135">
        <f t="shared" si="23"/>
        <v>0.12</v>
      </c>
      <c r="E151" s="78">
        <f t="shared" ref="E151:E152" si="25">C151+D151</f>
        <v>34.390634828362316</v>
      </c>
      <c r="F151" s="135"/>
    </row>
    <row r="152" spans="2:6">
      <c r="B152" t="s">
        <v>572</v>
      </c>
      <c r="C152" s="514">
        <v>68.374637720768249</v>
      </c>
      <c r="D152" s="135">
        <f t="shared" si="23"/>
        <v>0.24</v>
      </c>
      <c r="E152" s="78">
        <f t="shared" si="25"/>
        <v>68.614637720768243</v>
      </c>
      <c r="F152" s="135"/>
    </row>
    <row r="153" spans="2:6">
      <c r="F153" s="135"/>
    </row>
    <row r="154" spans="2:6" hidden="1">
      <c r="B154" s="58" t="s">
        <v>573</v>
      </c>
      <c r="F154" s="135"/>
    </row>
    <row r="155" spans="2:6" hidden="1">
      <c r="B155" t="s">
        <v>574</v>
      </c>
      <c r="C155" s="514">
        <v>195.42</v>
      </c>
      <c r="D155" s="135">
        <v>0</v>
      </c>
      <c r="E155" s="78">
        <f>+C155</f>
        <v>195.42</v>
      </c>
      <c r="F155" s="135"/>
    </row>
    <row r="156" spans="2:6" hidden="1">
      <c r="B156" t="s">
        <v>575</v>
      </c>
      <c r="C156" s="515">
        <v>180.23</v>
      </c>
      <c r="D156" s="135">
        <v>0</v>
      </c>
      <c r="E156" s="277">
        <f>+C156</f>
        <v>180.23</v>
      </c>
      <c r="F156" s="135"/>
    </row>
    <row r="157" spans="2:6" hidden="1">
      <c r="B157" t="s">
        <v>576</v>
      </c>
      <c r="C157" s="514">
        <v>20</v>
      </c>
      <c r="D157" s="135">
        <v>0</v>
      </c>
      <c r="E157" s="78">
        <f>+C157</f>
        <v>20</v>
      </c>
      <c r="F157" s="135"/>
    </row>
    <row r="158" spans="2:6">
      <c r="F158" s="135"/>
    </row>
    <row r="159" spans="2:6">
      <c r="B159" s="58" t="s">
        <v>577</v>
      </c>
      <c r="F159" s="135"/>
    </row>
    <row r="160" spans="2:6">
      <c r="B160" s="58" t="s">
        <v>578</v>
      </c>
      <c r="F160" s="135"/>
    </row>
    <row r="161" spans="1:6">
      <c r="B161" t="s">
        <v>579</v>
      </c>
      <c r="C161" s="514">
        <v>6.5445720841080046</v>
      </c>
      <c r="D161" s="135">
        <f t="shared" si="23"/>
        <v>0.02</v>
      </c>
      <c r="E161" s="78">
        <f t="shared" ref="E161:E167" si="26">C161+D161</f>
        <v>6.5645720841080042</v>
      </c>
      <c r="F161" s="135"/>
    </row>
    <row r="162" spans="1:6">
      <c r="B162" t="s">
        <v>580</v>
      </c>
      <c r="C162" s="514">
        <v>8.7304074244523786</v>
      </c>
      <c r="D162" s="135">
        <f t="shared" si="23"/>
        <v>0.03</v>
      </c>
      <c r="E162" s="78">
        <f t="shared" si="26"/>
        <v>8.760407424452378</v>
      </c>
      <c r="F162" s="135"/>
    </row>
    <row r="163" spans="1:6">
      <c r="B163" t="s">
        <v>581</v>
      </c>
      <c r="C163" s="514">
        <v>11.679345043378513</v>
      </c>
      <c r="D163" s="135">
        <f t="shared" si="23"/>
        <v>0.04</v>
      </c>
      <c r="E163" s="78">
        <f t="shared" si="26"/>
        <v>11.719345043378512</v>
      </c>
      <c r="F163" s="135"/>
    </row>
    <row r="164" spans="1:6">
      <c r="B164" t="s">
        <v>582</v>
      </c>
      <c r="C164" s="514">
        <v>13.089144168216009</v>
      </c>
      <c r="D164" s="135">
        <f t="shared" si="23"/>
        <v>0.05</v>
      </c>
      <c r="E164" s="78">
        <f t="shared" si="26"/>
        <v>13.13914416821601</v>
      </c>
      <c r="F164" s="135"/>
    </row>
    <row r="165" spans="1:6">
      <c r="B165" t="s">
        <v>583</v>
      </c>
      <c r="C165" s="514">
        <v>14.550679040753964</v>
      </c>
      <c r="D165" s="135">
        <f t="shared" si="23"/>
        <v>0.05</v>
      </c>
      <c r="E165" s="78">
        <f t="shared" si="26"/>
        <v>14.600679040753965</v>
      </c>
      <c r="F165" s="135"/>
    </row>
    <row r="166" spans="1:6">
      <c r="B166" t="s">
        <v>584</v>
      </c>
      <c r="C166" s="514">
        <v>17.460814848904757</v>
      </c>
      <c r="D166" s="135">
        <f t="shared" si="23"/>
        <v>0.06</v>
      </c>
      <c r="E166" s="78">
        <f t="shared" si="26"/>
        <v>17.520814848904756</v>
      </c>
      <c r="F166" s="135"/>
    </row>
    <row r="167" spans="1:6">
      <c r="B167" t="s">
        <v>585</v>
      </c>
      <c r="C167" s="514">
        <v>20.370950657055552</v>
      </c>
      <c r="D167" s="135">
        <f t="shared" si="23"/>
        <v>7.0000000000000007E-2</v>
      </c>
      <c r="E167" s="78">
        <f t="shared" si="26"/>
        <v>20.440950657055552</v>
      </c>
      <c r="F167" s="135"/>
    </row>
    <row r="168" spans="1:6">
      <c r="F168" s="135"/>
    </row>
    <row r="169" spans="1:6">
      <c r="B169" s="58" t="s">
        <v>586</v>
      </c>
      <c r="F169" s="135"/>
    </row>
    <row r="170" spans="1:6">
      <c r="B170" t="s">
        <v>587</v>
      </c>
      <c r="C170" s="514">
        <v>27.894186079098144</v>
      </c>
      <c r="D170" s="135">
        <f t="shared" si="23"/>
        <v>0.1</v>
      </c>
      <c r="E170" s="78">
        <f t="shared" ref="E170:E176" si="27">C170+D170</f>
        <v>27.994186079098146</v>
      </c>
      <c r="F170" s="135"/>
    </row>
    <row r="171" spans="1:6">
      <c r="B171" t="s">
        <v>588</v>
      </c>
      <c r="C171" s="514">
        <v>39.858359080766292</v>
      </c>
      <c r="D171" s="135">
        <f t="shared" si="23"/>
        <v>0.14000000000000001</v>
      </c>
      <c r="E171" s="78">
        <f t="shared" si="27"/>
        <v>39.998359080766292</v>
      </c>
      <c r="F171" s="135"/>
    </row>
    <row r="172" spans="1:6">
      <c r="B172" t="s">
        <v>589</v>
      </c>
      <c r="C172" s="514">
        <v>54.599731015040774</v>
      </c>
      <c r="D172" s="135">
        <f t="shared" si="23"/>
        <v>0.19</v>
      </c>
      <c r="E172" s="78">
        <f t="shared" si="27"/>
        <v>54.789731015040772</v>
      </c>
      <c r="F172" s="135"/>
    </row>
    <row r="173" spans="1:6">
      <c r="B173" t="s">
        <v>590</v>
      </c>
      <c r="C173" s="514">
        <v>73.418030982381381</v>
      </c>
      <c r="D173" s="135">
        <f t="shared" si="23"/>
        <v>0.26</v>
      </c>
      <c r="E173" s="78">
        <f t="shared" si="27"/>
        <v>73.678030982381387</v>
      </c>
      <c r="F173" s="135"/>
    </row>
    <row r="174" spans="1:6">
      <c r="A174" t="s">
        <v>236</v>
      </c>
      <c r="B174" t="s">
        <v>591</v>
      </c>
      <c r="C174" s="514">
        <v>99.62368011045487</v>
      </c>
      <c r="D174" s="135">
        <f t="shared" si="23"/>
        <v>0.35</v>
      </c>
      <c r="E174" s="78">
        <f t="shared" si="27"/>
        <v>99.973680110454865</v>
      </c>
      <c r="F174" s="135"/>
    </row>
    <row r="175" spans="1:6">
      <c r="A175" t="s">
        <v>592</v>
      </c>
      <c r="B175" t="s">
        <v>593</v>
      </c>
      <c r="C175" s="515">
        <v>138.91</v>
      </c>
      <c r="D175" s="135">
        <f t="shared" si="23"/>
        <v>0.49</v>
      </c>
      <c r="E175" s="78">
        <f t="shared" si="27"/>
        <v>139.4</v>
      </c>
      <c r="F175" s="135"/>
    </row>
    <row r="176" spans="1:6">
      <c r="B176" t="s">
        <v>594</v>
      </c>
      <c r="C176" s="515">
        <v>183.2</v>
      </c>
      <c r="D176" s="135">
        <f t="shared" si="23"/>
        <v>0.64</v>
      </c>
      <c r="E176" s="78">
        <f t="shared" si="27"/>
        <v>183.83999999999997</v>
      </c>
      <c r="F176" s="135"/>
    </row>
    <row r="177" spans="1:6">
      <c r="A177" t="s">
        <v>238</v>
      </c>
      <c r="F177" s="135"/>
    </row>
    <row r="178" spans="1:6">
      <c r="B178" s="58" t="s">
        <v>595</v>
      </c>
      <c r="F178" s="135"/>
    </row>
    <row r="179" spans="1:6">
      <c r="A179" t="s">
        <v>596</v>
      </c>
      <c r="B179" t="s">
        <v>597</v>
      </c>
      <c r="C179" s="514">
        <v>31.22682479822576</v>
      </c>
      <c r="D179" s="135">
        <f t="shared" si="23"/>
        <v>0.11</v>
      </c>
      <c r="E179" s="78">
        <f t="shared" ref="E179:E185" si="28">C179+D179</f>
        <v>31.336824798225759</v>
      </c>
      <c r="F179" s="135"/>
    </row>
    <row r="180" spans="1:6">
      <c r="B180" t="s">
        <v>598</v>
      </c>
      <c r="C180" s="514">
        <v>43.190997799893907</v>
      </c>
      <c r="D180" s="135">
        <f t="shared" si="23"/>
        <v>0.15</v>
      </c>
      <c r="E180" s="78">
        <f t="shared" si="28"/>
        <v>43.340997799893906</v>
      </c>
      <c r="F180" s="135"/>
    </row>
    <row r="181" spans="1:6">
      <c r="A181" t="s">
        <v>599</v>
      </c>
      <c r="B181" t="s">
        <v>600</v>
      </c>
      <c r="C181" s="514">
        <v>57.93236973416839</v>
      </c>
      <c r="D181" s="135">
        <f t="shared" si="23"/>
        <v>0.2</v>
      </c>
      <c r="E181" s="78">
        <f t="shared" si="28"/>
        <v>58.132369734168392</v>
      </c>
      <c r="F181" s="135"/>
    </row>
    <row r="182" spans="1:6">
      <c r="A182" t="s">
        <v>601</v>
      </c>
      <c r="B182" t="s">
        <v>602</v>
      </c>
      <c r="C182" s="514">
        <v>76.750669701508997</v>
      </c>
      <c r="D182" s="135">
        <f t="shared" si="23"/>
        <v>0.27</v>
      </c>
      <c r="E182" s="78">
        <f t="shared" si="28"/>
        <v>77.020669701508993</v>
      </c>
      <c r="F182" s="135"/>
    </row>
    <row r="183" spans="1:6">
      <c r="B183" t="s">
        <v>603</v>
      </c>
      <c r="C183" s="515">
        <v>102.95</v>
      </c>
      <c r="D183" s="135">
        <f t="shared" si="23"/>
        <v>0.36</v>
      </c>
      <c r="E183" s="78">
        <f t="shared" si="28"/>
        <v>103.31</v>
      </c>
      <c r="F183" s="135"/>
    </row>
    <row r="184" spans="1:6">
      <c r="B184" t="s">
        <v>604</v>
      </c>
      <c r="C184" s="515">
        <v>142.24</v>
      </c>
      <c r="D184" s="135">
        <f t="shared" si="23"/>
        <v>0.5</v>
      </c>
      <c r="E184" s="78">
        <f t="shared" si="28"/>
        <v>142.74</v>
      </c>
      <c r="F184" s="135"/>
    </row>
    <row r="185" spans="1:6">
      <c r="B185" t="s">
        <v>605</v>
      </c>
      <c r="C185" s="515">
        <v>186.53</v>
      </c>
      <c r="D185" s="135">
        <f t="shared" si="23"/>
        <v>0.65</v>
      </c>
      <c r="E185" s="78">
        <f t="shared" si="28"/>
        <v>187.18</v>
      </c>
      <c r="F185" s="135"/>
    </row>
    <row r="186" spans="1:6">
      <c r="A186" t="s">
        <v>606</v>
      </c>
      <c r="F186" s="135"/>
    </row>
    <row r="187" spans="1:6">
      <c r="B187" s="58" t="s">
        <v>607</v>
      </c>
      <c r="F187" s="135"/>
    </row>
    <row r="188" spans="1:6">
      <c r="B188" s="58" t="s">
        <v>608</v>
      </c>
      <c r="F188" s="135"/>
    </row>
    <row r="189" spans="1:6" ht="14.25" customHeight="1">
      <c r="B189" t="s">
        <v>609</v>
      </c>
      <c r="C189" s="514">
        <v>25.583327237876752</v>
      </c>
      <c r="D189" s="135">
        <f t="shared" si="23"/>
        <v>0.09</v>
      </c>
      <c r="E189" s="78">
        <f t="shared" ref="E189" si="29">C189+D189</f>
        <v>25.673327237876752</v>
      </c>
      <c r="F189" s="135"/>
    </row>
    <row r="190" spans="1:6">
      <c r="B190" t="s">
        <v>610</v>
      </c>
      <c r="C190" s="514">
        <v>33.679971752998512</v>
      </c>
      <c r="D190" s="135">
        <f t="shared" si="23"/>
        <v>0.12</v>
      </c>
      <c r="E190" s="78">
        <f t="shared" ref="E190:E193" si="30">C190+D190</f>
        <v>33.799971752998509</v>
      </c>
      <c r="F190" s="135"/>
    </row>
    <row r="191" spans="1:6">
      <c r="B191" t="s">
        <v>611</v>
      </c>
      <c r="C191" s="514">
        <v>45.61799553487932</v>
      </c>
      <c r="D191" s="135">
        <f t="shared" si="23"/>
        <v>0.16</v>
      </c>
      <c r="E191" s="78">
        <f t="shared" si="30"/>
        <v>45.777995534879317</v>
      </c>
      <c r="F191" s="135"/>
    </row>
    <row r="192" spans="1:6">
      <c r="B192" t="s">
        <v>612</v>
      </c>
      <c r="C192" s="517">
        <v>58.370857343042353</v>
      </c>
      <c r="D192" s="135">
        <f t="shared" si="23"/>
        <v>0.2</v>
      </c>
      <c r="E192" s="78">
        <f t="shared" si="30"/>
        <v>58.570857343042356</v>
      </c>
      <c r="F192" s="135"/>
    </row>
    <row r="193" spans="2:6">
      <c r="B193" t="s">
        <v>613</v>
      </c>
      <c r="C193" s="517">
        <v>58.370857343042353</v>
      </c>
      <c r="D193" s="135">
        <f t="shared" si="23"/>
        <v>0.2</v>
      </c>
      <c r="E193" s="78">
        <f t="shared" si="30"/>
        <v>58.570857343042356</v>
      </c>
      <c r="F193" s="135"/>
    </row>
    <row r="194" spans="2:6">
      <c r="C194" s="286"/>
      <c r="F194" s="135"/>
    </row>
    <row r="195" spans="2:6">
      <c r="B195" s="58" t="s">
        <v>586</v>
      </c>
      <c r="C195" s="286"/>
      <c r="F195" s="135"/>
    </row>
    <row r="196" spans="2:6">
      <c r="B196" t="s">
        <v>579</v>
      </c>
      <c r="C196" s="514">
        <v>33.470801535771685</v>
      </c>
      <c r="D196" s="135">
        <f t="shared" si="23"/>
        <v>0.12</v>
      </c>
      <c r="E196" s="78">
        <f t="shared" ref="E196:E200" si="31">C196+D196</f>
        <v>33.590801535771682</v>
      </c>
      <c r="F196" s="135"/>
    </row>
    <row r="197" spans="2:6">
      <c r="B197" t="s">
        <v>580</v>
      </c>
      <c r="C197" s="514">
        <v>39.858359080766292</v>
      </c>
      <c r="D197" s="135">
        <f t="shared" si="23"/>
        <v>0.14000000000000001</v>
      </c>
      <c r="E197" s="78">
        <f t="shared" si="31"/>
        <v>39.998359080766292</v>
      </c>
      <c r="F197" s="135"/>
    </row>
    <row r="198" spans="2:6">
      <c r="B198" t="s">
        <v>614</v>
      </c>
      <c r="C198" s="514">
        <v>51.866967265356124</v>
      </c>
      <c r="D198" s="135">
        <f t="shared" si="23"/>
        <v>0.18</v>
      </c>
      <c r="E198" s="78">
        <f t="shared" si="31"/>
        <v>52.046967265356123</v>
      </c>
      <c r="F198" s="135"/>
    </row>
    <row r="199" spans="2:6">
      <c r="B199" t="s">
        <v>582</v>
      </c>
      <c r="C199" s="517">
        <v>73.418030982381381</v>
      </c>
      <c r="D199" s="135">
        <f t="shared" si="23"/>
        <v>0.26</v>
      </c>
      <c r="E199" s="78">
        <f t="shared" si="31"/>
        <v>73.678030982381387</v>
      </c>
      <c r="F199" s="135"/>
    </row>
    <row r="200" spans="2:6">
      <c r="B200" t="s">
        <v>583</v>
      </c>
      <c r="C200" s="517">
        <v>99.62368011045487</v>
      </c>
      <c r="D200" s="135">
        <f t="shared" si="23"/>
        <v>0.35</v>
      </c>
      <c r="E200" s="78">
        <f t="shared" si="31"/>
        <v>99.973680110454865</v>
      </c>
      <c r="F200" s="135"/>
    </row>
    <row r="201" spans="2:6">
      <c r="C201" s="286"/>
      <c r="F201" s="135"/>
    </row>
    <row r="202" spans="2:6">
      <c r="B202" s="58" t="s">
        <v>615</v>
      </c>
      <c r="C202" s="286"/>
      <c r="F202" s="135"/>
    </row>
    <row r="203" spans="2:6">
      <c r="B203" t="s">
        <v>579</v>
      </c>
      <c r="C203" s="517">
        <v>0.72430046780641955</v>
      </c>
      <c r="D203" s="135">
        <f t="shared" si="23"/>
        <v>0</v>
      </c>
      <c r="E203" s="78">
        <f t="shared" ref="E203:E207" si="32">C203+D203</f>
        <v>0.72430046780641955</v>
      </c>
      <c r="F203" s="135"/>
    </row>
    <row r="204" spans="2:6">
      <c r="B204" t="s">
        <v>580</v>
      </c>
      <c r="C204" s="517">
        <v>0.99591314323382696</v>
      </c>
      <c r="D204" s="135">
        <f t="shared" si="23"/>
        <v>0</v>
      </c>
      <c r="E204" s="78">
        <f t="shared" si="32"/>
        <v>0.99591314323382696</v>
      </c>
      <c r="F204" s="135"/>
    </row>
    <row r="205" spans="2:6">
      <c r="B205" t="s">
        <v>614</v>
      </c>
      <c r="C205" s="517">
        <v>1.0605828278594001</v>
      </c>
      <c r="D205" s="135">
        <f t="shared" si="23"/>
        <v>0</v>
      </c>
      <c r="E205" s="78">
        <f t="shared" si="32"/>
        <v>1.0605828278594001</v>
      </c>
      <c r="F205" s="135"/>
    </row>
    <row r="206" spans="2:6">
      <c r="B206" t="s">
        <v>582</v>
      </c>
      <c r="C206" s="517">
        <v>1.2287240078858903</v>
      </c>
      <c r="D206" s="135">
        <f t="shared" si="23"/>
        <v>0</v>
      </c>
      <c r="E206" s="78">
        <f t="shared" si="32"/>
        <v>1.2287240078858903</v>
      </c>
      <c r="F206" s="135"/>
    </row>
    <row r="207" spans="2:6">
      <c r="B207" t="s">
        <v>583</v>
      </c>
      <c r="C207" s="517">
        <v>1.4227330617626099</v>
      </c>
      <c r="D207" s="135">
        <f t="shared" si="23"/>
        <v>0</v>
      </c>
      <c r="E207" s="78">
        <f t="shared" si="32"/>
        <v>1.4227330617626099</v>
      </c>
      <c r="F207" s="135"/>
    </row>
    <row r="208" spans="2:6">
      <c r="F208" s="135"/>
    </row>
    <row r="209" spans="2:6">
      <c r="B209" s="58" t="s">
        <v>616</v>
      </c>
      <c r="C209" s="286"/>
      <c r="F209" s="135"/>
    </row>
    <row r="210" spans="2:6">
      <c r="B210" t="s">
        <v>579</v>
      </c>
      <c r="C210" s="517">
        <v>7.2430046780641941</v>
      </c>
      <c r="D210" s="135">
        <f t="shared" ref="D210:D270" si="33">+ROUND($H$5*C210,2)</f>
        <v>0.03</v>
      </c>
      <c r="E210" s="78">
        <f t="shared" ref="E210:E214" si="34">C210+D210</f>
        <v>7.2730046780641944</v>
      </c>
      <c r="F210" s="135"/>
    </row>
    <row r="211" spans="2:6">
      <c r="B211" t="s">
        <v>580</v>
      </c>
      <c r="C211" s="517">
        <v>9.9591314323382694</v>
      </c>
      <c r="D211" s="135">
        <f t="shared" si="33"/>
        <v>0.03</v>
      </c>
      <c r="E211" s="78">
        <f t="shared" si="34"/>
        <v>9.9891314323382687</v>
      </c>
      <c r="F211" s="135"/>
    </row>
    <row r="212" spans="2:6">
      <c r="B212" t="s">
        <v>614</v>
      </c>
      <c r="C212" s="517">
        <v>10.605828278594</v>
      </c>
      <c r="D212" s="135">
        <f t="shared" si="33"/>
        <v>0.04</v>
      </c>
      <c r="E212" s="78">
        <f t="shared" si="34"/>
        <v>10.645828278593999</v>
      </c>
      <c r="F212" s="135"/>
    </row>
    <row r="213" spans="2:6">
      <c r="B213" t="s">
        <v>582</v>
      </c>
      <c r="C213" s="517">
        <v>12.287240078858904</v>
      </c>
      <c r="D213" s="135">
        <f t="shared" si="33"/>
        <v>0.04</v>
      </c>
      <c r="E213" s="78">
        <f t="shared" si="34"/>
        <v>12.327240078858903</v>
      </c>
      <c r="F213" s="135"/>
    </row>
    <row r="214" spans="2:6">
      <c r="B214" t="s">
        <v>583</v>
      </c>
      <c r="C214" s="517">
        <v>14.227330617626098</v>
      </c>
      <c r="D214" s="135">
        <f t="shared" si="33"/>
        <v>0.05</v>
      </c>
      <c r="E214" s="78">
        <f t="shared" si="34"/>
        <v>14.277330617626099</v>
      </c>
      <c r="F214" s="135"/>
    </row>
    <row r="215" spans="2:6">
      <c r="F215" s="135"/>
    </row>
    <row r="216" spans="2:6">
      <c r="B216" t="s">
        <v>617</v>
      </c>
      <c r="C216" s="514">
        <v>34.303961215553592</v>
      </c>
      <c r="D216" s="135">
        <f t="shared" si="33"/>
        <v>0.12</v>
      </c>
      <c r="E216" s="78">
        <f t="shared" ref="E216" si="35">C216+D216</f>
        <v>34.423961215553589</v>
      </c>
      <c r="F216" s="135"/>
    </row>
    <row r="217" spans="2:6">
      <c r="F217" s="135"/>
    </row>
    <row r="218" spans="2:6">
      <c r="B218" t="s">
        <v>618</v>
      </c>
      <c r="C218" s="514">
        <v>1.2441851218076434</v>
      </c>
      <c r="D218" s="135">
        <f t="shared" si="33"/>
        <v>0</v>
      </c>
      <c r="E218" s="78">
        <f t="shared" ref="E218" si="36">C218+D218</f>
        <v>1.2441851218076434</v>
      </c>
      <c r="F218" s="135"/>
    </row>
    <row r="219" spans="2:6">
      <c r="F219" s="135"/>
    </row>
    <row r="220" spans="2:6">
      <c r="B220" s="58" t="s">
        <v>619</v>
      </c>
      <c r="F220" s="135"/>
    </row>
    <row r="221" spans="2:6">
      <c r="F221" s="135"/>
    </row>
    <row r="222" spans="2:6">
      <c r="B222" t="s">
        <v>620</v>
      </c>
      <c r="C222" s="515">
        <v>7.46</v>
      </c>
      <c r="D222" s="135">
        <f t="shared" si="33"/>
        <v>0.03</v>
      </c>
      <c r="E222" s="78">
        <f t="shared" ref="E222:E223" si="37">C222+D222</f>
        <v>7.49</v>
      </c>
      <c r="F222" s="135"/>
    </row>
    <row r="223" spans="2:6">
      <c r="B223" t="s">
        <v>621</v>
      </c>
      <c r="C223" s="514">
        <v>9.6868698769309383</v>
      </c>
      <c r="D223" s="135">
        <f t="shared" si="33"/>
        <v>0.03</v>
      </c>
      <c r="E223" s="78">
        <f t="shared" si="37"/>
        <v>9.7168698769309376</v>
      </c>
      <c r="F223" s="135"/>
    </row>
    <row r="224" spans="2:6">
      <c r="F224" s="135"/>
    </row>
    <row r="225" spans="2:6">
      <c r="B225" t="s">
        <v>622</v>
      </c>
      <c r="C225" s="514">
        <v>9.5424555324354063</v>
      </c>
      <c r="D225" s="135">
        <f t="shared" si="33"/>
        <v>0.03</v>
      </c>
      <c r="E225" s="78">
        <f t="shared" ref="E225:E226" si="38">C225+D225</f>
        <v>9.5724555324354057</v>
      </c>
      <c r="F225" s="135"/>
    </row>
    <row r="226" spans="2:6">
      <c r="B226" t="s">
        <v>623</v>
      </c>
      <c r="C226" s="515">
        <v>12.87</v>
      </c>
      <c r="D226" s="135">
        <f t="shared" si="33"/>
        <v>0.05</v>
      </c>
      <c r="E226" s="78">
        <f t="shared" si="38"/>
        <v>12.92</v>
      </c>
      <c r="F226" s="135"/>
    </row>
    <row r="227" spans="2:6">
      <c r="F227" s="135"/>
    </row>
    <row r="228" spans="2:6">
      <c r="B228" t="s">
        <v>624</v>
      </c>
      <c r="C228" s="514">
        <v>12.552939175380688</v>
      </c>
      <c r="D228" s="135">
        <f t="shared" si="33"/>
        <v>0.04</v>
      </c>
      <c r="E228" s="78">
        <f t="shared" ref="E228:E229" si="39">C228+D228</f>
        <v>12.592939175380687</v>
      </c>
      <c r="F228" s="135"/>
    </row>
    <row r="229" spans="2:6">
      <c r="B229" t="s">
        <v>625</v>
      </c>
      <c r="C229" s="514">
        <v>15.885577894508303</v>
      </c>
      <c r="D229" s="135">
        <f t="shared" si="33"/>
        <v>0.06</v>
      </c>
      <c r="E229" s="78">
        <f t="shared" si="39"/>
        <v>15.945577894508304</v>
      </c>
      <c r="F229" s="135"/>
    </row>
    <row r="230" spans="2:6">
      <c r="F230" s="135"/>
    </row>
    <row r="231" spans="2:6">
      <c r="B231" t="s">
        <v>626</v>
      </c>
      <c r="C231" s="514">
        <v>34.303961215553592</v>
      </c>
      <c r="D231" s="135">
        <f t="shared" si="33"/>
        <v>0.12</v>
      </c>
      <c r="E231" s="78">
        <f t="shared" ref="E231" si="40">C231+D231</f>
        <v>34.423961215553589</v>
      </c>
      <c r="F231" s="135"/>
    </row>
    <row r="232" spans="2:6">
      <c r="F232" s="135"/>
    </row>
    <row r="233" spans="2:6">
      <c r="B233" t="s">
        <v>627</v>
      </c>
      <c r="C233" s="514">
        <v>7.96</v>
      </c>
      <c r="D233" s="135">
        <f t="shared" si="33"/>
        <v>0.03</v>
      </c>
      <c r="E233" s="78">
        <f t="shared" ref="E233" si="41">C233+D233</f>
        <v>7.99</v>
      </c>
      <c r="F233" s="135"/>
    </row>
    <row r="234" spans="2:6">
      <c r="F234" s="135"/>
    </row>
    <row r="235" spans="2:6">
      <c r="B235" t="s">
        <v>628</v>
      </c>
      <c r="C235" s="514">
        <v>32.32659557553788</v>
      </c>
      <c r="D235" s="135">
        <f t="shared" si="33"/>
        <v>0.11</v>
      </c>
      <c r="E235" s="78">
        <f t="shared" ref="E235" si="42">C235+D235</f>
        <v>32.436595575537879</v>
      </c>
      <c r="F235" s="135"/>
    </row>
    <row r="236" spans="2:6">
      <c r="B236" t="s">
        <v>629</v>
      </c>
      <c r="C236" s="514">
        <v>41.346937708643289</v>
      </c>
      <c r="D236" s="135">
        <f t="shared" si="33"/>
        <v>0.14000000000000001</v>
      </c>
      <c r="E236" s="78">
        <f t="shared" ref="E236:E237" si="43">C236+D236</f>
        <v>41.486937708643289</v>
      </c>
    </row>
    <row r="237" spans="2:6">
      <c r="B237" t="s">
        <v>630</v>
      </c>
      <c r="C237" s="514">
        <v>54.377555100432268</v>
      </c>
      <c r="D237" s="135">
        <f t="shared" si="33"/>
        <v>0.19</v>
      </c>
      <c r="E237" s="78">
        <f t="shared" si="43"/>
        <v>54.567555100432266</v>
      </c>
    </row>
    <row r="239" spans="2:6">
      <c r="B239" t="s">
        <v>618</v>
      </c>
      <c r="C239" s="514">
        <v>1.2441851218076434</v>
      </c>
      <c r="D239" s="135">
        <f t="shared" si="33"/>
        <v>0</v>
      </c>
      <c r="E239" s="78">
        <f t="shared" ref="E239" si="44">C239+D239</f>
        <v>1.2441851218076434</v>
      </c>
    </row>
    <row r="241" spans="2:5">
      <c r="B241" s="58" t="s">
        <v>631</v>
      </c>
    </row>
    <row r="243" spans="2:5">
      <c r="B243" t="s">
        <v>620</v>
      </c>
      <c r="C243" s="514">
        <v>6.6319510510639557</v>
      </c>
      <c r="D243" s="135">
        <f t="shared" si="33"/>
        <v>0.02</v>
      </c>
      <c r="E243" s="78">
        <f t="shared" ref="E243:E244" si="45">C243+D243</f>
        <v>6.6519510510639552</v>
      </c>
    </row>
    <row r="244" spans="2:5">
      <c r="B244" t="s">
        <v>621</v>
      </c>
      <c r="C244" s="514">
        <v>8.8537101971490326</v>
      </c>
      <c r="D244" s="135">
        <f t="shared" si="33"/>
        <v>0.03</v>
      </c>
      <c r="E244" s="78">
        <f t="shared" si="45"/>
        <v>8.883710197149032</v>
      </c>
    </row>
    <row r="246" spans="2:5">
      <c r="B246" t="s">
        <v>589</v>
      </c>
      <c r="C246" s="514">
        <v>54.599731015040774</v>
      </c>
      <c r="D246" s="135">
        <f t="shared" si="33"/>
        <v>0.19</v>
      </c>
      <c r="E246" s="78">
        <f t="shared" ref="E246:E249" si="46">C246+D246</f>
        <v>54.789731015040772</v>
      </c>
    </row>
    <row r="247" spans="2:5">
      <c r="B247" t="s">
        <v>590</v>
      </c>
      <c r="C247" s="514">
        <v>73.418030982381381</v>
      </c>
      <c r="D247" s="135">
        <f t="shared" si="33"/>
        <v>0.26</v>
      </c>
      <c r="E247" s="78">
        <f t="shared" si="46"/>
        <v>73.678030982381387</v>
      </c>
    </row>
    <row r="248" spans="2:5">
      <c r="B248" t="s">
        <v>591</v>
      </c>
      <c r="C248" s="514">
        <v>99.62368011045487</v>
      </c>
      <c r="D248" s="135">
        <f t="shared" si="33"/>
        <v>0.35</v>
      </c>
      <c r="E248" s="78">
        <f t="shared" si="46"/>
        <v>99.973680110454865</v>
      </c>
    </row>
    <row r="249" spans="2:5">
      <c r="B249" t="s">
        <v>632</v>
      </c>
      <c r="C249" s="514">
        <v>138.90438181323904</v>
      </c>
      <c r="D249" s="135">
        <f t="shared" si="33"/>
        <v>0.49</v>
      </c>
      <c r="E249" s="78">
        <f t="shared" si="46"/>
        <v>139.39438181323905</v>
      </c>
    </row>
    <row r="251" spans="2:5">
      <c r="B251" t="s">
        <v>600</v>
      </c>
      <c r="C251" s="514">
        <v>57.93236973416839</v>
      </c>
      <c r="D251" s="135">
        <f t="shared" si="33"/>
        <v>0.2</v>
      </c>
      <c r="E251" s="78">
        <f t="shared" ref="E251:E254" si="47">C251+D251</f>
        <v>58.132369734168392</v>
      </c>
    </row>
    <row r="252" spans="2:5">
      <c r="B252" t="s">
        <v>602</v>
      </c>
      <c r="C252" s="514">
        <v>76.750669701508997</v>
      </c>
      <c r="D252" s="135">
        <f t="shared" si="33"/>
        <v>0.27</v>
      </c>
      <c r="E252" s="78">
        <f t="shared" si="47"/>
        <v>77.020669701508993</v>
      </c>
    </row>
    <row r="253" spans="2:5">
      <c r="B253" t="s">
        <v>603</v>
      </c>
      <c r="C253" s="515">
        <v>102.95</v>
      </c>
      <c r="D253" s="135">
        <f t="shared" si="33"/>
        <v>0.36</v>
      </c>
      <c r="E253" s="78">
        <f t="shared" si="47"/>
        <v>103.31</v>
      </c>
    </row>
    <row r="254" spans="2:5">
      <c r="B254" t="s">
        <v>633</v>
      </c>
      <c r="C254" s="515">
        <v>142.22999999999999</v>
      </c>
      <c r="D254" s="135">
        <f t="shared" si="33"/>
        <v>0.5</v>
      </c>
      <c r="E254" s="78">
        <f t="shared" si="47"/>
        <v>142.72999999999999</v>
      </c>
    </row>
    <row r="256" spans="2:5">
      <c r="B256" t="s">
        <v>634</v>
      </c>
      <c r="C256" s="514">
        <v>34.303961215553592</v>
      </c>
      <c r="D256" s="135">
        <f t="shared" si="33"/>
        <v>0.12</v>
      </c>
      <c r="E256" s="78">
        <f t="shared" ref="E256" si="48">C256+D256</f>
        <v>34.423961215553589</v>
      </c>
    </row>
    <row r="257" spans="2:5" ht="14.25" customHeight="1"/>
    <row r="258" spans="2:5" ht="14.25" customHeight="1">
      <c r="B258" t="s">
        <v>606</v>
      </c>
      <c r="C258" s="514">
        <v>8.4426847551232935</v>
      </c>
      <c r="D258" s="135">
        <f t="shared" si="33"/>
        <v>0.03</v>
      </c>
      <c r="E258" s="78">
        <f t="shared" ref="E258" si="49">C258+D258</f>
        <v>8.4726847551232929</v>
      </c>
    </row>
    <row r="260" spans="2:5">
      <c r="B260" t="s">
        <v>635</v>
      </c>
      <c r="C260" s="514">
        <v>28.760672146071325</v>
      </c>
      <c r="D260" s="135">
        <f t="shared" si="33"/>
        <v>0.1</v>
      </c>
      <c r="E260" s="78">
        <f t="shared" ref="E260" si="50">C260+D260</f>
        <v>28.860672146071327</v>
      </c>
    </row>
    <row r="262" spans="2:5">
      <c r="B262" t="s">
        <v>618</v>
      </c>
      <c r="C262" s="514">
        <v>1.2441851218076434</v>
      </c>
      <c r="D262" s="135">
        <f t="shared" si="33"/>
        <v>0</v>
      </c>
      <c r="E262" s="78">
        <f t="shared" ref="E262" si="51">C262+D262</f>
        <v>1.2441851218076434</v>
      </c>
    </row>
    <row r="264" spans="2:5">
      <c r="B264" s="58" t="s">
        <v>636</v>
      </c>
    </row>
    <row r="265" spans="2:5">
      <c r="B265" t="s">
        <v>591</v>
      </c>
      <c r="C265" s="514">
        <v>214.32199602709699</v>
      </c>
      <c r="D265" s="135">
        <f t="shared" si="33"/>
        <v>0.75</v>
      </c>
      <c r="E265" s="78">
        <f t="shared" ref="E265:E266" si="52">C265+D265</f>
        <v>215.07199602709699</v>
      </c>
    </row>
    <row r="266" spans="2:5">
      <c r="B266" t="s">
        <v>603</v>
      </c>
      <c r="C266" s="515">
        <v>219.89</v>
      </c>
      <c r="D266" s="135">
        <f t="shared" si="33"/>
        <v>0.77</v>
      </c>
      <c r="E266" s="78">
        <f t="shared" si="52"/>
        <v>220.66</v>
      </c>
    </row>
    <row r="268" spans="2:5">
      <c r="B268" t="s">
        <v>637</v>
      </c>
      <c r="C268" s="514">
        <v>6.132055243194813</v>
      </c>
      <c r="D268" s="135">
        <f t="shared" si="33"/>
        <v>0.02</v>
      </c>
      <c r="E268" s="78">
        <f t="shared" ref="E268" si="53">C268+D268</f>
        <v>6.1520552431948126</v>
      </c>
    </row>
    <row r="270" spans="2:5">
      <c r="B270" t="s">
        <v>638</v>
      </c>
      <c r="C270" s="514">
        <v>1.2441851218076434</v>
      </c>
      <c r="D270" s="135">
        <f t="shared" si="33"/>
        <v>0</v>
      </c>
      <c r="E270" s="78">
        <f t="shared" ref="E270" si="54">C270+D270</f>
        <v>1.2441851218076434</v>
      </c>
    </row>
    <row r="272" spans="2:5">
      <c r="B272" s="58" t="s">
        <v>639</v>
      </c>
    </row>
    <row r="273" spans="2:5">
      <c r="B273" s="58" t="s">
        <v>640</v>
      </c>
    </row>
    <row r="274" spans="2:5">
      <c r="B274" t="s">
        <v>641</v>
      </c>
      <c r="C274" s="514">
        <v>72.762612034286278</v>
      </c>
      <c r="D274" s="135">
        <f t="shared" ref="D274:D337" si="55">+ROUND($H$5*C274,2)</f>
        <v>0.25</v>
      </c>
      <c r="E274" s="78">
        <f t="shared" ref="E274:E278" si="56">C274+D274</f>
        <v>73.012612034286278</v>
      </c>
    </row>
    <row r="275" spans="2:5">
      <c r="B275" t="s">
        <v>642</v>
      </c>
      <c r="C275" s="514">
        <v>87.370678419795667</v>
      </c>
      <c r="D275" s="135">
        <f t="shared" si="55"/>
        <v>0.31</v>
      </c>
      <c r="E275" s="78">
        <f t="shared" si="56"/>
        <v>87.680678419795669</v>
      </c>
    </row>
    <row r="276" spans="2:5">
      <c r="B276" t="s">
        <v>643</v>
      </c>
      <c r="C276" s="514">
        <v>90.98103703218392</v>
      </c>
      <c r="D276" s="135">
        <f t="shared" si="55"/>
        <v>0.32</v>
      </c>
      <c r="E276" s="78">
        <f t="shared" si="56"/>
        <v>91.301037032183913</v>
      </c>
    </row>
    <row r="277" spans="2:5">
      <c r="B277" t="s">
        <v>644</v>
      </c>
      <c r="C277" s="514">
        <v>90.98103703218392</v>
      </c>
      <c r="D277" s="135">
        <f t="shared" si="55"/>
        <v>0.32</v>
      </c>
      <c r="E277" s="78">
        <f t="shared" si="56"/>
        <v>91.301037032183913</v>
      </c>
    </row>
    <row r="278" spans="2:5">
      <c r="B278" t="s">
        <v>645</v>
      </c>
      <c r="C278" s="514">
        <v>90.98103703218392</v>
      </c>
      <c r="D278" s="135">
        <f t="shared" si="55"/>
        <v>0.32</v>
      </c>
      <c r="E278" s="78">
        <f t="shared" si="56"/>
        <v>91.301037032183913</v>
      </c>
    </row>
    <row r="280" spans="2:5">
      <c r="B280" s="58" t="s">
        <v>646</v>
      </c>
    </row>
    <row r="281" spans="2:5">
      <c r="B281" s="58" t="s">
        <v>647</v>
      </c>
    </row>
    <row r="282" spans="2:5">
      <c r="B282" t="s">
        <v>641</v>
      </c>
      <c r="C282" s="515">
        <v>114.46</v>
      </c>
      <c r="D282" s="135">
        <f t="shared" si="55"/>
        <v>0.4</v>
      </c>
      <c r="E282" s="78">
        <f t="shared" ref="E282:E286" si="57">C282+D282</f>
        <v>114.86</v>
      </c>
    </row>
    <row r="283" spans="2:5">
      <c r="B283" t="s">
        <v>642</v>
      </c>
      <c r="C283" s="514">
        <v>118.61972080948227</v>
      </c>
      <c r="D283" s="135">
        <f t="shared" si="55"/>
        <v>0.42</v>
      </c>
      <c r="E283" s="78">
        <f t="shared" si="57"/>
        <v>119.03972080948228</v>
      </c>
    </row>
    <row r="284" spans="2:5">
      <c r="B284" t="s">
        <v>643</v>
      </c>
      <c r="C284" s="515">
        <v>122.3</v>
      </c>
      <c r="D284" s="135">
        <f t="shared" si="55"/>
        <v>0.43</v>
      </c>
      <c r="E284" s="78">
        <f t="shared" si="57"/>
        <v>122.73</v>
      </c>
    </row>
    <row r="285" spans="2:5">
      <c r="B285" t="s">
        <v>644</v>
      </c>
      <c r="C285" s="514">
        <v>125.98485237875431</v>
      </c>
      <c r="D285" s="135">
        <f t="shared" si="55"/>
        <v>0.44</v>
      </c>
      <c r="E285" s="78">
        <f t="shared" si="57"/>
        <v>126.42485237875431</v>
      </c>
    </row>
    <row r="286" spans="2:5">
      <c r="B286" t="s">
        <v>645</v>
      </c>
      <c r="C286" s="514">
        <v>145.99179348925043</v>
      </c>
      <c r="D286" s="135">
        <f t="shared" si="55"/>
        <v>0.51</v>
      </c>
      <c r="E286" s="78">
        <f t="shared" si="57"/>
        <v>146.50179348925042</v>
      </c>
    </row>
    <row r="287" spans="2:5">
      <c r="E287"/>
    </row>
    <row r="288" spans="2:5">
      <c r="B288" s="58" t="s">
        <v>648</v>
      </c>
    </row>
    <row r="289" spans="2:5">
      <c r="B289" t="s">
        <v>641</v>
      </c>
      <c r="C289" s="515">
        <v>185.13</v>
      </c>
      <c r="D289" s="135">
        <f t="shared" si="55"/>
        <v>0.65</v>
      </c>
      <c r="E289" s="78">
        <f t="shared" ref="E289:E293" si="58">C289+D289</f>
        <v>185.78</v>
      </c>
    </row>
    <row r="290" spans="2:5">
      <c r="B290" t="s">
        <v>642</v>
      </c>
      <c r="C290" s="515">
        <v>185.13</v>
      </c>
      <c r="D290" s="135">
        <f t="shared" si="55"/>
        <v>0.65</v>
      </c>
      <c r="E290" s="78">
        <f t="shared" si="58"/>
        <v>185.78</v>
      </c>
    </row>
    <row r="291" spans="2:5">
      <c r="B291" t="s">
        <v>643</v>
      </c>
      <c r="C291" s="515">
        <v>185.13</v>
      </c>
      <c r="D291" s="135">
        <f t="shared" si="55"/>
        <v>0.65</v>
      </c>
      <c r="E291" s="78">
        <f t="shared" si="58"/>
        <v>185.78</v>
      </c>
    </row>
    <row r="292" spans="2:5">
      <c r="B292" t="s">
        <v>644</v>
      </c>
      <c r="C292" s="515">
        <v>185.13</v>
      </c>
      <c r="D292" s="135">
        <f t="shared" si="55"/>
        <v>0.65</v>
      </c>
      <c r="E292" s="78">
        <f t="shared" si="58"/>
        <v>185.78</v>
      </c>
    </row>
    <row r="293" spans="2:5">
      <c r="B293" t="s">
        <v>645</v>
      </c>
      <c r="C293" s="515">
        <v>185.13</v>
      </c>
      <c r="D293" s="135">
        <f t="shared" si="55"/>
        <v>0.65</v>
      </c>
      <c r="E293" s="78">
        <f t="shared" si="58"/>
        <v>185.78</v>
      </c>
    </row>
    <row r="295" spans="2:5">
      <c r="B295" s="58" t="s">
        <v>649</v>
      </c>
    </row>
    <row r="296" spans="2:5">
      <c r="B296" t="s">
        <v>641</v>
      </c>
      <c r="C296" s="515">
        <v>161.35</v>
      </c>
      <c r="D296" s="135">
        <f t="shared" si="55"/>
        <v>0.56000000000000005</v>
      </c>
      <c r="E296" s="78">
        <f t="shared" ref="E296:E300" si="59">C296+D296</f>
        <v>161.91</v>
      </c>
    </row>
    <row r="297" spans="2:5">
      <c r="B297" t="s">
        <v>642</v>
      </c>
      <c r="C297" s="514">
        <v>170.33116493461247</v>
      </c>
      <c r="D297" s="135">
        <f t="shared" si="55"/>
        <v>0.6</v>
      </c>
      <c r="E297" s="78">
        <f t="shared" si="59"/>
        <v>170.93116493461247</v>
      </c>
    </row>
    <row r="298" spans="2:5">
      <c r="B298" t="s">
        <v>643</v>
      </c>
      <c r="C298" s="515">
        <v>249.52</v>
      </c>
      <c r="D298" s="135">
        <f t="shared" si="55"/>
        <v>0.87</v>
      </c>
      <c r="E298" s="78">
        <f t="shared" si="59"/>
        <v>250.39000000000001</v>
      </c>
    </row>
    <row r="299" spans="2:5">
      <c r="B299" t="s">
        <v>644</v>
      </c>
      <c r="C299" s="515">
        <v>268.89999999999998</v>
      </c>
      <c r="D299" s="135">
        <f t="shared" si="55"/>
        <v>0.94</v>
      </c>
      <c r="E299" s="78">
        <f t="shared" si="59"/>
        <v>269.83999999999997</v>
      </c>
    </row>
    <row r="300" spans="2:5">
      <c r="B300" t="s">
        <v>645</v>
      </c>
      <c r="C300" s="515">
        <v>268.89999999999998</v>
      </c>
      <c r="D300" s="135">
        <f t="shared" si="55"/>
        <v>0.94</v>
      </c>
      <c r="E300" s="78">
        <f t="shared" si="59"/>
        <v>269.83999999999997</v>
      </c>
    </row>
    <row r="302" spans="2:5">
      <c r="B302" s="58" t="s">
        <v>607</v>
      </c>
    </row>
    <row r="303" spans="2:5">
      <c r="B303" s="58" t="s">
        <v>650</v>
      </c>
    </row>
    <row r="304" spans="2:5">
      <c r="B304" t="s">
        <v>641</v>
      </c>
      <c r="C304" s="514">
        <v>8.8870365843403096</v>
      </c>
      <c r="D304" s="135">
        <f t="shared" si="55"/>
        <v>0.03</v>
      </c>
      <c r="E304" s="78">
        <f t="shared" ref="E304:E308" si="60">C304+D304</f>
        <v>8.917036584340309</v>
      </c>
    </row>
    <row r="305" spans="2:5">
      <c r="B305" t="s">
        <v>642</v>
      </c>
      <c r="C305" s="515">
        <v>10.66</v>
      </c>
      <c r="D305" s="135">
        <f t="shared" si="55"/>
        <v>0.04</v>
      </c>
      <c r="E305" s="78">
        <f t="shared" si="60"/>
        <v>10.7</v>
      </c>
    </row>
    <row r="306" spans="2:5">
      <c r="B306" t="s">
        <v>643</v>
      </c>
      <c r="C306" s="514">
        <v>13.330554876510464</v>
      </c>
      <c r="D306" s="135">
        <f t="shared" si="55"/>
        <v>0.05</v>
      </c>
      <c r="E306" s="78">
        <f t="shared" si="60"/>
        <v>13.380554876510464</v>
      </c>
    </row>
    <row r="307" spans="2:5">
      <c r="B307" t="s">
        <v>644</v>
      </c>
      <c r="C307" s="514">
        <v>17.774073168680619</v>
      </c>
      <c r="D307" s="135">
        <f t="shared" si="55"/>
        <v>0.06</v>
      </c>
      <c r="E307" s="78">
        <f t="shared" si="60"/>
        <v>17.834073168680618</v>
      </c>
    </row>
    <row r="308" spans="2:5">
      <c r="B308" t="s">
        <v>645</v>
      </c>
      <c r="C308" s="514">
        <v>17.774073168680619</v>
      </c>
      <c r="D308" s="135">
        <f t="shared" si="55"/>
        <v>0.06</v>
      </c>
      <c r="E308" s="78">
        <f t="shared" si="60"/>
        <v>17.834073168680618</v>
      </c>
    </row>
    <row r="310" spans="2:5">
      <c r="B310" s="58" t="s">
        <v>651</v>
      </c>
    </row>
    <row r="311" spans="2:5">
      <c r="B311" t="s">
        <v>641</v>
      </c>
      <c r="C311" s="514">
        <v>72.762612034286278</v>
      </c>
      <c r="D311" s="135">
        <f t="shared" si="55"/>
        <v>0.25</v>
      </c>
      <c r="E311" s="78">
        <f t="shared" ref="E311:E315" si="61">C311+D311</f>
        <v>73.012612034286278</v>
      </c>
    </row>
    <row r="312" spans="2:5">
      <c r="B312" t="s">
        <v>642</v>
      </c>
      <c r="C312" s="514">
        <v>87.370678419795667</v>
      </c>
      <c r="D312" s="135">
        <f t="shared" si="55"/>
        <v>0.31</v>
      </c>
      <c r="E312" s="78">
        <f t="shared" si="61"/>
        <v>87.680678419795669</v>
      </c>
    </row>
    <row r="313" spans="2:5">
      <c r="B313" t="s">
        <v>643</v>
      </c>
      <c r="C313" s="514">
        <v>90.98103703218392</v>
      </c>
      <c r="D313" s="135">
        <f t="shared" si="55"/>
        <v>0.32</v>
      </c>
      <c r="E313" s="78">
        <f t="shared" si="61"/>
        <v>91.301037032183913</v>
      </c>
    </row>
    <row r="314" spans="2:5">
      <c r="B314" t="s">
        <v>644</v>
      </c>
      <c r="C314" s="514">
        <v>90.98103703218392</v>
      </c>
      <c r="D314" s="135">
        <f t="shared" si="55"/>
        <v>0.32</v>
      </c>
      <c r="E314" s="78">
        <f t="shared" si="61"/>
        <v>91.301037032183913</v>
      </c>
    </row>
    <row r="315" spans="2:5">
      <c r="B315" t="s">
        <v>645</v>
      </c>
      <c r="C315" s="514">
        <v>90.98103703218392</v>
      </c>
      <c r="D315" s="135">
        <f t="shared" si="55"/>
        <v>0.32</v>
      </c>
      <c r="E315" s="78">
        <f t="shared" si="61"/>
        <v>91.301037032183913</v>
      </c>
    </row>
    <row r="317" spans="2:5">
      <c r="B317" s="58" t="s">
        <v>652</v>
      </c>
      <c r="C317" s="514">
        <v>4.2657775604833486</v>
      </c>
      <c r="D317" s="135">
        <f t="shared" si="55"/>
        <v>0.01</v>
      </c>
      <c r="E317" s="78">
        <f t="shared" ref="E317" si="62">C317+D317</f>
        <v>4.2757775604833483</v>
      </c>
    </row>
    <row r="319" spans="2:5">
      <c r="B319" s="58" t="s">
        <v>653</v>
      </c>
    </row>
    <row r="320" spans="2:5">
      <c r="B320" s="58" t="s">
        <v>654</v>
      </c>
    </row>
    <row r="321" spans="2:5">
      <c r="B321" t="s">
        <v>655</v>
      </c>
      <c r="C321" s="514">
        <v>2008.0378894904459</v>
      </c>
      <c r="D321" s="135">
        <f t="shared" si="55"/>
        <v>7.03</v>
      </c>
      <c r="E321" s="78">
        <f t="shared" ref="E321:E322" si="63">C321+D321</f>
        <v>2015.0678894904459</v>
      </c>
    </row>
    <row r="322" spans="2:5">
      <c r="B322" t="s">
        <v>656</v>
      </c>
      <c r="C322" s="515">
        <v>2681.04</v>
      </c>
      <c r="D322" s="135">
        <f t="shared" si="55"/>
        <v>9.3800000000000008</v>
      </c>
      <c r="E322" s="78">
        <f t="shared" si="63"/>
        <v>2690.42</v>
      </c>
    </row>
    <row r="324" spans="2:5">
      <c r="B324" s="58" t="s">
        <v>657</v>
      </c>
    </row>
    <row r="325" spans="2:5">
      <c r="B325" t="s">
        <v>655</v>
      </c>
      <c r="C325" s="515">
        <v>2120.16</v>
      </c>
      <c r="D325" s="135">
        <f t="shared" si="55"/>
        <v>7.42</v>
      </c>
      <c r="E325" s="78">
        <f t="shared" ref="E325:E326" si="64">C325+D325</f>
        <v>2127.58</v>
      </c>
    </row>
    <row r="326" spans="2:5">
      <c r="B326" t="s">
        <v>656</v>
      </c>
      <c r="C326" s="515">
        <v>2797.58</v>
      </c>
      <c r="D326" s="135">
        <f t="shared" si="55"/>
        <v>9.7899999999999991</v>
      </c>
      <c r="E326" s="78">
        <f t="shared" si="64"/>
        <v>2807.37</v>
      </c>
    </row>
    <row r="327" spans="2:5">
      <c r="E327"/>
    </row>
    <row r="328" spans="2:5">
      <c r="B328" t="s">
        <v>658</v>
      </c>
      <c r="C328" s="514">
        <v>27.771989326063466</v>
      </c>
      <c r="D328" s="135">
        <f t="shared" si="55"/>
        <v>0.1</v>
      </c>
      <c r="E328" s="78">
        <f t="shared" ref="E328" si="65">C328+D328</f>
        <v>27.871989326063467</v>
      </c>
    </row>
    <row r="330" spans="2:5">
      <c r="B330" t="s">
        <v>659</v>
      </c>
      <c r="C330" s="514">
        <v>1.2441851218076434</v>
      </c>
      <c r="D330" s="135">
        <f t="shared" si="55"/>
        <v>0</v>
      </c>
      <c r="E330" s="78">
        <f t="shared" ref="E330" si="66">C330+D330</f>
        <v>1.2441851218076434</v>
      </c>
    </row>
    <row r="332" spans="2:5">
      <c r="B332" s="58" t="s">
        <v>660</v>
      </c>
    </row>
    <row r="333" spans="2:5">
      <c r="B333" s="58" t="s">
        <v>661</v>
      </c>
    </row>
    <row r="334" spans="2:5">
      <c r="B334" t="s">
        <v>586</v>
      </c>
    </row>
    <row r="335" spans="2:5">
      <c r="B335" t="s">
        <v>641</v>
      </c>
      <c r="C335" s="514">
        <v>108.94395972828175</v>
      </c>
      <c r="D335" s="135">
        <f t="shared" si="55"/>
        <v>0.38</v>
      </c>
      <c r="E335" s="78">
        <f t="shared" ref="E335:E339" si="67">C335+D335</f>
        <v>109.32395972828175</v>
      </c>
    </row>
    <row r="336" spans="2:5">
      <c r="B336" t="s">
        <v>642</v>
      </c>
      <c r="C336" s="514">
        <v>118.64193840094312</v>
      </c>
      <c r="D336" s="135">
        <f t="shared" si="55"/>
        <v>0.42</v>
      </c>
      <c r="E336" s="78">
        <f t="shared" si="67"/>
        <v>119.06193840094312</v>
      </c>
    </row>
    <row r="337" spans="2:5">
      <c r="B337" t="s">
        <v>643</v>
      </c>
      <c r="C337" s="515">
        <v>127.71</v>
      </c>
      <c r="D337" s="135">
        <f t="shared" si="55"/>
        <v>0.45</v>
      </c>
      <c r="E337" s="78">
        <f t="shared" si="67"/>
        <v>128.16</v>
      </c>
    </row>
    <row r="338" spans="2:5">
      <c r="B338" t="s">
        <v>644</v>
      </c>
      <c r="C338" s="515">
        <v>127.71</v>
      </c>
      <c r="D338" s="135">
        <f t="shared" ref="D338:D371" si="68">+ROUND($H$5*C338,2)</f>
        <v>0.45</v>
      </c>
      <c r="E338" s="78">
        <f t="shared" si="67"/>
        <v>128.16</v>
      </c>
    </row>
    <row r="339" spans="2:5">
      <c r="B339" t="s">
        <v>645</v>
      </c>
      <c r="C339" s="515">
        <v>127.71</v>
      </c>
      <c r="D339" s="135">
        <f t="shared" si="68"/>
        <v>0.45</v>
      </c>
      <c r="E339" s="78">
        <f t="shared" si="67"/>
        <v>128.16</v>
      </c>
    </row>
    <row r="341" spans="2:5" ht="14.25" customHeight="1">
      <c r="B341" s="58" t="s">
        <v>662</v>
      </c>
    </row>
    <row r="342" spans="2:5">
      <c r="B342" t="s">
        <v>663</v>
      </c>
    </row>
    <row r="343" spans="2:5">
      <c r="B343" t="s">
        <v>641</v>
      </c>
      <c r="C343" s="514">
        <v>142.27034691955791</v>
      </c>
      <c r="D343" s="135">
        <f t="shared" si="68"/>
        <v>0.5</v>
      </c>
      <c r="E343" s="78">
        <f t="shared" ref="E343:E347" si="69">C343+D343</f>
        <v>142.77034691955791</v>
      </c>
    </row>
    <row r="344" spans="2:5">
      <c r="B344" t="s">
        <v>642</v>
      </c>
      <c r="C344" s="515">
        <v>151.96</v>
      </c>
      <c r="D344" s="135">
        <f t="shared" si="68"/>
        <v>0.53</v>
      </c>
      <c r="E344" s="78">
        <f t="shared" si="69"/>
        <v>152.49</v>
      </c>
    </row>
    <row r="345" spans="2:5">
      <c r="B345" t="s">
        <v>643</v>
      </c>
      <c r="C345" s="515">
        <v>205.47</v>
      </c>
      <c r="D345" s="135">
        <f t="shared" si="68"/>
        <v>0.72</v>
      </c>
      <c r="E345" s="78">
        <f t="shared" si="69"/>
        <v>206.19</v>
      </c>
    </row>
    <row r="346" spans="2:5">
      <c r="B346" t="s">
        <v>644</v>
      </c>
      <c r="C346" s="515">
        <v>216.58</v>
      </c>
      <c r="D346" s="135">
        <f t="shared" si="68"/>
        <v>0.76</v>
      </c>
      <c r="E346" s="78">
        <f t="shared" si="69"/>
        <v>217.34</v>
      </c>
    </row>
    <row r="347" spans="2:5">
      <c r="B347" t="s">
        <v>645</v>
      </c>
      <c r="C347" s="515">
        <v>216.58</v>
      </c>
      <c r="D347" s="135">
        <f t="shared" si="68"/>
        <v>0.76</v>
      </c>
      <c r="E347" s="78">
        <f t="shared" si="69"/>
        <v>217.34</v>
      </c>
    </row>
    <row r="349" spans="2:5">
      <c r="B349" t="s">
        <v>652</v>
      </c>
      <c r="C349" s="514">
        <v>4.2657775604833486</v>
      </c>
      <c r="D349" s="135">
        <f t="shared" si="68"/>
        <v>0.01</v>
      </c>
      <c r="E349" s="78">
        <f t="shared" ref="E349" si="70">C349+D349</f>
        <v>4.2757775604833483</v>
      </c>
    </row>
    <row r="351" spans="2:5">
      <c r="B351" t="s">
        <v>658</v>
      </c>
      <c r="C351" s="514">
        <v>45.112819461257494</v>
      </c>
      <c r="D351" s="135">
        <f t="shared" si="68"/>
        <v>0.16</v>
      </c>
      <c r="E351" s="78">
        <f t="shared" ref="E351" si="71">C351+D351</f>
        <v>45.272819461257491</v>
      </c>
    </row>
    <row r="353" spans="2:5">
      <c r="B353" t="s">
        <v>659</v>
      </c>
      <c r="C353" s="514">
        <v>1.2441851218076434</v>
      </c>
      <c r="D353" s="135">
        <f t="shared" si="68"/>
        <v>0</v>
      </c>
      <c r="E353" s="78">
        <f t="shared" ref="E353" si="72">C353+D353</f>
        <v>1.2441851218076434</v>
      </c>
    </row>
    <row r="355" spans="2:5">
      <c r="B355" s="58" t="s">
        <v>664</v>
      </c>
    </row>
    <row r="356" spans="2:5">
      <c r="B356" s="58" t="s">
        <v>661</v>
      </c>
    </row>
    <row r="357" spans="2:5">
      <c r="B357" t="s">
        <v>665</v>
      </c>
    </row>
    <row r="358" spans="2:5">
      <c r="B358" t="s">
        <v>641</v>
      </c>
      <c r="C358" s="514">
        <v>97.46857373875234</v>
      </c>
      <c r="D358" s="135">
        <f t="shared" si="68"/>
        <v>0.34</v>
      </c>
      <c r="E358" s="78">
        <f t="shared" ref="E358:E363" si="73">C358+D358</f>
        <v>97.808573738752344</v>
      </c>
    </row>
    <row r="359" spans="2:5">
      <c r="B359" t="s">
        <v>666</v>
      </c>
      <c r="C359" s="514">
        <v>126.44031300370175</v>
      </c>
      <c r="D359" s="135">
        <f t="shared" si="68"/>
        <v>0.44</v>
      </c>
      <c r="E359" s="78">
        <f t="shared" si="73"/>
        <v>126.88031300370174</v>
      </c>
    </row>
    <row r="360" spans="2:5">
      <c r="B360" t="s">
        <v>642</v>
      </c>
      <c r="C360" s="515">
        <v>160.85</v>
      </c>
      <c r="D360" s="135">
        <f t="shared" si="68"/>
        <v>0.56000000000000005</v>
      </c>
      <c r="E360" s="78">
        <f t="shared" si="73"/>
        <v>161.41</v>
      </c>
    </row>
    <row r="361" spans="2:5">
      <c r="B361" t="s">
        <v>643</v>
      </c>
      <c r="C361" s="514">
        <v>185.69462942979075</v>
      </c>
      <c r="D361" s="135">
        <f t="shared" si="68"/>
        <v>0.65</v>
      </c>
      <c r="E361" s="78">
        <f t="shared" si="73"/>
        <v>186.34462942979076</v>
      </c>
    </row>
    <row r="362" spans="2:5">
      <c r="B362" t="s">
        <v>644</v>
      </c>
      <c r="C362" s="514">
        <v>229.75211329665783</v>
      </c>
      <c r="D362" s="135">
        <f t="shared" si="68"/>
        <v>0.8</v>
      </c>
      <c r="E362" s="78">
        <f t="shared" si="73"/>
        <v>230.55211329665784</v>
      </c>
    </row>
    <row r="363" spans="2:5">
      <c r="B363" t="s">
        <v>645</v>
      </c>
      <c r="C363" s="514">
        <v>274.04288187386385</v>
      </c>
      <c r="D363" s="135">
        <f t="shared" si="68"/>
        <v>0.96</v>
      </c>
      <c r="E363" s="78">
        <f t="shared" si="73"/>
        <v>275.00288187386383</v>
      </c>
    </row>
    <row r="365" spans="2:5">
      <c r="B365" t="s">
        <v>652</v>
      </c>
      <c r="C365" s="514">
        <v>4.2657775604833486</v>
      </c>
      <c r="D365" s="135">
        <f t="shared" si="68"/>
        <v>0.01</v>
      </c>
      <c r="E365" s="78">
        <f t="shared" ref="E365" si="74">C365+D365</f>
        <v>4.2757775604833483</v>
      </c>
    </row>
    <row r="367" spans="2:5">
      <c r="B367" t="s">
        <v>658</v>
      </c>
      <c r="C367" s="514">
        <v>45.112819461257494</v>
      </c>
      <c r="D367" s="135">
        <f t="shared" si="68"/>
        <v>0.16</v>
      </c>
      <c r="E367" s="78">
        <f t="shared" ref="E367" si="75">C367+D367</f>
        <v>45.272819461257491</v>
      </c>
    </row>
    <row r="369" spans="2:5">
      <c r="B369" t="s">
        <v>659</v>
      </c>
      <c r="C369" s="514">
        <v>1.2441851218076434</v>
      </c>
      <c r="D369" s="135">
        <f t="shared" si="68"/>
        <v>0</v>
      </c>
      <c r="E369" s="78">
        <f t="shared" ref="E369" si="76">C369+D369</f>
        <v>1.2441851218076434</v>
      </c>
    </row>
    <row r="371" spans="2:5">
      <c r="B371" t="s">
        <v>667</v>
      </c>
      <c r="C371" s="514">
        <v>6.6874950297160822</v>
      </c>
      <c r="D371" s="135">
        <f t="shared" si="68"/>
        <v>0.02</v>
      </c>
      <c r="E371" s="78">
        <f t="shared" ref="E371" si="77">C371+D371</f>
        <v>6.7074950297160818</v>
      </c>
    </row>
  </sheetData>
  <pageMargins left="0.25" right="0.25" top="0.27" bottom="0.4" header="0.18" footer="0.25"/>
  <pageSetup scale="70" fitToHeight="2" orientation="landscape" errors="blank" r:id="rId1"/>
  <headerFooter alignWithMargins="0">
    <oddFooter>&amp;L&amp;F - &amp;A&amp;CPrinted &amp;D - &amp;T&amp;RPage &amp;P of &amp;N</oddFooter>
  </headerFooter>
  <rowBreaks count="1" manualBreakCount="1">
    <brk id="2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45B0F-6CC3-4FBB-892F-B9634D929A9E}">
  <dimension ref="A1:H156"/>
  <sheetViews>
    <sheetView workbookViewId="0">
      <selection activeCell="B45" sqref="B45"/>
    </sheetView>
  </sheetViews>
  <sheetFormatPr defaultRowHeight="15"/>
  <cols>
    <col min="1" max="1" width="32.42578125" bestFit="1" customWidth="1"/>
    <col min="2" max="2" width="11.42578125" style="287" customWidth="1"/>
    <col min="3" max="3" width="11.42578125" customWidth="1"/>
    <col min="4" max="4" width="12.42578125" customWidth="1"/>
    <col min="6" max="6" width="18.140625" customWidth="1"/>
    <col min="7" max="7" width="22.28515625" bestFit="1" customWidth="1"/>
  </cols>
  <sheetData>
    <row r="1" spans="1:8">
      <c r="A1" s="58" t="s">
        <v>471</v>
      </c>
    </row>
    <row r="2" spans="1:8">
      <c r="A2" s="58" t="s">
        <v>5</v>
      </c>
    </row>
    <row r="3" spans="1:8">
      <c r="A3" s="58" t="s">
        <v>668</v>
      </c>
      <c r="B3" s="278">
        <v>45931</v>
      </c>
    </row>
    <row r="4" spans="1:8">
      <c r="A4" s="58"/>
    </row>
    <row r="5" spans="1:8">
      <c r="B5" s="288"/>
      <c r="C5" s="289"/>
      <c r="D5" s="289"/>
      <c r="G5" s="490">
        <f>0.021-0.0175</f>
        <v>3.4999999999999996E-3</v>
      </c>
      <c r="H5" s="491" t="s">
        <v>839</v>
      </c>
    </row>
    <row r="6" spans="1:8" ht="45">
      <c r="B6" s="290" t="s">
        <v>462</v>
      </c>
      <c r="C6" s="283" t="s">
        <v>474</v>
      </c>
      <c r="D6" s="283" t="s">
        <v>844</v>
      </c>
      <c r="G6" s="490">
        <f>1-G5</f>
        <v>0.99650000000000005</v>
      </c>
      <c r="H6" s="491" t="s">
        <v>840</v>
      </c>
    </row>
    <row r="7" spans="1:8">
      <c r="A7" s="58" t="s">
        <v>669</v>
      </c>
      <c r="G7" s="492">
        <f>+G5/G6</f>
        <v>3.5122930255895631E-3</v>
      </c>
      <c r="H7" s="491" t="s">
        <v>841</v>
      </c>
    </row>
    <row r="8" spans="1:8">
      <c r="A8" t="s">
        <v>485</v>
      </c>
      <c r="B8" s="285">
        <v>8.5306653024991217</v>
      </c>
      <c r="C8" s="135">
        <f>+ROUND($G$5*B8,2)</f>
        <v>0.03</v>
      </c>
      <c r="D8" s="291">
        <f>+B8+C8</f>
        <v>8.5606653024991211</v>
      </c>
      <c r="F8" s="287"/>
      <c r="G8" s="492">
        <f ca="1">+G7/'LG Public - Jefferson Total'!M16</f>
        <v>3.8274736819352137E-3</v>
      </c>
      <c r="H8" s="491" t="s">
        <v>845</v>
      </c>
    </row>
    <row r="10" spans="1:8">
      <c r="A10" s="58" t="s">
        <v>670</v>
      </c>
    </row>
    <row r="11" spans="1:8">
      <c r="A11" t="s">
        <v>671</v>
      </c>
      <c r="B11" s="291">
        <v>282.80422411345421</v>
      </c>
      <c r="C11" s="135">
        <f>+ROUND($G$5*B11,2)</f>
        <v>0.99</v>
      </c>
      <c r="D11" s="291">
        <f t="shared" ref="D11:D12" si="0">+B11+C11</f>
        <v>283.79422411345422</v>
      </c>
    </row>
    <row r="12" spans="1:8">
      <c r="A12" t="s">
        <v>672</v>
      </c>
      <c r="B12" s="291">
        <v>282.80422411345421</v>
      </c>
      <c r="C12" s="135">
        <f>+ROUND($G$5*B12,2)</f>
        <v>0.99</v>
      </c>
      <c r="D12" s="291">
        <f t="shared" si="0"/>
        <v>283.79422411345422</v>
      </c>
    </row>
    <row r="14" spans="1:8">
      <c r="A14" s="58" t="s">
        <v>673</v>
      </c>
      <c r="D14" s="135"/>
    </row>
    <row r="15" spans="1:8">
      <c r="A15" t="s">
        <v>522</v>
      </c>
      <c r="B15" s="285">
        <v>30.450550974082308</v>
      </c>
      <c r="C15" s="135">
        <f t="shared" ref="C15:C23" si="1">+ROUND($G$5*B15,2)</f>
        <v>0.11</v>
      </c>
      <c r="D15" s="291">
        <f t="shared" ref="D15:D23" si="2">+B15+C15</f>
        <v>30.560550974082307</v>
      </c>
      <c r="F15" s="287"/>
    </row>
    <row r="16" spans="1:8">
      <c r="A16" t="s">
        <v>523</v>
      </c>
      <c r="B16" s="285">
        <v>39.190494910675248</v>
      </c>
      <c r="C16" s="135">
        <f t="shared" si="1"/>
        <v>0.14000000000000001</v>
      </c>
      <c r="D16" s="291">
        <f t="shared" si="2"/>
        <v>39.330494910675249</v>
      </c>
      <c r="F16" s="287"/>
    </row>
    <row r="17" spans="1:6">
      <c r="A17" t="s">
        <v>524</v>
      </c>
      <c r="B17" s="291">
        <v>51.557770389727224</v>
      </c>
      <c r="C17" s="135">
        <f t="shared" si="1"/>
        <v>0.18</v>
      </c>
      <c r="D17" s="291">
        <f t="shared" si="2"/>
        <v>51.737770389727224</v>
      </c>
      <c r="F17" s="287"/>
    </row>
    <row r="18" spans="1:6">
      <c r="A18" t="s">
        <v>525</v>
      </c>
      <c r="B18" s="285">
        <v>17.808529069888422</v>
      </c>
      <c r="C18" s="135">
        <f t="shared" si="1"/>
        <v>0.06</v>
      </c>
      <c r="D18" s="291">
        <f t="shared" si="2"/>
        <v>17.868529069888421</v>
      </c>
      <c r="F18" s="287"/>
    </row>
    <row r="19" spans="1:6">
      <c r="A19" t="s">
        <v>526</v>
      </c>
      <c r="B19" s="285">
        <v>21.721637413270855</v>
      </c>
      <c r="C19" s="135">
        <f t="shared" si="1"/>
        <v>0.08</v>
      </c>
      <c r="D19" s="291">
        <f t="shared" si="2"/>
        <v>21.801637413270853</v>
      </c>
      <c r="F19" s="287"/>
    </row>
    <row r="20" spans="1:6">
      <c r="A20" t="s">
        <v>527</v>
      </c>
      <c r="B20" s="291">
        <v>28.960009694265054</v>
      </c>
      <c r="C20" s="135">
        <f t="shared" si="1"/>
        <v>0.1</v>
      </c>
      <c r="D20" s="291">
        <f t="shared" si="2"/>
        <v>29.060009694265055</v>
      </c>
      <c r="F20" s="287"/>
    </row>
    <row r="21" spans="1:6">
      <c r="A21" t="s">
        <v>528</v>
      </c>
      <c r="B21" s="285">
        <v>11.228323568568539</v>
      </c>
      <c r="C21" s="135">
        <f t="shared" si="1"/>
        <v>0.04</v>
      </c>
      <c r="D21" s="291">
        <f t="shared" si="2"/>
        <v>11.268323568568539</v>
      </c>
      <c r="F21" s="287"/>
    </row>
    <row r="22" spans="1:6">
      <c r="A22" t="s">
        <v>529</v>
      </c>
      <c r="B22" s="285">
        <v>14.49508532451476</v>
      </c>
      <c r="C22" s="135">
        <f t="shared" si="1"/>
        <v>0.05</v>
      </c>
      <c r="D22" s="291">
        <f t="shared" si="2"/>
        <v>14.54508532451476</v>
      </c>
      <c r="F22" s="287"/>
    </row>
    <row r="23" spans="1:6">
      <c r="A23" t="s">
        <v>530</v>
      </c>
      <c r="B23" s="291">
        <v>19.061985165512144</v>
      </c>
      <c r="C23" s="135">
        <f t="shared" si="1"/>
        <v>7.0000000000000007E-2</v>
      </c>
      <c r="D23" s="291">
        <f t="shared" si="2"/>
        <v>19.131985165512145</v>
      </c>
      <c r="E23" s="135"/>
      <c r="F23" s="287"/>
    </row>
    <row r="24" spans="1:6">
      <c r="C24" s="135"/>
      <c r="D24" s="135"/>
      <c r="E24" s="135"/>
      <c r="F24" s="287"/>
    </row>
    <row r="25" spans="1:6">
      <c r="A25" s="58" t="s">
        <v>531</v>
      </c>
      <c r="B25" s="78">
        <v>10.761676497975083</v>
      </c>
      <c r="C25" s="135">
        <f>+ROUND($G$5*B25,2)</f>
        <v>0.04</v>
      </c>
      <c r="D25" s="291">
        <f t="shared" ref="D25:D26" si="3">+B25+C25</f>
        <v>10.801676497975082</v>
      </c>
      <c r="E25" s="135"/>
      <c r="F25" s="287"/>
    </row>
    <row r="26" spans="1:6">
      <c r="A26" t="s">
        <v>532</v>
      </c>
      <c r="B26" s="78">
        <v>12.261994081026117</v>
      </c>
      <c r="C26" s="135">
        <f>+ROUND($G$5*B26,2)</f>
        <v>0.04</v>
      </c>
      <c r="D26" s="291">
        <f t="shared" si="3"/>
        <v>12.301994081026116</v>
      </c>
      <c r="E26" s="135"/>
      <c r="F26" s="287"/>
    </row>
    <row r="27" spans="1:6">
      <c r="C27" s="135"/>
      <c r="D27" s="135"/>
      <c r="E27" s="135"/>
      <c r="F27" s="287"/>
    </row>
    <row r="28" spans="1:6">
      <c r="C28" s="135"/>
    </row>
    <row r="29" spans="1:6">
      <c r="A29" s="58" t="s">
        <v>674</v>
      </c>
    </row>
    <row r="30" spans="1:6">
      <c r="A30" s="58" t="s">
        <v>534</v>
      </c>
      <c r="B30" s="78">
        <v>0.63171266654780367</v>
      </c>
      <c r="C30" s="135">
        <f>+ROUND($G$5*B30,2)</f>
        <v>0</v>
      </c>
      <c r="D30" s="291">
        <f>+B30+C30</f>
        <v>0.63171266654780367</v>
      </c>
    </row>
    <row r="31" spans="1:6">
      <c r="A31" s="58" t="s">
        <v>535</v>
      </c>
      <c r="B31" s="78">
        <v>0.12408641664331857</v>
      </c>
      <c r="C31" s="135">
        <f>+ROUND($G$5*B31,2)</f>
        <v>0</v>
      </c>
      <c r="D31" s="291">
        <f>+B31+C31</f>
        <v>0.12408641664331857</v>
      </c>
    </row>
    <row r="32" spans="1:6">
      <c r="A32" s="58"/>
    </row>
    <row r="33" spans="1:6">
      <c r="A33" t="s">
        <v>536</v>
      </c>
      <c r="B33" s="285">
        <v>9.0382915524036065</v>
      </c>
      <c r="C33" s="135">
        <f t="shared" ref="C33:C39" si="4">+ROUND($G$5*B33,2)</f>
        <v>0.03</v>
      </c>
      <c r="D33" s="291">
        <f t="shared" ref="D33:D39" si="5">+B33+C33</f>
        <v>9.0682915524036058</v>
      </c>
      <c r="F33" s="287"/>
    </row>
    <row r="34" spans="1:6">
      <c r="A34" t="s">
        <v>537</v>
      </c>
      <c r="B34" s="285">
        <v>9.0382915524036065</v>
      </c>
      <c r="C34" s="135">
        <f t="shared" si="4"/>
        <v>0.03</v>
      </c>
      <c r="D34" s="291">
        <f t="shared" si="5"/>
        <v>9.0682915524036058</v>
      </c>
      <c r="F34" s="287"/>
    </row>
    <row r="35" spans="1:6">
      <c r="A35" t="s">
        <v>538</v>
      </c>
      <c r="B35" s="285">
        <v>9.0382915524036065</v>
      </c>
      <c r="C35" s="135">
        <f t="shared" si="4"/>
        <v>0.03</v>
      </c>
      <c r="D35" s="291">
        <f t="shared" si="5"/>
        <v>9.0682915524036058</v>
      </c>
      <c r="F35" s="287"/>
    </row>
    <row r="36" spans="1:6">
      <c r="A36" t="s">
        <v>539</v>
      </c>
      <c r="B36" s="285">
        <v>9.0382915524036065</v>
      </c>
      <c r="C36" s="135">
        <f t="shared" si="4"/>
        <v>0.03</v>
      </c>
      <c r="D36" s="291">
        <f t="shared" si="5"/>
        <v>9.0682915524036058</v>
      </c>
      <c r="F36" s="287"/>
    </row>
    <row r="37" spans="1:6">
      <c r="A37" t="s">
        <v>675</v>
      </c>
      <c r="B37" s="285">
        <v>9.0382915524036065</v>
      </c>
      <c r="C37" s="135">
        <f t="shared" si="4"/>
        <v>0.03</v>
      </c>
      <c r="D37" s="291">
        <f t="shared" si="5"/>
        <v>9.0682915524036058</v>
      </c>
      <c r="F37" s="287"/>
    </row>
    <row r="38" spans="1:6">
      <c r="A38" t="s">
        <v>541</v>
      </c>
      <c r="B38" s="285">
        <v>9.0382915524036065</v>
      </c>
      <c r="C38" s="135">
        <f t="shared" si="4"/>
        <v>0.03</v>
      </c>
      <c r="D38" s="291">
        <f t="shared" si="5"/>
        <v>9.0682915524036058</v>
      </c>
      <c r="F38" s="287"/>
    </row>
    <row r="39" spans="1:6">
      <c r="A39" t="s">
        <v>542</v>
      </c>
      <c r="B39" s="285">
        <v>9.7715294689323091</v>
      </c>
      <c r="C39" s="135">
        <f t="shared" si="4"/>
        <v>0.03</v>
      </c>
      <c r="D39" s="291">
        <f t="shared" si="5"/>
        <v>9.8015294689323085</v>
      </c>
      <c r="F39" s="287"/>
    </row>
    <row r="41" spans="1:6">
      <c r="A41" s="58" t="s">
        <v>676</v>
      </c>
    </row>
    <row r="42" spans="1:6">
      <c r="A42" t="s">
        <v>677</v>
      </c>
      <c r="B42" s="285">
        <v>37.342776375709803</v>
      </c>
      <c r="C42" s="135">
        <f>+ROUND($G$5*B42,2)</f>
        <v>0.13</v>
      </c>
      <c r="D42" s="291">
        <f t="shared" ref="D42:D46" si="6">+B42+C42</f>
        <v>37.472776375709806</v>
      </c>
    </row>
    <row r="43" spans="1:6">
      <c r="A43" t="s">
        <v>545</v>
      </c>
      <c r="B43" s="285">
        <v>32.51468670995159</v>
      </c>
      <c r="C43" s="135">
        <f>+ROUND($G$5*B43,2)</f>
        <v>0.11</v>
      </c>
      <c r="D43" s="291">
        <f t="shared" si="6"/>
        <v>32.62468670995159</v>
      </c>
      <c r="F43" s="287"/>
    </row>
    <row r="44" spans="1:6">
      <c r="A44" t="s">
        <v>546</v>
      </c>
      <c r="B44" s="285">
        <v>32.51468670995159</v>
      </c>
      <c r="C44" s="135">
        <f>+ROUND($G$5*B44,2)</f>
        <v>0.11</v>
      </c>
      <c r="D44" s="291">
        <f t="shared" si="6"/>
        <v>32.62468670995159</v>
      </c>
      <c r="F44" s="287"/>
    </row>
    <row r="45" spans="1:6">
      <c r="A45" t="s">
        <v>547</v>
      </c>
      <c r="B45" s="285">
        <v>32.51468670995159</v>
      </c>
      <c r="C45" s="135">
        <f>+ROUND($G$5*B45,2)</f>
        <v>0.11</v>
      </c>
      <c r="D45" s="291">
        <f t="shared" si="6"/>
        <v>32.62468670995159</v>
      </c>
      <c r="F45" s="287"/>
    </row>
    <row r="46" spans="1:6">
      <c r="A46" t="s">
        <v>548</v>
      </c>
      <c r="B46" s="78">
        <v>18.75</v>
      </c>
      <c r="C46" s="135">
        <f>+ROUND($G$5*B46,2)</f>
        <v>7.0000000000000007E-2</v>
      </c>
      <c r="D46" s="291">
        <f t="shared" si="6"/>
        <v>18.82</v>
      </c>
      <c r="F46" s="287"/>
    </row>
    <row r="48" spans="1:6">
      <c r="A48" s="58" t="s">
        <v>678</v>
      </c>
    </row>
    <row r="49" spans="1:6">
      <c r="A49" t="s">
        <v>563</v>
      </c>
      <c r="B49" s="285">
        <v>31.348741077434756</v>
      </c>
      <c r="C49" s="135">
        <f>+ROUND($G$5*B49,2)</f>
        <v>0.11</v>
      </c>
      <c r="D49" s="291">
        <f t="shared" ref="D49:D50" si="7">+B49+C49</f>
        <v>31.458741077434755</v>
      </c>
    </row>
    <row r="50" spans="1:6">
      <c r="A50" t="s">
        <v>564</v>
      </c>
      <c r="B50" s="285">
        <v>32.51468670995159</v>
      </c>
      <c r="C50" s="135">
        <f>+ROUND($G$5*B50,2)</f>
        <v>0.11</v>
      </c>
      <c r="D50" s="291">
        <f t="shared" si="7"/>
        <v>32.62468670995159</v>
      </c>
      <c r="F50" s="287"/>
    </row>
    <row r="52" spans="1:6">
      <c r="A52" s="58" t="s">
        <v>573</v>
      </c>
    </row>
    <row r="53" spans="1:6">
      <c r="A53" t="s">
        <v>576</v>
      </c>
      <c r="B53" s="293">
        <v>20</v>
      </c>
      <c r="C53" s="135"/>
      <c r="D53" s="292">
        <f>SUM(B53:C53)</f>
        <v>20</v>
      </c>
      <c r="F53" s="287"/>
    </row>
    <row r="54" spans="1:6">
      <c r="A54" t="s">
        <v>679</v>
      </c>
      <c r="B54" s="293">
        <v>180.23</v>
      </c>
      <c r="C54" s="135">
        <f>+D54-B54</f>
        <v>0</v>
      </c>
      <c r="D54" s="292">
        <v>180.23</v>
      </c>
      <c r="F54" s="287"/>
    </row>
    <row r="55" spans="1:6">
      <c r="A55" t="s">
        <v>680</v>
      </c>
      <c r="B55" s="293">
        <v>180.23</v>
      </c>
      <c r="C55" s="135">
        <f>+D55-B55</f>
        <v>0</v>
      </c>
      <c r="D55" s="292">
        <v>180.23</v>
      </c>
      <c r="F55" s="287"/>
    </row>
    <row r="57" spans="1:6">
      <c r="A57" s="58" t="s">
        <v>681</v>
      </c>
    </row>
    <row r="58" spans="1:6">
      <c r="A58" t="s">
        <v>682</v>
      </c>
      <c r="B58" s="285">
        <v>5.7079751655926536</v>
      </c>
      <c r="C58" s="135">
        <f t="shared" ref="C58:C63" si="8">+ROUND($G$5*B58,2)</f>
        <v>0.02</v>
      </c>
      <c r="D58" s="291">
        <f t="shared" ref="D58:D63" si="9">+B58+C58</f>
        <v>5.7279751655926532</v>
      </c>
    </row>
    <row r="59" spans="1:6">
      <c r="A59" t="s">
        <v>683</v>
      </c>
      <c r="B59" s="285">
        <v>7.6143937485672764</v>
      </c>
      <c r="C59" s="135">
        <f t="shared" si="8"/>
        <v>0.03</v>
      </c>
      <c r="D59" s="291">
        <f t="shared" si="9"/>
        <v>7.6443937485672766</v>
      </c>
    </row>
    <row r="60" spans="1:6">
      <c r="A60" t="s">
        <v>684</v>
      </c>
      <c r="B60" s="285">
        <v>10.175086164752123</v>
      </c>
      <c r="C60" s="135">
        <f t="shared" si="8"/>
        <v>0.04</v>
      </c>
      <c r="D60" s="291">
        <f t="shared" si="9"/>
        <v>10.215086164752122</v>
      </c>
    </row>
    <row r="61" spans="1:6">
      <c r="A61" t="s">
        <v>685</v>
      </c>
      <c r="B61" s="285">
        <v>11.415950331185307</v>
      </c>
      <c r="C61" s="135">
        <f t="shared" si="8"/>
        <v>0.04</v>
      </c>
      <c r="D61" s="291">
        <f t="shared" si="9"/>
        <v>11.455950331185306</v>
      </c>
    </row>
    <row r="62" spans="1:6">
      <c r="A62" t="s">
        <v>686</v>
      </c>
      <c r="B62" s="285">
        <v>12.690656247612127</v>
      </c>
      <c r="C62" s="135">
        <f t="shared" si="8"/>
        <v>0.04</v>
      </c>
      <c r="D62" s="291">
        <f t="shared" si="9"/>
        <v>12.730656247612126</v>
      </c>
    </row>
    <row r="63" spans="1:6">
      <c r="A63" t="s">
        <v>687</v>
      </c>
      <c r="B63" s="285">
        <v>15.228787497134553</v>
      </c>
      <c r="C63" s="135">
        <f t="shared" si="8"/>
        <v>0.05</v>
      </c>
      <c r="D63" s="291">
        <f t="shared" si="9"/>
        <v>15.278787497134553</v>
      </c>
    </row>
    <row r="64" spans="1:6">
      <c r="A64" s="58"/>
    </row>
    <row r="65" spans="1:8">
      <c r="A65" t="s">
        <v>587</v>
      </c>
      <c r="B65" s="285">
        <v>27.537055447316007</v>
      </c>
      <c r="C65" s="135">
        <f t="shared" ref="C65:C70" si="10">+ROUND($G$5*B65,2)</f>
        <v>0.1</v>
      </c>
      <c r="D65" s="291">
        <f>+B65+C65</f>
        <v>27.637055447316008</v>
      </c>
      <c r="F65" s="287"/>
      <c r="H65" s="294"/>
    </row>
    <row r="66" spans="1:8">
      <c r="A66" t="s">
        <v>588</v>
      </c>
      <c r="B66" s="285">
        <v>38.655369591532384</v>
      </c>
      <c r="C66" s="135">
        <f t="shared" si="10"/>
        <v>0.14000000000000001</v>
      </c>
      <c r="D66" s="291">
        <f t="shared" ref="D66:D69" si="11">+B66+C66</f>
        <v>38.795369591532385</v>
      </c>
      <c r="F66" s="287"/>
      <c r="H66" s="294"/>
    </row>
    <row r="67" spans="1:8">
      <c r="A67" t="s">
        <v>589</v>
      </c>
      <c r="B67" s="285">
        <v>53.816702681926138</v>
      </c>
      <c r="C67" s="135">
        <f t="shared" si="10"/>
        <v>0.19</v>
      </c>
      <c r="D67" s="291">
        <f t="shared" si="11"/>
        <v>54.006702681926136</v>
      </c>
      <c r="F67" s="287"/>
      <c r="H67" s="294"/>
    </row>
    <row r="68" spans="1:8">
      <c r="A68" t="s">
        <v>590</v>
      </c>
      <c r="B68" s="285">
        <v>71.049322084905214</v>
      </c>
      <c r="C68" s="135">
        <f t="shared" si="10"/>
        <v>0.25</v>
      </c>
      <c r="D68" s="291">
        <f t="shared" si="11"/>
        <v>71.299322084905214</v>
      </c>
      <c r="F68" s="287"/>
      <c r="H68" s="294"/>
    </row>
    <row r="69" spans="1:8">
      <c r="A69" t="s">
        <v>591</v>
      </c>
      <c r="B69" s="285">
        <v>96.63686242542191</v>
      </c>
      <c r="C69" s="135">
        <f t="shared" si="10"/>
        <v>0.34</v>
      </c>
      <c r="D69" s="291">
        <f t="shared" si="11"/>
        <v>96.976862425421913</v>
      </c>
      <c r="F69" s="287"/>
      <c r="H69" s="294"/>
    </row>
    <row r="70" spans="1:8">
      <c r="A70" t="s">
        <v>593</v>
      </c>
      <c r="B70" s="285">
        <v>145.12120746134806</v>
      </c>
      <c r="C70" s="135">
        <f t="shared" si="10"/>
        <v>0.51</v>
      </c>
      <c r="D70" s="291">
        <f>+B70+C70</f>
        <v>145.63120746134805</v>
      </c>
      <c r="F70" s="287"/>
      <c r="H70" s="294"/>
    </row>
    <row r="72" spans="1:8">
      <c r="A72" t="s">
        <v>597</v>
      </c>
      <c r="B72" s="285">
        <v>30.921230446679242</v>
      </c>
      <c r="C72" s="135">
        <f t="shared" ref="C72:C77" si="12">+ROUND($G$5*B72,2)</f>
        <v>0.11</v>
      </c>
      <c r="D72" s="291">
        <f>+B72+C72</f>
        <v>31.031230446679242</v>
      </c>
      <c r="F72" s="287"/>
    </row>
    <row r="73" spans="1:8">
      <c r="A73" t="s">
        <v>598</v>
      </c>
      <c r="B73" s="285">
        <v>42.039544590895616</v>
      </c>
      <c r="C73" s="135">
        <f t="shared" si="12"/>
        <v>0.15</v>
      </c>
      <c r="D73" s="291">
        <f t="shared" ref="D73:D77" si="13">+B73+C73</f>
        <v>42.189544590895615</v>
      </c>
      <c r="F73" s="287"/>
    </row>
    <row r="74" spans="1:8">
      <c r="A74" t="s">
        <v>600</v>
      </c>
      <c r="B74" s="285">
        <v>59.456994347531527</v>
      </c>
      <c r="C74" s="135">
        <f t="shared" si="12"/>
        <v>0.21</v>
      </c>
      <c r="D74" s="291">
        <f t="shared" si="13"/>
        <v>59.666994347531528</v>
      </c>
      <c r="F74" s="287"/>
    </row>
    <row r="75" spans="1:8">
      <c r="A75" t="s">
        <v>688</v>
      </c>
      <c r="B75" s="285">
        <v>74.433497084268453</v>
      </c>
      <c r="C75" s="135">
        <f t="shared" si="12"/>
        <v>0.26</v>
      </c>
      <c r="D75" s="291">
        <f t="shared" si="13"/>
        <v>74.693497084268458</v>
      </c>
      <c r="F75" s="287"/>
    </row>
    <row r="76" spans="1:8">
      <c r="A76" t="s">
        <v>689</v>
      </c>
      <c r="B76" s="285">
        <v>100.02854900381317</v>
      </c>
      <c r="C76" s="135">
        <f t="shared" si="12"/>
        <v>0.35</v>
      </c>
      <c r="D76" s="291">
        <f t="shared" si="13"/>
        <v>100.37854900381316</v>
      </c>
      <c r="F76" s="287"/>
    </row>
    <row r="77" spans="1:8">
      <c r="A77" t="s">
        <v>604</v>
      </c>
      <c r="B77" s="285">
        <v>151.88955746007454</v>
      </c>
      <c r="C77" s="135">
        <f t="shared" si="12"/>
        <v>0.53</v>
      </c>
      <c r="D77" s="291">
        <f t="shared" si="13"/>
        <v>152.41955746007454</v>
      </c>
      <c r="F77" s="287"/>
    </row>
    <row r="79" spans="1:8">
      <c r="A79" t="s">
        <v>690</v>
      </c>
      <c r="B79" s="285">
        <v>27.152364078224345</v>
      </c>
      <c r="C79" s="135">
        <f>+ROUND($G$5*B79,2)</f>
        <v>0.1</v>
      </c>
      <c r="D79" s="291">
        <f t="shared" ref="D79:D83" si="14">+B79+C79</f>
        <v>27.252364078224346</v>
      </c>
    </row>
    <row r="80" spans="1:8">
      <c r="A80" t="s">
        <v>691</v>
      </c>
      <c r="B80" s="285">
        <v>35.703046243282117</v>
      </c>
      <c r="C80" s="135">
        <f>+ROUND($G$5*B80,2)</f>
        <v>0.12</v>
      </c>
      <c r="D80" s="291">
        <f t="shared" si="14"/>
        <v>35.823046243282114</v>
      </c>
    </row>
    <row r="81" spans="1:8">
      <c r="A81" t="s">
        <v>692</v>
      </c>
      <c r="B81" s="285">
        <v>48.337299574238195</v>
      </c>
      <c r="C81" s="135">
        <f>+ROUND($G$5*B81,2)</f>
        <v>0.17</v>
      </c>
      <c r="D81" s="291">
        <f t="shared" si="14"/>
        <v>48.507299574238196</v>
      </c>
    </row>
    <row r="82" spans="1:8">
      <c r="A82" t="s">
        <v>693</v>
      </c>
      <c r="B82" s="285">
        <v>50.909272573754251</v>
      </c>
      <c r="C82" s="135">
        <f>+ROUND($G$5*B82,2)</f>
        <v>0.18</v>
      </c>
      <c r="D82" s="291">
        <f t="shared" si="14"/>
        <v>51.089272573754251</v>
      </c>
    </row>
    <row r="83" spans="1:8">
      <c r="A83" t="s">
        <v>694</v>
      </c>
      <c r="B83" s="285">
        <v>50.909272573754251</v>
      </c>
      <c r="C83" s="135">
        <f>+ROUND($G$5*B83,2)</f>
        <v>0.18</v>
      </c>
      <c r="D83" s="291">
        <f t="shared" si="14"/>
        <v>51.089272573754251</v>
      </c>
    </row>
    <row r="84" spans="1:8">
      <c r="B84" s="293"/>
      <c r="C84" s="135"/>
      <c r="D84" s="135"/>
    </row>
    <row r="85" spans="1:8">
      <c r="A85" t="s">
        <v>609</v>
      </c>
      <c r="B85" s="285">
        <v>30.932511030010449</v>
      </c>
      <c r="C85" s="135">
        <f>+ROUND($G$5*B85,2)</f>
        <v>0.11</v>
      </c>
      <c r="D85" s="291">
        <f t="shared" ref="D85:D89" si="15">+B85+C85</f>
        <v>31.042511030010449</v>
      </c>
      <c r="F85" s="287"/>
      <c r="H85" s="294"/>
    </row>
    <row r="86" spans="1:8">
      <c r="A86" t="s">
        <v>610</v>
      </c>
      <c r="B86" s="285">
        <v>43.460898090628177</v>
      </c>
      <c r="C86" s="135">
        <f>+ROUND($G$5*B86,2)</f>
        <v>0.15</v>
      </c>
      <c r="D86" s="291">
        <f t="shared" si="15"/>
        <v>43.610898090628176</v>
      </c>
      <c r="F86" s="287"/>
      <c r="H86" s="294"/>
    </row>
    <row r="87" spans="1:8">
      <c r="A87" t="s">
        <v>611</v>
      </c>
      <c r="B87" s="285">
        <v>60.957311930582556</v>
      </c>
      <c r="C87" s="135">
        <f>+ROUND($G$5*B87,2)</f>
        <v>0.21</v>
      </c>
      <c r="D87" s="291">
        <f t="shared" si="15"/>
        <v>61.167311930582557</v>
      </c>
      <c r="F87" s="287"/>
      <c r="H87" s="294"/>
    </row>
    <row r="88" spans="1:8">
      <c r="A88" t="s">
        <v>612</v>
      </c>
      <c r="B88" s="285">
        <v>71.049322084905214</v>
      </c>
      <c r="C88" s="135">
        <f>+ROUND($G$5*B88,2)</f>
        <v>0.25</v>
      </c>
      <c r="D88" s="291">
        <f t="shared" si="15"/>
        <v>71.299322084905214</v>
      </c>
      <c r="F88" s="287"/>
      <c r="H88" s="294"/>
    </row>
    <row r="89" spans="1:8">
      <c r="A89" t="s">
        <v>613</v>
      </c>
      <c r="B89" s="285">
        <v>96.63686242542191</v>
      </c>
      <c r="C89" s="135">
        <f>+ROUND($G$5*B89,2)</f>
        <v>0.34</v>
      </c>
      <c r="D89" s="291">
        <f t="shared" si="15"/>
        <v>96.976862425421913</v>
      </c>
      <c r="F89" s="287"/>
      <c r="H89" s="294"/>
    </row>
    <row r="90" spans="1:8">
      <c r="B90" s="293"/>
      <c r="C90" s="135"/>
      <c r="D90" s="135"/>
    </row>
    <row r="91" spans="1:8">
      <c r="A91" t="s">
        <v>695</v>
      </c>
      <c r="B91" s="285">
        <v>0.63171266654780367</v>
      </c>
      <c r="C91" s="135">
        <f>+ROUND($G$5*B91,2)</f>
        <v>0</v>
      </c>
      <c r="D91" s="291">
        <f t="shared" ref="D91:D95" si="16">+B91+C91</f>
        <v>0.63171266654780367</v>
      </c>
    </row>
    <row r="92" spans="1:8">
      <c r="A92" t="s">
        <v>696</v>
      </c>
      <c r="B92" s="285">
        <v>0.86860491650323002</v>
      </c>
      <c r="C92" s="135">
        <f>+ROUND($G$5*B92,2)</f>
        <v>0</v>
      </c>
      <c r="D92" s="291">
        <f t="shared" si="16"/>
        <v>0.86860491650323002</v>
      </c>
    </row>
    <row r="93" spans="1:8">
      <c r="A93" t="s">
        <v>697</v>
      </c>
      <c r="B93" s="285">
        <v>0.92500783315928392</v>
      </c>
      <c r="C93" s="135">
        <f>+ROUND($G$5*B93,2)</f>
        <v>0</v>
      </c>
      <c r="D93" s="291">
        <f t="shared" si="16"/>
        <v>0.92500783315928392</v>
      </c>
    </row>
    <row r="94" spans="1:8">
      <c r="A94" t="s">
        <v>698</v>
      </c>
      <c r="B94" s="285">
        <v>1.071655416465024</v>
      </c>
      <c r="C94" s="135">
        <f>+ROUND($G$5*B94,2)</f>
        <v>0</v>
      </c>
      <c r="D94" s="291">
        <f t="shared" si="16"/>
        <v>1.071655416465024</v>
      </c>
    </row>
    <row r="95" spans="1:8">
      <c r="A95" t="s">
        <v>699</v>
      </c>
      <c r="B95" s="285">
        <v>1.2408641664331859</v>
      </c>
      <c r="C95" s="135">
        <f>+ROUND($G$5*B95,2)</f>
        <v>0</v>
      </c>
      <c r="D95" s="291">
        <f t="shared" si="16"/>
        <v>1.2408641664331859</v>
      </c>
    </row>
    <row r="96" spans="1:8">
      <c r="B96" s="293"/>
      <c r="C96" s="135"/>
      <c r="D96" s="135"/>
    </row>
    <row r="97" spans="1:6">
      <c r="A97" t="s">
        <v>700</v>
      </c>
      <c r="B97" s="285">
        <v>6.3171266654780363</v>
      </c>
      <c r="C97" s="135">
        <f>+ROUND($G$5*B97,2)</f>
        <v>0.02</v>
      </c>
      <c r="D97" s="291">
        <f t="shared" ref="D97:D101" si="17">+B97+C97</f>
        <v>6.3371266654780358</v>
      </c>
    </row>
    <row r="98" spans="1:6">
      <c r="A98" t="s">
        <v>701</v>
      </c>
      <c r="B98" s="285">
        <v>8.6860491650323013</v>
      </c>
      <c r="C98" s="135">
        <f>+ROUND($G$5*B98,2)</f>
        <v>0.03</v>
      </c>
      <c r="D98" s="291">
        <f t="shared" si="17"/>
        <v>8.7160491650323006</v>
      </c>
    </row>
    <row r="99" spans="1:6">
      <c r="A99" t="s">
        <v>702</v>
      </c>
      <c r="B99" s="285">
        <v>9.2500783315928388</v>
      </c>
      <c r="C99" s="135">
        <f>+ROUND($G$5*B99,2)</f>
        <v>0.03</v>
      </c>
      <c r="D99" s="291">
        <f t="shared" si="17"/>
        <v>9.2800783315928381</v>
      </c>
    </row>
    <row r="100" spans="1:6">
      <c r="A100" t="s">
        <v>703</v>
      </c>
      <c r="B100" s="285">
        <v>10.71655416465024</v>
      </c>
      <c r="C100" s="135">
        <f>+ROUND($G$5*B100,2)</f>
        <v>0.04</v>
      </c>
      <c r="D100" s="291">
        <f t="shared" si="17"/>
        <v>10.75655416465024</v>
      </c>
    </row>
    <row r="101" spans="1:6">
      <c r="A101" t="s">
        <v>704</v>
      </c>
      <c r="B101" s="285">
        <v>12.408641664331856</v>
      </c>
      <c r="C101" s="135">
        <f>+ROUND($G$5*B101,2)</f>
        <v>0.04</v>
      </c>
      <c r="D101" s="291">
        <f t="shared" si="17"/>
        <v>12.448641664331856</v>
      </c>
    </row>
    <row r="102" spans="1:6">
      <c r="B102" s="293"/>
      <c r="C102" s="135"/>
      <c r="D102" s="135"/>
    </row>
    <row r="103" spans="1:6">
      <c r="A103" t="s">
        <v>564</v>
      </c>
      <c r="B103" s="285">
        <v>32.51468670995159</v>
      </c>
      <c r="C103" s="135">
        <f>+ROUND($G$5*B103,2)</f>
        <v>0.11</v>
      </c>
      <c r="D103" s="291">
        <f>+B103+C103</f>
        <v>32.62468670995159</v>
      </c>
      <c r="F103" s="287"/>
    </row>
    <row r="104" spans="1:6">
      <c r="B104" s="293"/>
      <c r="C104" s="135"/>
      <c r="D104" s="135"/>
      <c r="F104" s="287"/>
    </row>
    <row r="105" spans="1:6">
      <c r="A105" t="s">
        <v>705</v>
      </c>
      <c r="B105" s="285">
        <v>1.2441851218076434</v>
      </c>
      <c r="C105" s="135">
        <f>+ROUND($G$5*B105,2)</f>
        <v>0</v>
      </c>
      <c r="D105" s="291">
        <f>+B105+C105</f>
        <v>1.2441851218076434</v>
      </c>
      <c r="F105" s="287"/>
    </row>
    <row r="107" spans="1:6">
      <c r="A107" s="58" t="s">
        <v>706</v>
      </c>
    </row>
    <row r="108" spans="1:6">
      <c r="C108" s="135"/>
      <c r="D108" s="135"/>
    </row>
    <row r="109" spans="1:6">
      <c r="A109" t="s">
        <v>620</v>
      </c>
      <c r="B109" s="291">
        <v>7.3212131285790285</v>
      </c>
      <c r="C109" s="135">
        <f>+ROUND($G$5*B109,2)</f>
        <v>0.03</v>
      </c>
      <c r="D109" s="291">
        <f t="shared" ref="D109:D110" si="18">+B109+C109</f>
        <v>7.3512131285790288</v>
      </c>
      <c r="F109" s="287"/>
    </row>
    <row r="110" spans="1:6">
      <c r="A110" t="s">
        <v>621</v>
      </c>
      <c r="B110" s="291">
        <v>10.705388127942262</v>
      </c>
      <c r="C110" s="135">
        <f>+ROUND($G$5*B110,2)</f>
        <v>0.04</v>
      </c>
      <c r="D110" s="291">
        <f t="shared" si="18"/>
        <v>10.745388127942261</v>
      </c>
      <c r="F110" s="287"/>
    </row>
    <row r="112" spans="1:6">
      <c r="A112" t="s">
        <v>622</v>
      </c>
      <c r="B112" s="285">
        <v>9.3172975754890111</v>
      </c>
      <c r="C112" s="135">
        <f>+ROUND($G$5*B112,2)</f>
        <v>0.03</v>
      </c>
      <c r="D112" s="291">
        <f t="shared" ref="D112:D113" si="19">+B112+C112</f>
        <v>9.3472975754890104</v>
      </c>
      <c r="F112" s="287"/>
    </row>
    <row r="113" spans="1:6">
      <c r="A113" t="s">
        <v>623</v>
      </c>
      <c r="B113" s="285">
        <v>12.701472574852245</v>
      </c>
      <c r="C113" s="135">
        <f>+ROUND($G$5*B113,2)</f>
        <v>0.04</v>
      </c>
      <c r="D113" s="291">
        <f t="shared" si="19"/>
        <v>12.741472574852244</v>
      </c>
      <c r="F113" s="287"/>
    </row>
    <row r="115" spans="1:6">
      <c r="A115" t="s">
        <v>624</v>
      </c>
      <c r="B115" s="291">
        <v>12.304915750116887</v>
      </c>
      <c r="C115" s="135">
        <f>+ROUND($G$5*B115,2)</f>
        <v>0.04</v>
      </c>
      <c r="D115" s="291">
        <f t="shared" ref="D115:D116" si="20">+B115+C115</f>
        <v>12.344915750116886</v>
      </c>
      <c r="F115" s="287"/>
    </row>
    <row r="116" spans="1:6">
      <c r="A116" t="s">
        <v>625</v>
      </c>
      <c r="B116" s="291">
        <v>15.689090749480121</v>
      </c>
      <c r="C116" s="135">
        <f>+ROUND($G$5*B116,2)</f>
        <v>0.05</v>
      </c>
      <c r="D116" s="291">
        <f t="shared" si="20"/>
        <v>15.739090749480122</v>
      </c>
      <c r="F116" s="287"/>
    </row>
    <row r="117" spans="1:6">
      <c r="D117" s="135"/>
    </row>
    <row r="118" spans="1:6">
      <c r="A118" t="s">
        <v>707</v>
      </c>
      <c r="B118" s="285">
        <v>32.51468670995159</v>
      </c>
      <c r="C118" s="135">
        <f>+ROUND($G$5*B118,2)</f>
        <v>0.11</v>
      </c>
      <c r="D118" s="291">
        <f>+B118+C118</f>
        <v>32.62468670995159</v>
      </c>
      <c r="F118" s="287"/>
    </row>
    <row r="119" spans="1:6">
      <c r="C119" s="135"/>
      <c r="D119" s="135"/>
    </row>
    <row r="120" spans="1:6">
      <c r="A120" t="s">
        <v>708</v>
      </c>
      <c r="B120" s="285">
        <v>8.8806527871238217</v>
      </c>
      <c r="C120" s="135">
        <f>+ROUND($G$5*B120,2)</f>
        <v>0.03</v>
      </c>
      <c r="D120" s="291">
        <f>+B120+C120</f>
        <v>8.910652787123821</v>
      </c>
      <c r="F120" s="287"/>
    </row>
    <row r="121" spans="1:6">
      <c r="D121" s="135"/>
    </row>
    <row r="122" spans="1:6">
      <c r="A122" t="s">
        <v>628</v>
      </c>
      <c r="B122" s="291">
        <v>31.684702505547975</v>
      </c>
      <c r="C122" s="135">
        <f>+ROUND($G$5*B122,2)</f>
        <v>0.11</v>
      </c>
      <c r="D122" s="291">
        <f t="shared" ref="D122:D124" si="21">+B122+C122</f>
        <v>31.794702505547974</v>
      </c>
      <c r="F122" s="287"/>
    </row>
    <row r="123" spans="1:6">
      <c r="A123" t="s">
        <v>629</v>
      </c>
      <c r="B123" s="291">
        <v>40.47648141043328</v>
      </c>
      <c r="C123" s="135">
        <f>+ROUND($G$5*B123,2)</f>
        <v>0.14000000000000001</v>
      </c>
      <c r="D123" s="291">
        <f t="shared" si="21"/>
        <v>40.616481410433281</v>
      </c>
      <c r="F123" s="287"/>
    </row>
    <row r="124" spans="1:6">
      <c r="A124" t="s">
        <v>630</v>
      </c>
      <c r="B124" s="291">
        <v>53.299516025059297</v>
      </c>
      <c r="C124" s="135">
        <f>+ROUND($G$5*B124,2)</f>
        <v>0.19</v>
      </c>
      <c r="D124" s="291">
        <f t="shared" si="21"/>
        <v>53.489516025059295</v>
      </c>
      <c r="F124" s="287"/>
    </row>
    <row r="125" spans="1:6">
      <c r="C125" s="295"/>
      <c r="D125" s="135"/>
      <c r="F125" s="287"/>
    </row>
    <row r="126" spans="1:6">
      <c r="A126" t="s">
        <v>705</v>
      </c>
      <c r="B126" s="285">
        <v>1.24</v>
      </c>
      <c r="C126" s="135">
        <f>+ROUND($G$5*B126,2)</f>
        <v>0</v>
      </c>
      <c r="D126" s="291">
        <f>+B126+C126</f>
        <v>1.24</v>
      </c>
      <c r="F126" s="287"/>
    </row>
    <row r="128" spans="1:6">
      <c r="A128" s="58" t="s">
        <v>709</v>
      </c>
    </row>
    <row r="129" spans="1:6">
      <c r="A129" t="s">
        <v>620</v>
      </c>
      <c r="B129" s="285">
        <v>6.6358167042128757</v>
      </c>
      <c r="C129" s="135">
        <f>+ROUND($G$5*B129,2)</f>
        <v>0.02</v>
      </c>
      <c r="D129" s="291">
        <f t="shared" ref="D129:D130" si="22">+B129+C129</f>
        <v>6.6558167042128753</v>
      </c>
      <c r="F129" s="287"/>
    </row>
    <row r="130" spans="1:6">
      <c r="A130" t="s">
        <v>621</v>
      </c>
      <c r="B130" s="285">
        <v>8.8919333704550318</v>
      </c>
      <c r="C130" s="135">
        <f>+ROUND($G$5*B130,2)</f>
        <v>0.03</v>
      </c>
      <c r="D130" s="291">
        <f t="shared" si="22"/>
        <v>8.9219333704550312</v>
      </c>
      <c r="F130" s="287"/>
    </row>
    <row r="131" spans="1:6">
      <c r="C131" s="135"/>
    </row>
    <row r="132" spans="1:6">
      <c r="A132" t="s">
        <v>589</v>
      </c>
      <c r="B132" s="291">
        <v>53.816702681926138</v>
      </c>
      <c r="C132" s="135">
        <f>+ROUND($G$5*B132,2)</f>
        <v>0.19</v>
      </c>
      <c r="D132" s="291">
        <f t="shared" ref="D132:D135" si="23">+B132+C132</f>
        <v>54.006702681926136</v>
      </c>
      <c r="F132" s="287"/>
    </row>
    <row r="133" spans="1:6">
      <c r="A133" t="s">
        <v>590</v>
      </c>
      <c r="B133" s="291">
        <v>71.033909526234098</v>
      </c>
      <c r="C133" s="135">
        <f>+ROUND($G$5*B133,2)</f>
        <v>0.25</v>
      </c>
      <c r="D133" s="291">
        <f t="shared" si="23"/>
        <v>71.283909526234098</v>
      </c>
      <c r="F133" s="287"/>
    </row>
    <row r="134" spans="1:6">
      <c r="A134" t="s">
        <v>591</v>
      </c>
      <c r="B134" s="291">
        <v>96.616888010061658</v>
      </c>
      <c r="C134" s="135">
        <f>+ROUND($G$5*B134,2)</f>
        <v>0.34</v>
      </c>
      <c r="D134" s="291">
        <f t="shared" si="23"/>
        <v>96.956888010061661</v>
      </c>
      <c r="F134" s="287"/>
    </row>
    <row r="135" spans="1:6">
      <c r="A135" t="s">
        <v>593</v>
      </c>
      <c r="B135" s="291">
        <v>145.0938363212133</v>
      </c>
      <c r="C135" s="135">
        <f>+ROUND($G$5*B135,2)</f>
        <v>0.51</v>
      </c>
      <c r="D135" s="291">
        <f t="shared" si="23"/>
        <v>145.60383632121329</v>
      </c>
      <c r="F135" s="287"/>
    </row>
    <row r="136" spans="1:6">
      <c r="C136" s="135"/>
      <c r="D136" s="135"/>
      <c r="F136" s="287"/>
    </row>
    <row r="137" spans="1:6">
      <c r="A137" s="58" t="s">
        <v>710</v>
      </c>
      <c r="C137" s="135"/>
      <c r="D137" s="135"/>
    </row>
    <row r="138" spans="1:6">
      <c r="A138" t="s">
        <v>589</v>
      </c>
      <c r="B138" s="291">
        <v>59.456994347531527</v>
      </c>
      <c r="C138" s="135">
        <f>+ROUND($G$5*B138,2)</f>
        <v>0.21</v>
      </c>
      <c r="D138" s="291">
        <f t="shared" ref="D138:D141" si="24">+B138+C138</f>
        <v>59.666994347531528</v>
      </c>
      <c r="F138" s="287"/>
    </row>
    <row r="139" spans="1:6">
      <c r="A139" t="s">
        <v>590</v>
      </c>
      <c r="B139" s="291">
        <v>76.674201191839487</v>
      </c>
      <c r="C139" s="135">
        <f>+ROUND($G$5*B139,2)</f>
        <v>0.27</v>
      </c>
      <c r="D139" s="291">
        <f t="shared" si="24"/>
        <v>76.944201191839483</v>
      </c>
      <c r="F139" s="287"/>
    </row>
    <row r="140" spans="1:6">
      <c r="A140" t="s">
        <v>591</v>
      </c>
      <c r="B140" s="291">
        <v>102.25717967566705</v>
      </c>
      <c r="C140" s="135">
        <f>+ROUND($G$5*B140,2)</f>
        <v>0.36</v>
      </c>
      <c r="D140" s="291">
        <f t="shared" si="24"/>
        <v>102.61717967566705</v>
      </c>
      <c r="F140" s="287"/>
    </row>
    <row r="141" spans="1:6">
      <c r="A141" t="s">
        <v>632</v>
      </c>
      <c r="B141" s="291">
        <v>151.86218631993978</v>
      </c>
      <c r="C141" s="135">
        <f>+ROUND($G$5*B141,2)</f>
        <v>0.53</v>
      </c>
      <c r="D141" s="291">
        <f t="shared" si="24"/>
        <v>152.39218631993978</v>
      </c>
      <c r="F141" s="287"/>
    </row>
    <row r="142" spans="1:6">
      <c r="C142" s="135"/>
    </row>
    <row r="143" spans="1:6">
      <c r="A143" t="s">
        <v>634</v>
      </c>
      <c r="B143" s="285">
        <v>32.51468670995159</v>
      </c>
      <c r="C143" s="135">
        <f>+ROUND($G$5*B143,2)</f>
        <v>0.11</v>
      </c>
      <c r="D143" s="291">
        <f>+B143+C143</f>
        <v>32.62468670995159</v>
      </c>
      <c r="F143" s="287"/>
    </row>
    <row r="144" spans="1:6">
      <c r="C144" s="135"/>
    </row>
    <row r="145" spans="1:6">
      <c r="A145" t="s">
        <v>606</v>
      </c>
      <c r="B145" s="285">
        <v>8.8806527871238217</v>
      </c>
      <c r="C145" s="135">
        <f>+ROUND($G$5*B145,2)</f>
        <v>0.03</v>
      </c>
      <c r="D145" s="291">
        <f>+B145+C145</f>
        <v>8.910652787123821</v>
      </c>
      <c r="F145" s="287"/>
    </row>
    <row r="146" spans="1:6">
      <c r="C146" s="135"/>
    </row>
    <row r="147" spans="1:6">
      <c r="A147" t="s">
        <v>628</v>
      </c>
      <c r="B147" s="285">
        <v>28.875531940455375</v>
      </c>
      <c r="C147" s="135">
        <f>+ROUND($G$5*B147,2)</f>
        <v>0.1</v>
      </c>
      <c r="D147" s="291">
        <f>+B147+C147</f>
        <v>28.975531940455376</v>
      </c>
      <c r="F147" s="287"/>
    </row>
    <row r="148" spans="1:6">
      <c r="C148" s="135"/>
      <c r="D148" s="135"/>
    </row>
    <row r="149" spans="1:6">
      <c r="A149" t="s">
        <v>705</v>
      </c>
      <c r="B149" s="285">
        <f>+B126</f>
        <v>1.24</v>
      </c>
      <c r="C149" s="135">
        <f>+ROUND($G$5*B149,2)</f>
        <v>0</v>
      </c>
      <c r="D149" s="291">
        <f>+B149+C149</f>
        <v>1.24</v>
      </c>
      <c r="F149" s="287"/>
    </row>
    <row r="150" spans="1:6">
      <c r="C150" s="135"/>
    </row>
    <row r="151" spans="1:6">
      <c r="A151" s="58"/>
    </row>
    <row r="152" spans="1:6">
      <c r="C152" s="135"/>
      <c r="D152" s="135"/>
    </row>
    <row r="153" spans="1:6">
      <c r="C153" s="135"/>
      <c r="D153" s="135"/>
    </row>
    <row r="156" spans="1:6">
      <c r="C156" s="135"/>
    </row>
  </sheetData>
  <pageMargins left="0.25" right="0.25" top="0.27" bottom="0.4" header="0.18" footer="0.25"/>
  <pageSetup scale="70" fitToHeight="2" orientation="landscape" errors="blank" r:id="rId1"/>
  <headerFooter alignWithMargins="0">
    <oddFooter>&amp;L&amp;F - &amp;A&amp;CPrinted &amp;D - &amp;T&amp;RPage &amp;P of &amp;N</oddFooter>
  </headerFooter>
  <rowBreaks count="2" manualBreakCount="2">
    <brk id="51" max="16383" man="1"/>
    <brk id="1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8A89F-C246-4CC0-97EC-2D5059FDC612}">
  <sheetPr>
    <tabColor theme="9" tint="0.59999389629810485"/>
  </sheetPr>
  <dimension ref="A1:BE186"/>
  <sheetViews>
    <sheetView topLeftCell="B138" workbookViewId="0">
      <pane xSplit="1" topLeftCell="AW1" activePane="topRight" state="frozen"/>
      <selection activeCell="C88" sqref="C88"/>
      <selection pane="topRight" activeCell="C88" sqref="C88"/>
    </sheetView>
  </sheetViews>
  <sheetFormatPr defaultColWidth="9.140625" defaultRowHeight="15" outlineLevelCol="1"/>
  <cols>
    <col min="1" max="1" width="20.5703125" style="1" hidden="1" customWidth="1" outlineLevel="1"/>
    <col min="2" max="2" width="22.7109375" style="1" customWidth="1" collapsed="1"/>
    <col min="3" max="3" width="29.140625" style="1" bestFit="1" customWidth="1"/>
    <col min="4" max="4" width="9" style="41" bestFit="1" customWidth="1"/>
    <col min="5" max="5" width="9" style="171" customWidth="1"/>
    <col min="6" max="6" width="2" style="1" customWidth="1"/>
    <col min="7" max="18" width="14.42578125" style="1" hidden="1" customWidth="1" outlineLevel="1"/>
    <col min="19" max="19" width="14.42578125" style="1" customWidth="1" collapsed="1"/>
    <col min="20" max="20" width="10" style="1" customWidth="1"/>
    <col min="21" max="21" width="2" style="1" customWidth="1"/>
    <col min="22" max="28" width="15" style="1" hidden="1" customWidth="1" outlineLevel="1"/>
    <col min="29" max="33" width="11.85546875" style="1" hidden="1" customWidth="1" outlineLevel="1"/>
    <col min="34" max="34" width="15" style="48" customWidth="1" collapsed="1"/>
    <col min="35" max="35" width="9.140625" style="6"/>
    <col min="36" max="36" width="9.85546875" style="1" bestFit="1" customWidth="1"/>
    <col min="37" max="37" width="11" style="7" hidden="1" customWidth="1" outlineLevel="1"/>
    <col min="38" max="38" width="17.7109375" style="1" hidden="1" customWidth="1" outlineLevel="1"/>
    <col min="39" max="40" width="9.140625" style="1" hidden="1" customWidth="1" outlineLevel="1"/>
    <col min="41" max="41" width="9.85546875" style="1" hidden="1" customWidth="1" outlineLevel="1"/>
    <col min="42" max="43" width="9.140625" style="1" hidden="1" customWidth="1" outlineLevel="1"/>
    <col min="44" max="44" width="29.28515625" bestFit="1" customWidth="1" collapsed="1"/>
    <col min="45" max="45" width="16.5703125" style="8" bestFit="1" customWidth="1"/>
    <col min="46" max="46" width="16.28515625" bestFit="1" customWidth="1"/>
    <col min="47" max="47" width="9.85546875" style="1" customWidth="1"/>
    <col min="48" max="48" width="22" style="1" customWidth="1"/>
    <col min="49" max="49" width="19.85546875" style="1" bestFit="1" customWidth="1"/>
    <col min="50" max="50" width="31.140625" style="1" bestFit="1" customWidth="1"/>
    <col min="51" max="51" width="9" style="1" bestFit="1" customWidth="1"/>
    <col min="52" max="52" width="29.85546875" style="1" customWidth="1"/>
    <col min="53" max="53" width="22" style="1" customWidth="1"/>
    <col min="54" max="55" width="15" style="1" customWidth="1"/>
    <col min="56" max="56" width="11" style="502" bestFit="1" customWidth="1"/>
    <col min="57" max="57" width="12.140625" style="502" bestFit="1" customWidth="1"/>
    <col min="58" max="16384" width="9.140625" style="1"/>
  </cols>
  <sheetData>
    <row r="1" spans="1:57" ht="12" customHeight="1">
      <c r="B1" s="2" t="s">
        <v>0</v>
      </c>
      <c r="D1" s="3"/>
      <c r="E1" s="4"/>
      <c r="F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X1" s="9"/>
      <c r="AY1" s="10" t="s">
        <v>1</v>
      </c>
      <c r="AZ1" s="10" t="s">
        <v>2</v>
      </c>
      <c r="BA1" s="10" t="s">
        <v>3</v>
      </c>
      <c r="BB1" s="10" t="s">
        <v>4</v>
      </c>
      <c r="BD1" s="502" t="s">
        <v>850</v>
      </c>
    </row>
    <row r="2" spans="1:57" ht="12" customHeight="1">
      <c r="B2" s="2" t="s">
        <v>5</v>
      </c>
      <c r="D2" s="3"/>
      <c r="E2" s="4"/>
      <c r="F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X2" s="11" t="s">
        <v>6</v>
      </c>
      <c r="AY2" s="12">
        <f ca="1">+'LG Public - Jefferson Total'!K22</f>
        <v>0.13089633312107796</v>
      </c>
      <c r="AZ2" s="13">
        <v>-2.8379999999999998E-3</v>
      </c>
      <c r="BA2" s="12">
        <f ca="1">AY2+AZ2</f>
        <v>0.12805833312107795</v>
      </c>
      <c r="BB2" s="14">
        <f ca="1">+AW50+AW56+AW125+AW150+AW157+AW163-'LG Public - Jefferson Total'!J20</f>
        <v>-13461.002989083237</v>
      </c>
      <c r="BC2" s="14"/>
      <c r="BE2" s="507">
        <f ca="1">+'Jefferson Proposed Rates'!G8</f>
        <v>3.8274736819352137E-3</v>
      </c>
    </row>
    <row r="3" spans="1:57" ht="12" customHeight="1">
      <c r="B3" s="2" t="s">
        <v>7</v>
      </c>
      <c r="D3" s="3"/>
      <c r="E3" s="4"/>
      <c r="F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X3" s="11"/>
      <c r="AY3" s="12"/>
      <c r="AZ3" s="13"/>
      <c r="BA3" s="12"/>
      <c r="BB3" s="14"/>
    </row>
    <row r="4" spans="1:57" ht="12" customHeight="1">
      <c r="B4" s="15" t="str">
        <f>'Clallam Reg Price Out'!B4</f>
        <v>August 1, 2022 - July 31, 2023</v>
      </c>
      <c r="C4" s="5"/>
      <c r="D4" s="3"/>
      <c r="E4" s="4"/>
      <c r="F4" s="5"/>
      <c r="G4" s="5"/>
      <c r="H4" s="5"/>
      <c r="I4" s="5"/>
      <c r="J4" s="16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L4" s="17" t="s">
        <v>8</v>
      </c>
      <c r="AM4" s="18"/>
      <c r="AN4" s="17" t="s">
        <v>9</v>
      </c>
      <c r="AO4" s="18"/>
      <c r="AP4" s="17" t="s">
        <v>10</v>
      </c>
      <c r="AQ4" s="18"/>
      <c r="AZ4"/>
      <c r="BA4"/>
      <c r="BB4" s="19"/>
    </row>
    <row r="5" spans="1:57" ht="12" customHeight="1" thickBot="1">
      <c r="B5" s="5"/>
      <c r="C5" s="20"/>
      <c r="D5" s="21" t="s">
        <v>11</v>
      </c>
      <c r="E5" s="22" t="s">
        <v>12</v>
      </c>
      <c r="F5" s="5"/>
      <c r="G5" s="23">
        <f>+'Clallam Reg Price Out'!G5</f>
        <v>44774</v>
      </c>
      <c r="H5" s="23">
        <f>+'Clallam Reg Price Out'!H5</f>
        <v>44805</v>
      </c>
      <c r="I5" s="23">
        <f>+'Clallam Reg Price Out'!I5</f>
        <v>44836</v>
      </c>
      <c r="J5" s="23">
        <f>+'Clallam Reg Price Out'!J5</f>
        <v>44867</v>
      </c>
      <c r="K5" s="23">
        <f>+'Clallam Reg Price Out'!K5</f>
        <v>44898</v>
      </c>
      <c r="L5" s="23">
        <f>+'Clallam Reg Price Out'!L5</f>
        <v>44929</v>
      </c>
      <c r="M5" s="23">
        <f>+'Clallam Reg Price Out'!M5</f>
        <v>44960</v>
      </c>
      <c r="N5" s="23">
        <f>+'Clallam Reg Price Out'!N5</f>
        <v>44991</v>
      </c>
      <c r="O5" s="23">
        <f>+'Clallam Reg Price Out'!O5</f>
        <v>45022</v>
      </c>
      <c r="P5" s="23">
        <f>+'Clallam Reg Price Out'!P5</f>
        <v>45053</v>
      </c>
      <c r="Q5" s="23">
        <f>+'Clallam Reg Price Out'!Q5</f>
        <v>45084</v>
      </c>
      <c r="R5" s="23">
        <f>+'Clallam Reg Price Out'!R5</f>
        <v>45115</v>
      </c>
      <c r="S5" s="23" t="s">
        <v>13</v>
      </c>
      <c r="T5" s="5"/>
      <c r="U5" s="5"/>
      <c r="V5" s="24">
        <f t="shared" ref="V5:AG5" si="0">+G5</f>
        <v>44774</v>
      </c>
      <c r="W5" s="24">
        <f t="shared" si="0"/>
        <v>44805</v>
      </c>
      <c r="X5" s="24">
        <f t="shared" si="0"/>
        <v>44836</v>
      </c>
      <c r="Y5" s="24">
        <f t="shared" si="0"/>
        <v>44867</v>
      </c>
      <c r="Z5" s="24">
        <f t="shared" si="0"/>
        <v>44898</v>
      </c>
      <c r="AA5" s="24">
        <f t="shared" si="0"/>
        <v>44929</v>
      </c>
      <c r="AB5" s="24">
        <f t="shared" si="0"/>
        <v>44960</v>
      </c>
      <c r="AC5" s="24">
        <f t="shared" si="0"/>
        <v>44991</v>
      </c>
      <c r="AD5" s="24">
        <f t="shared" si="0"/>
        <v>45022</v>
      </c>
      <c r="AE5" s="24">
        <f t="shared" si="0"/>
        <v>45053</v>
      </c>
      <c r="AF5" s="24">
        <f t="shared" si="0"/>
        <v>45084</v>
      </c>
      <c r="AG5" s="24">
        <f t="shared" si="0"/>
        <v>45115</v>
      </c>
      <c r="AH5" s="24" t="s">
        <v>14</v>
      </c>
      <c r="AL5" s="25" t="s">
        <v>15</v>
      </c>
      <c r="AM5" s="26" t="s">
        <v>16</v>
      </c>
      <c r="AN5" s="25" t="s">
        <v>15</v>
      </c>
      <c r="AO5" s="26" t="s">
        <v>16</v>
      </c>
      <c r="AP5" s="25" t="s">
        <v>15</v>
      </c>
      <c r="AQ5" s="26" t="s">
        <v>16</v>
      </c>
      <c r="AX5" s="27" t="s">
        <v>17</v>
      </c>
      <c r="AY5" s="27" t="s">
        <v>18</v>
      </c>
      <c r="AZ5" s="28" t="s">
        <v>13</v>
      </c>
      <c r="BA5" s="27" t="s">
        <v>19</v>
      </c>
      <c r="BB5" s="29" t="s">
        <v>20</v>
      </c>
    </row>
    <row r="6" spans="1:57" ht="48" customHeight="1" thickBot="1">
      <c r="B6" s="30" t="s">
        <v>21</v>
      </c>
      <c r="C6" s="20" t="s">
        <v>22</v>
      </c>
      <c r="D6" s="31" t="s">
        <v>23</v>
      </c>
      <c r="E6" s="32" t="s">
        <v>24</v>
      </c>
      <c r="F6" s="20"/>
      <c r="G6" s="33" t="s">
        <v>25</v>
      </c>
      <c r="H6" s="33" t="s">
        <v>25</v>
      </c>
      <c r="I6" s="33" t="s">
        <v>25</v>
      </c>
      <c r="J6" s="33" t="s">
        <v>25</v>
      </c>
      <c r="K6" s="33" t="s">
        <v>25</v>
      </c>
      <c r="L6" s="33" t="s">
        <v>25</v>
      </c>
      <c r="M6" s="33" t="s">
        <v>25</v>
      </c>
      <c r="N6" s="33" t="s">
        <v>25</v>
      </c>
      <c r="O6" s="33" t="s">
        <v>25</v>
      </c>
      <c r="P6" s="33" t="s">
        <v>25</v>
      </c>
      <c r="Q6" s="33" t="s">
        <v>25</v>
      </c>
      <c r="R6" s="33" t="s">
        <v>25</v>
      </c>
      <c r="S6" s="33" t="s">
        <v>25</v>
      </c>
      <c r="T6" s="5"/>
      <c r="U6" s="5"/>
      <c r="V6" s="34" t="s">
        <v>26</v>
      </c>
      <c r="W6" s="34" t="s">
        <v>26</v>
      </c>
      <c r="X6" s="34" t="s">
        <v>26</v>
      </c>
      <c r="Y6" s="34" t="s">
        <v>26</v>
      </c>
      <c r="Z6" s="34" t="s">
        <v>26</v>
      </c>
      <c r="AA6" s="34" t="s">
        <v>26</v>
      </c>
      <c r="AB6" s="34" t="s">
        <v>26</v>
      </c>
      <c r="AC6" s="34" t="s">
        <v>26</v>
      </c>
      <c r="AD6" s="34" t="s">
        <v>26</v>
      </c>
      <c r="AE6" s="34" t="s">
        <v>26</v>
      </c>
      <c r="AF6" s="34" t="s">
        <v>26</v>
      </c>
      <c r="AG6" s="34" t="s">
        <v>26</v>
      </c>
      <c r="AH6" s="34" t="s">
        <v>27</v>
      </c>
      <c r="AT6" s="35" t="s">
        <v>28</v>
      </c>
      <c r="AU6" s="35" t="s">
        <v>29</v>
      </c>
      <c r="AV6" s="36" t="s">
        <v>30</v>
      </c>
      <c r="AW6" s="36" t="s">
        <v>31</v>
      </c>
      <c r="AX6" s="37">
        <f ca="1">+AV50+AV56+AV125+AV150+AV157+AV163</f>
        <v>3346705.4535742402</v>
      </c>
      <c r="AY6" s="38">
        <v>22472.132999999878</v>
      </c>
      <c r="AZ6" s="39">
        <f ca="1">+AX6+AY6</f>
        <v>3369177.5865742401</v>
      </c>
      <c r="BA6" s="39">
        <f ca="1">+'LG Public - Jefferson Total'!J21</f>
        <v>3391695.1581416614</v>
      </c>
      <c r="BB6" s="40">
        <f ca="1">+BA6-AZ6</f>
        <v>22517.571567421313</v>
      </c>
      <c r="BD6" s="508" t="s">
        <v>848</v>
      </c>
      <c r="BE6" s="508" t="s">
        <v>30</v>
      </c>
    </row>
    <row r="7" spans="1:57" ht="12" customHeight="1">
      <c r="E7" s="42"/>
      <c r="AH7" s="1"/>
      <c r="AK7" s="43"/>
      <c r="AL7" s="5"/>
      <c r="AM7" s="5"/>
      <c r="AN7" s="5"/>
      <c r="AO7" s="5"/>
      <c r="AP7" s="5"/>
      <c r="AQ7" s="5"/>
      <c r="AZ7"/>
      <c r="BA7"/>
      <c r="BB7" s="19"/>
    </row>
    <row r="8" spans="1:57" s="5" customFormat="1" ht="12" customHeight="1">
      <c r="D8" s="3"/>
      <c r="E8" s="4"/>
      <c r="AH8" s="1"/>
      <c r="AI8" s="44"/>
      <c r="AK8" s="43"/>
      <c r="AR8"/>
      <c r="AS8" s="8"/>
      <c r="AT8"/>
      <c r="AU8" s="1"/>
      <c r="AV8" s="1"/>
      <c r="AW8" s="1"/>
      <c r="AX8" s="1"/>
      <c r="AY8" s="1"/>
      <c r="AZ8" s="1"/>
      <c r="BA8" s="1"/>
      <c r="BB8" s="1"/>
      <c r="BD8" s="503"/>
      <c r="BE8" s="498"/>
    </row>
    <row r="9" spans="1:57" s="5" customFormat="1" ht="12" customHeight="1" thickBot="1">
      <c r="B9" s="19"/>
      <c r="C9" s="19"/>
      <c r="D9" s="45"/>
      <c r="E9" s="46"/>
      <c r="F9" s="47"/>
      <c r="G9" s="47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48"/>
      <c r="AI9" s="49"/>
      <c r="AK9" s="43"/>
      <c r="AR9"/>
      <c r="AS9" s="8"/>
      <c r="AT9"/>
      <c r="AU9" s="1"/>
      <c r="AV9" s="1"/>
      <c r="AW9" s="1"/>
      <c r="AX9" s="1"/>
      <c r="AY9" s="1"/>
      <c r="AZ9" s="1"/>
      <c r="BA9" s="1"/>
      <c r="BB9" s="1"/>
      <c r="BD9" s="503"/>
      <c r="BE9" s="498"/>
    </row>
    <row r="10" spans="1:57" s="5" customFormat="1" ht="12" customHeight="1">
      <c r="B10" s="50" t="s">
        <v>32</v>
      </c>
      <c r="C10" s="50" t="s">
        <v>32</v>
      </c>
      <c r="D10" s="51"/>
      <c r="E10" s="52"/>
      <c r="F10" s="47"/>
      <c r="G10" s="47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48"/>
      <c r="AI10" s="49"/>
      <c r="AK10" s="43"/>
      <c r="AN10" s="53"/>
      <c r="AO10" s="53"/>
      <c r="AR10"/>
      <c r="AS10" s="8"/>
      <c r="AT10"/>
      <c r="AU10" s="1"/>
      <c r="AV10" s="1"/>
      <c r="AW10" s="1"/>
      <c r="AX10" s="1"/>
      <c r="AY10" s="54" t="s">
        <v>33</v>
      </c>
      <c r="AZ10" s="55"/>
      <c r="BA10" s="56">
        <v>14206936.699141223</v>
      </c>
      <c r="BB10" s="57"/>
      <c r="BD10" s="511"/>
      <c r="BE10" s="498"/>
    </row>
    <row r="11" spans="1:57" s="5" customFormat="1" ht="12" customHeight="1">
      <c r="B11" s="50"/>
      <c r="C11" s="50"/>
      <c r="D11" s="51"/>
      <c r="E11" s="52"/>
      <c r="F11" s="47"/>
      <c r="G11" s="47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48"/>
      <c r="AI11" s="49"/>
      <c r="AK11" s="43"/>
      <c r="AN11" s="58"/>
      <c r="AO11" s="59"/>
      <c r="AR11"/>
      <c r="AS11" s="8"/>
      <c r="AT11"/>
      <c r="AU11" s="1"/>
      <c r="AV11" s="1"/>
      <c r="AW11" s="1"/>
      <c r="AX11" s="1"/>
      <c r="AY11" s="60"/>
      <c r="AZ11" s="61"/>
      <c r="BA11" s="62"/>
      <c r="BB11" s="63"/>
      <c r="BD11" s="511"/>
      <c r="BE11" s="498"/>
    </row>
    <row r="12" spans="1:57" s="5" customFormat="1" ht="12" customHeight="1">
      <c r="B12" s="64" t="s">
        <v>34</v>
      </c>
      <c r="C12" s="64" t="s">
        <v>34</v>
      </c>
      <c r="D12" s="65"/>
      <c r="E12" s="66"/>
      <c r="F12" s="67"/>
      <c r="G12" s="68"/>
      <c r="H12" s="68"/>
      <c r="I12" s="68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19"/>
      <c r="U12" s="1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48"/>
      <c r="AI12" s="49"/>
      <c r="AK12" s="43"/>
      <c r="AN12" s="58"/>
      <c r="AO12" s="59"/>
      <c r="AR12"/>
      <c r="AS12" s="8"/>
      <c r="AT12"/>
      <c r="AV12" s="1"/>
      <c r="AW12" s="1"/>
      <c r="AX12" s="1"/>
      <c r="AY12" s="60"/>
      <c r="AZ12" s="61"/>
      <c r="BA12" s="62"/>
      <c r="BB12" s="70"/>
      <c r="BC12"/>
      <c r="BD12" s="511"/>
      <c r="BE12" s="498"/>
    </row>
    <row r="13" spans="1:57" s="19" customFormat="1" ht="12" customHeight="1">
      <c r="A13" s="71" t="str">
        <f t="shared" ref="A13:A48" si="1">"PA-J"&amp;B13</f>
        <v>PA-J20RW1</v>
      </c>
      <c r="B13" s="72" t="s">
        <v>35</v>
      </c>
      <c r="C13" s="72" t="s">
        <v>36</v>
      </c>
      <c r="D13" s="73">
        <v>18.239999999999998</v>
      </c>
      <c r="E13" s="74">
        <v>21</v>
      </c>
      <c r="F13" s="67"/>
      <c r="G13" s="75">
        <v>291.83999999999997</v>
      </c>
      <c r="H13" s="75">
        <v>282.59999999999997</v>
      </c>
      <c r="I13" s="75">
        <v>291.83999999999997</v>
      </c>
      <c r="J13" s="75">
        <v>291.83999999999997</v>
      </c>
      <c r="K13" s="75">
        <v>291.83999999999997</v>
      </c>
      <c r="L13" s="75">
        <v>291.83999999999997</v>
      </c>
      <c r="M13" s="75">
        <v>291.83999999999997</v>
      </c>
      <c r="N13" s="75">
        <v>291.83999999999997</v>
      </c>
      <c r="O13" s="75">
        <v>291.83999999999997</v>
      </c>
      <c r="P13" s="75">
        <v>291.83999999999997</v>
      </c>
      <c r="Q13" s="75">
        <v>291.83999999999997</v>
      </c>
      <c r="R13" s="75">
        <v>291.83999999999997</v>
      </c>
      <c r="S13" s="75">
        <f t="shared" ref="S13:S48" si="2">SUM(G13:R13)</f>
        <v>3492.84</v>
      </c>
      <c r="T13" s="71">
        <v>32000</v>
      </c>
      <c r="V13" s="75">
        <f t="shared" ref="V13:AG34" si="3">IFERROR(G13/$D13,0)</f>
        <v>16</v>
      </c>
      <c r="W13" s="75">
        <f t="shared" si="3"/>
        <v>15.493421052631579</v>
      </c>
      <c r="X13" s="75">
        <f t="shared" si="3"/>
        <v>16</v>
      </c>
      <c r="Y13" s="75">
        <f t="shared" si="3"/>
        <v>16</v>
      </c>
      <c r="Z13" s="75">
        <f t="shared" si="3"/>
        <v>16</v>
      </c>
      <c r="AA13" s="75">
        <f t="shared" si="3"/>
        <v>16</v>
      </c>
      <c r="AB13" s="75">
        <f t="shared" si="3"/>
        <v>16</v>
      </c>
      <c r="AC13" s="75">
        <f t="shared" si="3"/>
        <v>16</v>
      </c>
      <c r="AD13" s="75">
        <f t="shared" si="3"/>
        <v>16</v>
      </c>
      <c r="AE13" s="75">
        <f t="shared" si="3"/>
        <v>16</v>
      </c>
      <c r="AF13" s="75">
        <f t="shared" si="3"/>
        <v>16</v>
      </c>
      <c r="AG13" s="75">
        <f t="shared" si="3"/>
        <v>16</v>
      </c>
      <c r="AH13" s="75">
        <f t="shared" ref="AH13:AH48" si="4">IFERROR(AVERAGEIF(V13:AG13,"&gt;0"),0)</f>
        <v>15.957785087719296</v>
      </c>
      <c r="AI13" s="49"/>
      <c r="AJ13" s="76"/>
      <c r="AK13" s="43"/>
      <c r="AL13" s="5">
        <v>0</v>
      </c>
      <c r="AM13" s="44">
        <f t="shared" ref="AM13:AM18" si="5">+AH13*AL13</f>
        <v>0</v>
      </c>
      <c r="AN13" s="58"/>
      <c r="AO13" s="59"/>
      <c r="AP13" s="5"/>
      <c r="AQ13" s="5"/>
      <c r="AR13" s="77"/>
      <c r="AS13" s="8"/>
      <c r="AT13" s="78">
        <v>18.38392283058657</v>
      </c>
      <c r="AU13" s="79">
        <f t="shared" ref="AU13:AU48" ca="1" si="6">+AT13*(1+$BA$2)</f>
        <v>20.738137344498018</v>
      </c>
      <c r="AV13" s="80">
        <f ca="1">+AU13*AVERAGE(V13:AG13)*12</f>
        <v>3971.2168663572611</v>
      </c>
      <c r="AW13" s="80">
        <f ca="1">+AV13-S13</f>
        <v>478.37686635726095</v>
      </c>
      <c r="AX13" s="81"/>
      <c r="AY13" s="60"/>
      <c r="AZ13" s="82" t="s">
        <v>37</v>
      </c>
      <c r="BA13" s="83">
        <f>+'Mill Haul Tie Out'!AK10</f>
        <v>2030233.9645026247</v>
      </c>
      <c r="BB13" s="84"/>
      <c r="BD13" s="512">
        <f ca="1">+BE$2*AV13</f>
        <v>15.199728041239647</v>
      </c>
      <c r="BE13" s="499">
        <f ca="1">+BD13+AV13</f>
        <v>3986.4165943985008</v>
      </c>
    </row>
    <row r="14" spans="1:57" s="19" customFormat="1" ht="12" customHeight="1">
      <c r="A14" s="71" t="str">
        <f t="shared" si="1"/>
        <v>PA-J32RE1</v>
      </c>
      <c r="B14" s="72" t="s">
        <v>38</v>
      </c>
      <c r="C14" s="72" t="s">
        <v>39</v>
      </c>
      <c r="D14" s="73">
        <v>13.82</v>
      </c>
      <c r="E14" s="74">
        <v>21</v>
      </c>
      <c r="F14" s="67"/>
      <c r="G14" s="75">
        <v>96.74</v>
      </c>
      <c r="H14" s="75">
        <v>96.74</v>
      </c>
      <c r="I14" s="75">
        <v>82.92</v>
      </c>
      <c r="J14" s="75">
        <v>89.83</v>
      </c>
      <c r="K14" s="75">
        <v>82.92</v>
      </c>
      <c r="L14" s="75">
        <v>96.740000000000009</v>
      </c>
      <c r="M14" s="75">
        <v>96.74</v>
      </c>
      <c r="N14" s="75">
        <v>96.74</v>
      </c>
      <c r="O14" s="75">
        <v>86.38000000000001</v>
      </c>
      <c r="P14" s="75">
        <v>93.28</v>
      </c>
      <c r="Q14" s="75">
        <v>82.92</v>
      </c>
      <c r="R14" s="75">
        <v>82.92</v>
      </c>
      <c r="S14" s="75">
        <f t="shared" si="2"/>
        <v>1084.8699999999999</v>
      </c>
      <c r="T14" s="71">
        <v>32000</v>
      </c>
      <c r="V14" s="75">
        <f t="shared" si="3"/>
        <v>6.9999999999999991</v>
      </c>
      <c r="W14" s="75">
        <f t="shared" si="3"/>
        <v>6.9999999999999991</v>
      </c>
      <c r="X14" s="75">
        <f t="shared" si="3"/>
        <v>6</v>
      </c>
      <c r="Y14" s="75">
        <f t="shared" si="3"/>
        <v>6.5</v>
      </c>
      <c r="Z14" s="75">
        <f t="shared" si="3"/>
        <v>6</v>
      </c>
      <c r="AA14" s="75">
        <f t="shared" si="3"/>
        <v>7.0000000000000009</v>
      </c>
      <c r="AB14" s="75">
        <f t="shared" si="3"/>
        <v>6.9999999999999991</v>
      </c>
      <c r="AC14" s="75">
        <f t="shared" si="3"/>
        <v>6.9999999999999991</v>
      </c>
      <c r="AD14" s="75">
        <f t="shared" si="3"/>
        <v>6.2503617945007246</v>
      </c>
      <c r="AE14" s="75">
        <f t="shared" si="3"/>
        <v>6.7496382054992763</v>
      </c>
      <c r="AF14" s="75">
        <f t="shared" si="3"/>
        <v>6</v>
      </c>
      <c r="AG14" s="75">
        <f t="shared" si="3"/>
        <v>6</v>
      </c>
      <c r="AH14" s="75">
        <f t="shared" si="4"/>
        <v>6.541666666666667</v>
      </c>
      <c r="AI14" s="49"/>
      <c r="AJ14" s="76"/>
      <c r="AK14" s="43"/>
      <c r="AL14" s="5">
        <v>0</v>
      </c>
      <c r="AM14" s="44">
        <f t="shared" si="5"/>
        <v>0</v>
      </c>
      <c r="AN14" s="58"/>
      <c r="AO14" s="53"/>
      <c r="AP14" s="5"/>
      <c r="AQ14" s="5"/>
      <c r="AR14" s="77"/>
      <c r="AS14" s="85">
        <f>-AH14</f>
        <v>-6.541666666666667</v>
      </c>
      <c r="AT14" s="78">
        <v>13.942334405998587</v>
      </c>
      <c r="AU14" s="79">
        <f t="shared" ca="1" si="6"/>
        <v>15.727766509847422</v>
      </c>
      <c r="AV14" s="80">
        <f ca="1">+AU14*(AH14+AS14)*12</f>
        <v>0</v>
      </c>
      <c r="AW14" s="80">
        <f t="shared" ref="AW14:AW48" ca="1" si="7">+AV14-S14</f>
        <v>-1084.8699999999999</v>
      </c>
      <c r="AX14" s="81"/>
      <c r="AY14" s="60"/>
      <c r="AZ14" s="82"/>
      <c r="BA14" s="83"/>
      <c r="BB14" s="84"/>
      <c r="BD14" s="512">
        <f t="shared" ref="BD14:BD48" ca="1" si="8">+BE$2*AV14</f>
        <v>0</v>
      </c>
      <c r="BE14" s="499">
        <f t="shared" ref="BE14:BE48" ca="1" si="9">+BD14+AV14</f>
        <v>0</v>
      </c>
    </row>
    <row r="15" spans="1:57" s="19" customFormat="1" ht="12" customHeight="1">
      <c r="A15" s="71" t="str">
        <f t="shared" si="1"/>
        <v>PA-J32RW1</v>
      </c>
      <c r="B15" s="72" t="s">
        <v>40</v>
      </c>
      <c r="C15" s="72" t="s">
        <v>41</v>
      </c>
      <c r="D15" s="73">
        <v>23.61</v>
      </c>
      <c r="E15" s="74">
        <v>21</v>
      </c>
      <c r="F15" s="67"/>
      <c r="G15" s="75">
        <v>47.22</v>
      </c>
      <c r="H15" s="75">
        <v>47.22</v>
      </c>
      <c r="I15" s="75">
        <v>47.22</v>
      </c>
      <c r="J15" s="75">
        <v>35.42</v>
      </c>
      <c r="K15" s="75">
        <v>23.61</v>
      </c>
      <c r="L15" s="75">
        <v>23.61</v>
      </c>
      <c r="M15" s="75">
        <v>23.61</v>
      </c>
      <c r="N15" s="75">
        <v>17.71</v>
      </c>
      <c r="O15" s="75">
        <v>0</v>
      </c>
      <c r="P15" s="75">
        <v>0</v>
      </c>
      <c r="Q15" s="75">
        <v>0</v>
      </c>
      <c r="R15" s="75">
        <v>0</v>
      </c>
      <c r="S15" s="75">
        <f t="shared" si="2"/>
        <v>265.62</v>
      </c>
      <c r="T15" s="71">
        <v>32000</v>
      </c>
      <c r="V15" s="75">
        <f t="shared" si="3"/>
        <v>2</v>
      </c>
      <c r="W15" s="75">
        <f t="shared" si="3"/>
        <v>2</v>
      </c>
      <c r="X15" s="75">
        <f t="shared" si="3"/>
        <v>2</v>
      </c>
      <c r="Y15" s="75">
        <f t="shared" si="3"/>
        <v>1.5002117746717494</v>
      </c>
      <c r="Z15" s="75">
        <f t="shared" si="3"/>
        <v>1</v>
      </c>
      <c r="AA15" s="75">
        <f t="shared" si="3"/>
        <v>1</v>
      </c>
      <c r="AB15" s="75">
        <f t="shared" si="3"/>
        <v>1</v>
      </c>
      <c r="AC15" s="75">
        <f t="shared" si="3"/>
        <v>0.75010588733587469</v>
      </c>
      <c r="AD15" s="75">
        <f t="shared" si="3"/>
        <v>0</v>
      </c>
      <c r="AE15" s="75">
        <f t="shared" si="3"/>
        <v>0</v>
      </c>
      <c r="AF15" s="75">
        <f t="shared" si="3"/>
        <v>0</v>
      </c>
      <c r="AG15" s="75">
        <f t="shared" si="3"/>
        <v>0</v>
      </c>
      <c r="AH15" s="75">
        <f t="shared" si="4"/>
        <v>1.4062897077509531</v>
      </c>
      <c r="AI15" s="49"/>
      <c r="AJ15" s="76"/>
      <c r="AK15" s="43"/>
      <c r="AL15" s="5">
        <v>0</v>
      </c>
      <c r="AM15" s="44">
        <f t="shared" si="5"/>
        <v>0</v>
      </c>
      <c r="AN15" s="58"/>
      <c r="AO15" s="59"/>
      <c r="AP15" s="5"/>
      <c r="AQ15" s="5"/>
      <c r="AR15" s="77"/>
      <c r="AS15" s="86">
        <f>-AH15</f>
        <v>-1.4062897077509531</v>
      </c>
      <c r="AT15" s="78">
        <v>23.854668811997172</v>
      </c>
      <c r="AU15" s="79">
        <f t="shared" ca="1" si="6"/>
        <v>26.909457937216896</v>
      </c>
      <c r="AV15" s="80">
        <f ca="1">+AU15*(AH15+AS15)*12</f>
        <v>0</v>
      </c>
      <c r="AW15" s="80">
        <f t="shared" ca="1" si="7"/>
        <v>-265.62</v>
      </c>
      <c r="AX15" s="81"/>
      <c r="AY15" s="60"/>
      <c r="AZ15" s="82" t="s">
        <v>42</v>
      </c>
      <c r="BA15" s="83">
        <f ca="1">+AV50</f>
        <v>1509260.7485940659</v>
      </c>
      <c r="BB15" s="84"/>
      <c r="BD15" s="512">
        <f t="shared" ca="1" si="8"/>
        <v>0</v>
      </c>
      <c r="BE15" s="499">
        <f t="shared" ca="1" si="9"/>
        <v>0</v>
      </c>
    </row>
    <row r="16" spans="1:57" s="19" customFormat="1" ht="12" customHeight="1">
      <c r="A16" s="71" t="str">
        <f t="shared" si="1"/>
        <v>PA-J32RW2</v>
      </c>
      <c r="B16" s="72" t="s">
        <v>43</v>
      </c>
      <c r="C16" s="72" t="s">
        <v>44</v>
      </c>
      <c r="D16" s="73">
        <v>34.950000000000003</v>
      </c>
      <c r="E16" s="74">
        <v>21</v>
      </c>
      <c r="F16" s="67"/>
      <c r="G16" s="75">
        <v>83.01</v>
      </c>
      <c r="H16" s="75">
        <v>109.21000000000001</v>
      </c>
      <c r="I16" s="75">
        <v>104.85</v>
      </c>
      <c r="J16" s="75">
        <v>104.85</v>
      </c>
      <c r="K16" s="75">
        <v>78.64</v>
      </c>
      <c r="L16" s="75">
        <v>78.63</v>
      </c>
      <c r="M16" s="75">
        <v>69.900000000000006</v>
      </c>
      <c r="N16" s="75">
        <v>104.85000000000001</v>
      </c>
      <c r="O16" s="75">
        <v>104.85</v>
      </c>
      <c r="P16" s="75">
        <v>104.85</v>
      </c>
      <c r="Q16" s="75">
        <v>104.85</v>
      </c>
      <c r="R16" s="75">
        <v>104.85</v>
      </c>
      <c r="S16" s="75">
        <f t="shared" si="2"/>
        <v>1153.3399999999999</v>
      </c>
      <c r="T16" s="71">
        <v>32000</v>
      </c>
      <c r="V16" s="75">
        <f t="shared" si="3"/>
        <v>2.375107296137339</v>
      </c>
      <c r="W16" s="75">
        <f t="shared" si="3"/>
        <v>3.1247496423462087</v>
      </c>
      <c r="X16" s="75">
        <f t="shared" si="3"/>
        <v>2.9999999999999996</v>
      </c>
      <c r="Y16" s="75">
        <f t="shared" si="3"/>
        <v>2.9999999999999996</v>
      </c>
      <c r="Z16" s="75">
        <f t="shared" si="3"/>
        <v>2.250071530758226</v>
      </c>
      <c r="AA16" s="75">
        <f t="shared" si="3"/>
        <v>2.2497854077253217</v>
      </c>
      <c r="AB16" s="75">
        <f t="shared" si="3"/>
        <v>2</v>
      </c>
      <c r="AC16" s="75">
        <f t="shared" si="3"/>
        <v>3</v>
      </c>
      <c r="AD16" s="75">
        <f t="shared" si="3"/>
        <v>2.9999999999999996</v>
      </c>
      <c r="AE16" s="75">
        <f t="shared" si="3"/>
        <v>2.9999999999999996</v>
      </c>
      <c r="AF16" s="75">
        <f t="shared" si="3"/>
        <v>2.9999999999999996</v>
      </c>
      <c r="AG16" s="75">
        <f t="shared" si="3"/>
        <v>2.9999999999999996</v>
      </c>
      <c r="AH16" s="75">
        <f t="shared" si="4"/>
        <v>2.7499761564139242</v>
      </c>
      <c r="AI16" s="49"/>
      <c r="AJ16" s="76"/>
      <c r="AK16" s="43"/>
      <c r="AL16" s="5">
        <v>0</v>
      </c>
      <c r="AM16" s="44">
        <f t="shared" si="5"/>
        <v>0</v>
      </c>
      <c r="AN16" s="58"/>
      <c r="AO16" s="59"/>
      <c r="AP16" s="5"/>
      <c r="AQ16" s="5"/>
      <c r="AR16" s="77"/>
      <c r="AS16" s="87">
        <f>-AH16</f>
        <v>-2.7499761564139242</v>
      </c>
      <c r="AT16" s="78">
        <v>35.317003217995762</v>
      </c>
      <c r="AU16" s="79">
        <f t="shared" ca="1" si="6"/>
        <v>39.839639780924045</v>
      </c>
      <c r="AV16" s="80">
        <f ca="1">+AU16*(AH16+AS16)*12</f>
        <v>0</v>
      </c>
      <c r="AW16" s="80">
        <f t="shared" ca="1" si="7"/>
        <v>-1153.3399999999999</v>
      </c>
      <c r="AX16" s="81"/>
      <c r="AY16" s="60"/>
      <c r="AZ16" s="82" t="s">
        <v>45</v>
      </c>
      <c r="BA16" s="83">
        <f ca="1">+AV56</f>
        <v>102284.02713808759</v>
      </c>
      <c r="BB16" s="84"/>
      <c r="BD16" s="512">
        <f t="shared" ca="1" si="8"/>
        <v>0</v>
      </c>
      <c r="BE16" s="499">
        <f t="shared" ca="1" si="9"/>
        <v>0</v>
      </c>
    </row>
    <row r="17" spans="1:57" s="19" customFormat="1" ht="12" customHeight="1">
      <c r="A17" s="71" t="str">
        <f t="shared" si="1"/>
        <v>PA-J35RW1</v>
      </c>
      <c r="B17" s="72" t="s">
        <v>46</v>
      </c>
      <c r="C17" s="72" t="s">
        <v>47</v>
      </c>
      <c r="D17" s="73">
        <v>25.77</v>
      </c>
      <c r="E17" s="74">
        <v>21</v>
      </c>
      <c r="F17" s="67"/>
      <c r="G17" s="75">
        <v>34718.58</v>
      </c>
      <c r="H17" s="75">
        <v>34893.270000000004</v>
      </c>
      <c r="I17" s="75">
        <v>33958.35</v>
      </c>
      <c r="J17" s="75">
        <v>33933.279999999999</v>
      </c>
      <c r="K17" s="75">
        <v>33146.61</v>
      </c>
      <c r="L17" s="75">
        <v>33145.299999999996</v>
      </c>
      <c r="M17" s="75">
        <v>32615.119999999999</v>
      </c>
      <c r="N17" s="75">
        <v>32924.29</v>
      </c>
      <c r="O17" s="75">
        <v>33172.370000000003</v>
      </c>
      <c r="P17" s="75">
        <v>34248.160000000003</v>
      </c>
      <c r="Q17" s="75">
        <v>34280.46</v>
      </c>
      <c r="R17" s="75">
        <v>34428.629999999997</v>
      </c>
      <c r="S17" s="75">
        <f t="shared" si="2"/>
        <v>405464.42</v>
      </c>
      <c r="T17" s="71">
        <v>32000</v>
      </c>
      <c r="V17" s="75">
        <f t="shared" si="3"/>
        <v>1347.2479627473808</v>
      </c>
      <c r="W17" s="75">
        <f t="shared" si="3"/>
        <v>1354.0267753201399</v>
      </c>
      <c r="X17" s="75">
        <f t="shared" si="3"/>
        <v>1317.7473806752037</v>
      </c>
      <c r="Y17" s="75">
        <f t="shared" si="3"/>
        <v>1316.7745440434614</v>
      </c>
      <c r="Z17" s="75">
        <f t="shared" si="3"/>
        <v>1286.2479627473808</v>
      </c>
      <c r="AA17" s="75">
        <f t="shared" si="3"/>
        <v>1286.1971284439269</v>
      </c>
      <c r="AB17" s="75">
        <f t="shared" si="3"/>
        <v>1265.6235933255723</v>
      </c>
      <c r="AC17" s="75">
        <f t="shared" si="3"/>
        <v>1277.6208769887467</v>
      </c>
      <c r="AD17" s="75">
        <f t="shared" si="3"/>
        <v>1287.2475746992629</v>
      </c>
      <c r="AE17" s="75">
        <f t="shared" si="3"/>
        <v>1328.9934031819948</v>
      </c>
      <c r="AF17" s="75">
        <f t="shared" si="3"/>
        <v>1330.2467986030267</v>
      </c>
      <c r="AG17" s="75">
        <f t="shared" si="3"/>
        <v>1335.9965075669381</v>
      </c>
      <c r="AH17" s="75">
        <f t="shared" si="4"/>
        <v>1311.1642090285864</v>
      </c>
      <c r="AI17" s="49"/>
      <c r="AJ17" s="76"/>
      <c r="AK17" s="43">
        <v>35</v>
      </c>
      <c r="AL17" s="5">
        <v>1</v>
      </c>
      <c r="AM17" s="44">
        <f t="shared" si="5"/>
        <v>1311.1642090285864</v>
      </c>
      <c r="AN17" s="58"/>
      <c r="AO17" s="59"/>
      <c r="AP17" s="5"/>
      <c r="AQ17" s="5"/>
      <c r="AR17" s="77"/>
      <c r="AS17" s="86">
        <f>-AS15</f>
        <v>1.4062897077509531</v>
      </c>
      <c r="AT17" s="78">
        <v>26.036257236585158</v>
      </c>
      <c r="AU17" s="79">
        <f t="shared" ca="1" si="6"/>
        <v>29.370416939013857</v>
      </c>
      <c r="AV17" s="80">
        <f ca="1">+AU17*(AH17+AS17)*12</f>
        <v>462608.91371682705</v>
      </c>
      <c r="AW17" s="80">
        <f t="shared" ca="1" si="7"/>
        <v>57144.49371682707</v>
      </c>
      <c r="AX17" s="81"/>
      <c r="AY17" s="60"/>
      <c r="AZ17" s="61" t="s">
        <v>48</v>
      </c>
      <c r="BA17" s="62">
        <f ca="1">+AV125</f>
        <v>1285295.8048424926</v>
      </c>
      <c r="BB17" s="70"/>
      <c r="BC17"/>
      <c r="BD17" s="512">
        <f t="shared" ca="1" si="8"/>
        <v>1770.6234422797936</v>
      </c>
      <c r="BE17" s="499">
        <f t="shared" ca="1" si="9"/>
        <v>464379.53715910687</v>
      </c>
    </row>
    <row r="18" spans="1:57" s="19" customFormat="1" ht="12" customHeight="1">
      <c r="A18" s="71" t="str">
        <f t="shared" si="1"/>
        <v>PA-J96RW1</v>
      </c>
      <c r="B18" s="72" t="s">
        <v>49</v>
      </c>
      <c r="C18" s="72" t="s">
        <v>50</v>
      </c>
      <c r="D18" s="73">
        <v>43.23</v>
      </c>
      <c r="E18" s="74">
        <v>21</v>
      </c>
      <c r="F18" s="67"/>
      <c r="G18" s="75">
        <v>9996.91</v>
      </c>
      <c r="H18" s="75">
        <v>10234.629999999999</v>
      </c>
      <c r="I18" s="75">
        <v>10467.030000000001</v>
      </c>
      <c r="J18" s="75">
        <v>10758.78</v>
      </c>
      <c r="K18" s="75">
        <v>10591.34</v>
      </c>
      <c r="L18" s="75">
        <v>10958.75</v>
      </c>
      <c r="M18" s="75">
        <v>10856.11</v>
      </c>
      <c r="N18" s="75">
        <v>11266.76</v>
      </c>
      <c r="O18" s="75">
        <v>11315.449999999999</v>
      </c>
      <c r="P18" s="75">
        <v>11499.14</v>
      </c>
      <c r="Q18" s="75">
        <v>11607.23</v>
      </c>
      <c r="R18" s="75">
        <v>11931.42</v>
      </c>
      <c r="S18" s="75">
        <f t="shared" si="2"/>
        <v>131483.54999999999</v>
      </c>
      <c r="T18" s="71">
        <v>32000</v>
      </c>
      <c r="V18" s="75">
        <f t="shared" si="3"/>
        <v>231.24936386768448</v>
      </c>
      <c r="W18" s="75">
        <f t="shared" si="3"/>
        <v>236.74832292389544</v>
      </c>
      <c r="X18" s="75">
        <f t="shared" si="3"/>
        <v>242.12421929215824</v>
      </c>
      <c r="Y18" s="75">
        <f t="shared" si="3"/>
        <v>248.87300485773773</v>
      </c>
      <c r="Z18" s="75">
        <f t="shared" si="3"/>
        <v>244.99976867915802</v>
      </c>
      <c r="AA18" s="75">
        <f t="shared" si="3"/>
        <v>253.49872773536899</v>
      </c>
      <c r="AB18" s="75">
        <f t="shared" si="3"/>
        <v>251.12445061300025</v>
      </c>
      <c r="AC18" s="75">
        <f t="shared" si="3"/>
        <v>260.62364099005322</v>
      </c>
      <c r="AD18" s="75">
        <f t="shared" si="3"/>
        <v>261.74994216978951</v>
      </c>
      <c r="AE18" s="75">
        <f t="shared" si="3"/>
        <v>265.99907471663198</v>
      </c>
      <c r="AF18" s="75">
        <f t="shared" si="3"/>
        <v>268.499421697895</v>
      </c>
      <c r="AG18" s="75">
        <f t="shared" si="3"/>
        <v>275.99861207494797</v>
      </c>
      <c r="AH18" s="75">
        <f t="shared" si="4"/>
        <v>253.45737913486008</v>
      </c>
      <c r="AI18" s="49"/>
      <c r="AJ18" s="76"/>
      <c r="AK18" s="43">
        <v>96</v>
      </c>
      <c r="AL18" s="5">
        <v>1</v>
      </c>
      <c r="AM18" s="44">
        <f t="shared" si="5"/>
        <v>253.45737913486008</v>
      </c>
      <c r="AN18" s="58"/>
      <c r="AO18" s="59"/>
      <c r="AP18" s="5"/>
      <c r="AQ18" s="5"/>
      <c r="AR18" s="77"/>
      <c r="AS18" s="8"/>
      <c r="AT18" s="78">
        <v>43.72</v>
      </c>
      <c r="AU18" s="79">
        <f t="shared" ca="1" si="6"/>
        <v>49.318710324053534</v>
      </c>
      <c r="AV18" s="80">
        <f t="shared" ref="AV18:AV48" ca="1" si="10">+AU18*AVERAGE(V18:AG18)*12</f>
        <v>150002.29273255169</v>
      </c>
      <c r="AW18" s="80">
        <f t="shared" ca="1" si="7"/>
        <v>18518.742732551706</v>
      </c>
      <c r="AX18" s="81"/>
      <c r="AY18" s="60"/>
      <c r="AZ18" s="61" t="s">
        <v>51</v>
      </c>
      <c r="BA18" s="62">
        <f ca="1">+AV150</f>
        <v>205886.21299959382</v>
      </c>
      <c r="BB18" s="70"/>
      <c r="BC18"/>
      <c r="BD18" s="512">
        <f t="shared" ca="1" si="8"/>
        <v>574.12982766378343</v>
      </c>
      <c r="BE18" s="499">
        <f t="shared" ca="1" si="9"/>
        <v>150576.42256021549</v>
      </c>
    </row>
    <row r="19" spans="1:57" s="5" customFormat="1" ht="12" customHeight="1">
      <c r="A19" s="5" t="str">
        <f t="shared" si="1"/>
        <v>PA-JCARRYRE</v>
      </c>
      <c r="B19" s="48" t="s">
        <v>52</v>
      </c>
      <c r="C19" s="48" t="s">
        <v>53</v>
      </c>
      <c r="D19" s="73">
        <v>1.65</v>
      </c>
      <c r="E19" s="74">
        <v>19</v>
      </c>
      <c r="F19" s="67"/>
      <c r="G19" s="68">
        <v>1.65</v>
      </c>
      <c r="H19" s="68">
        <v>1.65</v>
      </c>
      <c r="I19" s="68">
        <v>1.65</v>
      </c>
      <c r="J19" s="68">
        <v>1.65</v>
      </c>
      <c r="K19" s="68">
        <v>1.65</v>
      </c>
      <c r="L19" s="68">
        <v>1.65</v>
      </c>
      <c r="M19" s="68">
        <v>1.65</v>
      </c>
      <c r="N19" s="68">
        <v>1.65</v>
      </c>
      <c r="O19" s="68">
        <v>1.65</v>
      </c>
      <c r="P19" s="68">
        <v>1.65</v>
      </c>
      <c r="Q19" s="68">
        <v>1.65</v>
      </c>
      <c r="R19" s="68">
        <v>1.65</v>
      </c>
      <c r="S19" s="68">
        <f t="shared" si="2"/>
        <v>19.799999999999997</v>
      </c>
      <c r="T19" s="19">
        <v>32001</v>
      </c>
      <c r="U19" s="19"/>
      <c r="V19" s="68">
        <f t="shared" si="3"/>
        <v>1</v>
      </c>
      <c r="W19" s="68">
        <f t="shared" si="3"/>
        <v>1</v>
      </c>
      <c r="X19" s="68">
        <f t="shared" si="3"/>
        <v>1</v>
      </c>
      <c r="Y19" s="68">
        <f t="shared" si="3"/>
        <v>1</v>
      </c>
      <c r="Z19" s="68">
        <f t="shared" si="3"/>
        <v>1</v>
      </c>
      <c r="AA19" s="68">
        <f t="shared" si="3"/>
        <v>1</v>
      </c>
      <c r="AB19" s="68">
        <f t="shared" si="3"/>
        <v>1</v>
      </c>
      <c r="AC19" s="68">
        <f t="shared" si="3"/>
        <v>1</v>
      </c>
      <c r="AD19" s="68">
        <f t="shared" si="3"/>
        <v>1</v>
      </c>
      <c r="AE19" s="68">
        <f t="shared" si="3"/>
        <v>1</v>
      </c>
      <c r="AF19" s="68">
        <f t="shared" si="3"/>
        <v>1</v>
      </c>
      <c r="AG19" s="68">
        <f t="shared" si="3"/>
        <v>1</v>
      </c>
      <c r="AH19" s="68">
        <f t="shared" si="4"/>
        <v>1</v>
      </c>
      <c r="AI19" s="49"/>
      <c r="AJ19" s="76"/>
      <c r="AK19" s="43"/>
      <c r="AN19" s="58"/>
      <c r="AO19" s="59"/>
      <c r="AR19" s="77"/>
      <c r="AS19" s="8"/>
      <c r="AT19" s="78">
        <v>1.65</v>
      </c>
      <c r="AU19" s="79">
        <f t="shared" ca="1" si="6"/>
        <v>1.8612962496497787</v>
      </c>
      <c r="AV19" s="80">
        <f t="shared" ca="1" si="10"/>
        <v>22.335554995797345</v>
      </c>
      <c r="AW19" s="80">
        <f t="shared" ca="1" si="7"/>
        <v>2.535554995797348</v>
      </c>
      <c r="AX19" s="81"/>
      <c r="AY19" s="60"/>
      <c r="AZ19" s="61" t="s">
        <v>54</v>
      </c>
      <c r="BA19" s="62">
        <f ca="1">+AV163</f>
        <v>2720.33</v>
      </c>
      <c r="BB19" s="70"/>
      <c r="BC19"/>
      <c r="BD19" s="512">
        <f t="shared" ca="1" si="8"/>
        <v>8.5488748917830926E-2</v>
      </c>
      <c r="BE19" s="499">
        <f t="shared" ca="1" si="9"/>
        <v>22.421043744715178</v>
      </c>
    </row>
    <row r="20" spans="1:57" s="5" customFormat="1" ht="12" customHeight="1">
      <c r="A20" s="5" t="str">
        <f t="shared" si="1"/>
        <v>PA-JCARRYRW</v>
      </c>
      <c r="B20" s="48" t="s">
        <v>55</v>
      </c>
      <c r="C20" s="48" t="s">
        <v>56</v>
      </c>
      <c r="D20" s="73">
        <v>1.65</v>
      </c>
      <c r="E20" s="74">
        <v>19</v>
      </c>
      <c r="F20" s="67"/>
      <c r="G20" s="68">
        <v>6.6</v>
      </c>
      <c r="H20" s="68">
        <v>6.6</v>
      </c>
      <c r="I20" s="68">
        <v>6.6</v>
      </c>
      <c r="J20" s="68">
        <v>6.6</v>
      </c>
      <c r="K20" s="68">
        <v>5.36</v>
      </c>
      <c r="L20" s="68">
        <v>5.36</v>
      </c>
      <c r="M20" s="68">
        <v>4.95</v>
      </c>
      <c r="N20" s="68">
        <v>4.13</v>
      </c>
      <c r="O20" s="68">
        <v>3.3</v>
      </c>
      <c r="P20" s="68">
        <v>3.3</v>
      </c>
      <c r="Q20" s="68">
        <v>3.3</v>
      </c>
      <c r="R20" s="68">
        <v>3.3</v>
      </c>
      <c r="S20" s="68">
        <f t="shared" si="2"/>
        <v>59.399999999999991</v>
      </c>
      <c r="T20" s="19">
        <v>32001</v>
      </c>
      <c r="U20" s="19"/>
      <c r="V20" s="68">
        <f t="shared" si="3"/>
        <v>4</v>
      </c>
      <c r="W20" s="68">
        <f t="shared" si="3"/>
        <v>4</v>
      </c>
      <c r="X20" s="68">
        <f t="shared" si="3"/>
        <v>4</v>
      </c>
      <c r="Y20" s="68">
        <f t="shared" si="3"/>
        <v>4</v>
      </c>
      <c r="Z20" s="68">
        <f t="shared" si="3"/>
        <v>3.248484848484849</v>
      </c>
      <c r="AA20" s="68">
        <f t="shared" si="3"/>
        <v>3.248484848484849</v>
      </c>
      <c r="AB20" s="68">
        <f t="shared" si="3"/>
        <v>3.0000000000000004</v>
      </c>
      <c r="AC20" s="68">
        <f t="shared" si="3"/>
        <v>2.5030303030303029</v>
      </c>
      <c r="AD20" s="68">
        <f t="shared" si="3"/>
        <v>2</v>
      </c>
      <c r="AE20" s="68">
        <f t="shared" si="3"/>
        <v>2</v>
      </c>
      <c r="AF20" s="68">
        <f t="shared" si="3"/>
        <v>2</v>
      </c>
      <c r="AG20" s="68">
        <f t="shared" si="3"/>
        <v>2</v>
      </c>
      <c r="AH20" s="68">
        <f t="shared" si="4"/>
        <v>3</v>
      </c>
      <c r="AI20" s="49"/>
      <c r="AJ20" s="76"/>
      <c r="AK20" s="43"/>
      <c r="AM20" s="44"/>
      <c r="AN20" s="58"/>
      <c r="AO20" s="59"/>
      <c r="AR20" s="77"/>
      <c r="AS20" s="8"/>
      <c r="AT20" s="78">
        <v>1.65</v>
      </c>
      <c r="AU20" s="79">
        <f t="shared" ca="1" si="6"/>
        <v>1.8612962496497787</v>
      </c>
      <c r="AV20" s="80">
        <f t="shared" ca="1" si="10"/>
        <v>67.006664987392043</v>
      </c>
      <c r="AW20" s="80">
        <f t="shared" ca="1" si="7"/>
        <v>7.6066649873920511</v>
      </c>
      <c r="AX20" s="81"/>
      <c r="AY20" s="60"/>
      <c r="AZ20" s="61"/>
      <c r="BA20" s="62"/>
      <c r="BB20" s="70"/>
      <c r="BC20"/>
      <c r="BD20" s="512">
        <f t="shared" ca="1" si="8"/>
        <v>0.25646624675349278</v>
      </c>
      <c r="BE20" s="499">
        <f t="shared" ca="1" si="9"/>
        <v>67.263131234145533</v>
      </c>
    </row>
    <row r="21" spans="1:57" s="5" customFormat="1" ht="12" customHeight="1">
      <c r="A21" s="5" t="str">
        <f t="shared" si="1"/>
        <v>PA-JEXTRAR</v>
      </c>
      <c r="B21" s="48" t="s">
        <v>57</v>
      </c>
      <c r="C21" s="48" t="s">
        <v>58</v>
      </c>
      <c r="D21" s="73">
        <v>7.75</v>
      </c>
      <c r="E21" s="74" t="s">
        <v>59</v>
      </c>
      <c r="F21" s="67"/>
      <c r="G21" s="68">
        <v>461.13</v>
      </c>
      <c r="H21" s="68">
        <v>1290.3699999999999</v>
      </c>
      <c r="I21" s="68">
        <v>290.63</v>
      </c>
      <c r="J21" s="68">
        <v>1306.3200000000002</v>
      </c>
      <c r="K21" s="68">
        <v>263.5</v>
      </c>
      <c r="L21" s="68">
        <v>1433.75</v>
      </c>
      <c r="M21" s="68">
        <v>356.5</v>
      </c>
      <c r="N21" s="68">
        <v>1216.75</v>
      </c>
      <c r="O21" s="68">
        <v>573.5</v>
      </c>
      <c r="P21" s="68">
        <v>2596.25</v>
      </c>
      <c r="Q21" s="68">
        <v>608.38</v>
      </c>
      <c r="R21" s="68">
        <v>1197.3699999999999</v>
      </c>
      <c r="S21" s="68">
        <f t="shared" si="2"/>
        <v>11594.45</v>
      </c>
      <c r="T21" s="19">
        <v>32001</v>
      </c>
      <c r="U21" s="19"/>
      <c r="V21" s="68">
        <f t="shared" si="3"/>
        <v>59.500645161290322</v>
      </c>
      <c r="W21" s="68">
        <f t="shared" si="3"/>
        <v>166.49935483870965</v>
      </c>
      <c r="X21" s="68">
        <f t="shared" si="3"/>
        <v>37.500645161290322</v>
      </c>
      <c r="Y21" s="68">
        <f t="shared" si="3"/>
        <v>168.55741935483874</v>
      </c>
      <c r="Z21" s="68">
        <f t="shared" si="3"/>
        <v>34</v>
      </c>
      <c r="AA21" s="68">
        <f t="shared" si="3"/>
        <v>185</v>
      </c>
      <c r="AB21" s="68">
        <f t="shared" si="3"/>
        <v>46</v>
      </c>
      <c r="AC21" s="68">
        <f t="shared" si="3"/>
        <v>157</v>
      </c>
      <c r="AD21" s="68">
        <f t="shared" si="3"/>
        <v>74</v>
      </c>
      <c r="AE21" s="68">
        <f t="shared" si="3"/>
        <v>335</v>
      </c>
      <c r="AF21" s="68">
        <f t="shared" si="3"/>
        <v>78.500645161290322</v>
      </c>
      <c r="AG21" s="68">
        <f t="shared" si="3"/>
        <v>154.49935483870965</v>
      </c>
      <c r="AH21" s="68">
        <f t="shared" si="4"/>
        <v>124.67150537634409</v>
      </c>
      <c r="AI21" s="49"/>
      <c r="AJ21" s="76"/>
      <c r="AK21" s="43"/>
      <c r="AM21" s="44"/>
      <c r="AN21" s="58"/>
      <c r="AO21" s="59"/>
      <c r="AR21" s="77"/>
      <c r="AS21" s="8"/>
      <c r="AT21" s="78">
        <v>7.81</v>
      </c>
      <c r="AU21" s="79">
        <f t="shared" ca="1" si="6"/>
        <v>8.8101355816756186</v>
      </c>
      <c r="AV21" s="80">
        <f t="shared" ca="1" si="10"/>
        <v>13180.474386446305</v>
      </c>
      <c r="AW21" s="80">
        <f t="shared" ca="1" si="7"/>
        <v>1586.0243864463046</v>
      </c>
      <c r="AX21" s="81"/>
      <c r="AY21" s="60"/>
      <c r="AZ21" s="61" t="s">
        <v>60</v>
      </c>
      <c r="BA21" s="62">
        <f ca="1">+'Clallam Reg Price Out'!AU49</f>
        <v>4298333.2736540744</v>
      </c>
      <c r="BB21" s="70"/>
      <c r="BC21"/>
      <c r="BD21" s="512">
        <f t="shared" ca="1" si="8"/>
        <v>50.447918829544413</v>
      </c>
      <c r="BE21" s="499">
        <f t="shared" ca="1" si="9"/>
        <v>13230.92230527585</v>
      </c>
    </row>
    <row r="22" spans="1:57" s="5" customFormat="1" ht="12" customHeight="1">
      <c r="A22" s="5" t="str">
        <f t="shared" si="1"/>
        <v>PA-JOFOWR</v>
      </c>
      <c r="B22" s="48" t="s">
        <v>61</v>
      </c>
      <c r="C22" s="48" t="s">
        <v>62</v>
      </c>
      <c r="D22" s="73">
        <v>7.3</v>
      </c>
      <c r="E22" s="74">
        <v>16</v>
      </c>
      <c r="F22" s="67"/>
      <c r="G22" s="68">
        <v>98.55</v>
      </c>
      <c r="H22" s="68">
        <v>215.35000000000002</v>
      </c>
      <c r="I22" s="68">
        <v>80.3</v>
      </c>
      <c r="J22" s="68">
        <v>160.6</v>
      </c>
      <c r="K22" s="68">
        <v>7.3</v>
      </c>
      <c r="L22" s="68">
        <v>43.8</v>
      </c>
      <c r="M22" s="68">
        <v>0</v>
      </c>
      <c r="N22" s="68">
        <v>94.9</v>
      </c>
      <c r="O22" s="68">
        <v>51.1</v>
      </c>
      <c r="P22" s="68">
        <v>642.4</v>
      </c>
      <c r="Q22" s="68">
        <v>288.34999999999997</v>
      </c>
      <c r="R22" s="68">
        <v>390.54999999999995</v>
      </c>
      <c r="S22" s="68">
        <f t="shared" si="2"/>
        <v>2073.1999999999998</v>
      </c>
      <c r="T22" s="19">
        <v>32001</v>
      </c>
      <c r="U22" s="19"/>
      <c r="V22" s="68">
        <f t="shared" si="3"/>
        <v>13.5</v>
      </c>
      <c r="W22" s="68">
        <f t="shared" si="3"/>
        <v>29.500000000000004</v>
      </c>
      <c r="X22" s="68">
        <f t="shared" si="3"/>
        <v>11</v>
      </c>
      <c r="Y22" s="68">
        <f t="shared" si="3"/>
        <v>22</v>
      </c>
      <c r="Z22" s="68">
        <f t="shared" si="3"/>
        <v>1</v>
      </c>
      <c r="AA22" s="68">
        <f t="shared" si="3"/>
        <v>6</v>
      </c>
      <c r="AB22" s="68">
        <f t="shared" si="3"/>
        <v>0</v>
      </c>
      <c r="AC22" s="68">
        <f t="shared" si="3"/>
        <v>13.000000000000002</v>
      </c>
      <c r="AD22" s="68">
        <f t="shared" si="3"/>
        <v>7</v>
      </c>
      <c r="AE22" s="68">
        <f t="shared" si="3"/>
        <v>88</v>
      </c>
      <c r="AF22" s="68">
        <f t="shared" si="3"/>
        <v>39.499999999999993</v>
      </c>
      <c r="AG22" s="68">
        <f t="shared" si="3"/>
        <v>53.499999999999993</v>
      </c>
      <c r="AH22" s="68">
        <f t="shared" si="4"/>
        <v>25.818181818181817</v>
      </c>
      <c r="AI22" s="49"/>
      <c r="AJ22" s="76"/>
      <c r="AK22" s="43"/>
      <c r="AM22" s="44"/>
      <c r="AN22" s="58"/>
      <c r="AO22" s="59"/>
      <c r="AR22" s="77"/>
      <c r="AS22" s="8"/>
      <c r="AT22" s="78">
        <v>7.3564620335378086</v>
      </c>
      <c r="AU22" s="79">
        <f t="shared" ca="1" si="6"/>
        <v>8.2985182992211559</v>
      </c>
      <c r="AV22" s="80">
        <f t="shared" ca="1" si="10"/>
        <v>2356.7791969788082</v>
      </c>
      <c r="AW22" s="80">
        <f t="shared" ca="1" si="7"/>
        <v>283.57919697880834</v>
      </c>
      <c r="AX22" s="81"/>
      <c r="AY22" s="60"/>
      <c r="AZ22" s="61" t="s">
        <v>63</v>
      </c>
      <c r="BA22" s="62">
        <f ca="1">+'Clallam Reg Price Out'!AU55</f>
        <v>669666.65625590808</v>
      </c>
      <c r="BB22" s="70"/>
      <c r="BC22"/>
      <c r="BD22" s="512">
        <f t="shared" ca="1" si="8"/>
        <v>9.0205103505687951</v>
      </c>
      <c r="BE22" s="499">
        <f t="shared" ca="1" si="9"/>
        <v>2365.7997073293768</v>
      </c>
    </row>
    <row r="23" spans="1:57" s="5" customFormat="1" ht="12" customHeight="1">
      <c r="A23" s="5" t="str">
        <f t="shared" si="1"/>
        <v>PA-JRDELCART</v>
      </c>
      <c r="B23" s="48" t="s">
        <v>64</v>
      </c>
      <c r="C23" s="48" t="s">
        <v>65</v>
      </c>
      <c r="D23" s="73">
        <v>20.51</v>
      </c>
      <c r="E23" s="74">
        <v>15</v>
      </c>
      <c r="F23" s="67"/>
      <c r="G23" s="68">
        <v>41.02</v>
      </c>
      <c r="H23" s="68">
        <v>348.66999999999996</v>
      </c>
      <c r="I23" s="68">
        <v>51.28</v>
      </c>
      <c r="J23" s="68">
        <v>194.84</v>
      </c>
      <c r="K23" s="68">
        <v>10.26</v>
      </c>
      <c r="L23" s="68">
        <v>338.41</v>
      </c>
      <c r="M23" s="68">
        <v>61.53</v>
      </c>
      <c r="N23" s="68">
        <v>656.31999999999994</v>
      </c>
      <c r="O23" s="68">
        <v>256.38</v>
      </c>
      <c r="P23" s="68">
        <v>953.71</v>
      </c>
      <c r="Q23" s="68">
        <v>112.81</v>
      </c>
      <c r="R23" s="68">
        <v>276.88</v>
      </c>
      <c r="S23" s="68">
        <f t="shared" si="2"/>
        <v>3302.11</v>
      </c>
      <c r="T23" s="19">
        <v>32000</v>
      </c>
      <c r="U23" s="19"/>
      <c r="V23" s="68">
        <f t="shared" si="3"/>
        <v>2</v>
      </c>
      <c r="W23" s="68">
        <f t="shared" si="3"/>
        <v>16.999999999999996</v>
      </c>
      <c r="X23" s="68">
        <f t="shared" si="3"/>
        <v>2.5002437835202338</v>
      </c>
      <c r="Y23" s="68">
        <f t="shared" si="3"/>
        <v>9.4997562164797653</v>
      </c>
      <c r="Z23" s="68">
        <f t="shared" si="3"/>
        <v>0.50024378352023402</v>
      </c>
      <c r="AA23" s="68">
        <f t="shared" si="3"/>
        <v>16.499756216479767</v>
      </c>
      <c r="AB23" s="68">
        <f t="shared" si="3"/>
        <v>3</v>
      </c>
      <c r="AC23" s="68">
        <f t="shared" si="3"/>
        <v>31.999999999999993</v>
      </c>
      <c r="AD23" s="68">
        <f t="shared" si="3"/>
        <v>12.500243783520233</v>
      </c>
      <c r="AE23" s="68">
        <f t="shared" si="3"/>
        <v>46.499756216479767</v>
      </c>
      <c r="AF23" s="68">
        <f t="shared" si="3"/>
        <v>5.5002437835202338</v>
      </c>
      <c r="AG23" s="68">
        <f t="shared" si="3"/>
        <v>13.499756216479765</v>
      </c>
      <c r="AH23" s="68">
        <f t="shared" si="4"/>
        <v>13.416666666666666</v>
      </c>
      <c r="AI23" s="49"/>
      <c r="AJ23" s="76"/>
      <c r="AK23" s="43"/>
      <c r="AN23" s="58"/>
      <c r="AO23" s="59"/>
      <c r="AR23" s="77"/>
      <c r="AS23" s="8"/>
      <c r="AT23" s="78">
        <v>20.51</v>
      </c>
      <c r="AU23" s="79">
        <f t="shared" ca="1" si="6"/>
        <v>23.136476412313314</v>
      </c>
      <c r="AV23" s="80">
        <f t="shared" ca="1" si="10"/>
        <v>3724.9727023824435</v>
      </c>
      <c r="AW23" s="80">
        <f t="shared" ca="1" si="7"/>
        <v>422.86270238244333</v>
      </c>
      <c r="AX23" s="81"/>
      <c r="AY23" s="60"/>
      <c r="AZ23" s="61" t="s">
        <v>66</v>
      </c>
      <c r="BA23" s="62">
        <f ca="1">+'Clallam Reg Price Out'!AU155</f>
        <v>2148331.0175378411</v>
      </c>
      <c r="BB23" s="70"/>
      <c r="BC23"/>
      <c r="BD23" s="512">
        <f t="shared" ca="1" si="8"/>
        <v>14.257234984295893</v>
      </c>
      <c r="BE23" s="499">
        <f t="shared" ca="1" si="9"/>
        <v>3739.2299373667393</v>
      </c>
    </row>
    <row r="24" spans="1:57" s="5" customFormat="1" ht="12" customHeight="1">
      <c r="A24" s="5" t="str">
        <f t="shared" si="1"/>
        <v>PA-JRESTART</v>
      </c>
      <c r="B24" s="48" t="s">
        <v>67</v>
      </c>
      <c r="C24" s="48" t="s">
        <v>68</v>
      </c>
      <c r="D24" s="73">
        <v>10.25</v>
      </c>
      <c r="E24" s="74">
        <v>15</v>
      </c>
      <c r="F24" s="67"/>
      <c r="G24" s="68">
        <v>82</v>
      </c>
      <c r="H24" s="68">
        <v>205</v>
      </c>
      <c r="I24" s="68">
        <v>46.13</v>
      </c>
      <c r="J24" s="68">
        <v>169.12</v>
      </c>
      <c r="K24" s="68">
        <v>41</v>
      </c>
      <c r="L24" s="68">
        <v>297.25</v>
      </c>
      <c r="M24" s="68">
        <v>61.5</v>
      </c>
      <c r="N24" s="68">
        <v>287</v>
      </c>
      <c r="O24" s="68">
        <v>97.38</v>
      </c>
      <c r="P24" s="68">
        <v>138.37</v>
      </c>
      <c r="Q24" s="68">
        <v>56.379999999999995</v>
      </c>
      <c r="R24" s="68">
        <v>138.37</v>
      </c>
      <c r="S24" s="68">
        <f t="shared" si="2"/>
        <v>1619.5</v>
      </c>
      <c r="T24" s="19">
        <v>32000</v>
      </c>
      <c r="U24" s="19"/>
      <c r="V24" s="68">
        <f t="shared" si="3"/>
        <v>8</v>
      </c>
      <c r="W24" s="68">
        <f t="shared" si="3"/>
        <v>20</v>
      </c>
      <c r="X24" s="68">
        <f t="shared" si="3"/>
        <v>4.5004878048780492</v>
      </c>
      <c r="Y24" s="68">
        <f t="shared" si="3"/>
        <v>16.499512195121952</v>
      </c>
      <c r="Z24" s="68">
        <f t="shared" si="3"/>
        <v>4</v>
      </c>
      <c r="AA24" s="68">
        <f t="shared" si="3"/>
        <v>29</v>
      </c>
      <c r="AB24" s="68">
        <f t="shared" si="3"/>
        <v>6</v>
      </c>
      <c r="AC24" s="68">
        <f t="shared" si="3"/>
        <v>28</v>
      </c>
      <c r="AD24" s="68">
        <f t="shared" si="3"/>
        <v>9.5004878048780483</v>
      </c>
      <c r="AE24" s="68">
        <f t="shared" si="3"/>
        <v>13.499512195121952</v>
      </c>
      <c r="AF24" s="68">
        <f t="shared" si="3"/>
        <v>5.5004878048780483</v>
      </c>
      <c r="AG24" s="68">
        <f t="shared" si="3"/>
        <v>13.499512195121952</v>
      </c>
      <c r="AH24" s="68">
        <f t="shared" si="4"/>
        <v>13.166666666666666</v>
      </c>
      <c r="AI24" s="49"/>
      <c r="AJ24" s="76"/>
      <c r="AK24" s="43"/>
      <c r="AN24" s="58"/>
      <c r="AO24" s="59"/>
      <c r="AR24" s="77"/>
      <c r="AS24" s="8"/>
      <c r="AT24" s="78">
        <v>10.25</v>
      </c>
      <c r="AU24" s="79">
        <f t="shared" ca="1" si="6"/>
        <v>11.56259791449105</v>
      </c>
      <c r="AV24" s="80">
        <f t="shared" ca="1" si="10"/>
        <v>1826.8904704895858</v>
      </c>
      <c r="AW24" s="80">
        <f t="shared" ca="1" si="7"/>
        <v>207.39047048958582</v>
      </c>
      <c r="AX24" s="81"/>
      <c r="AY24" s="60"/>
      <c r="AZ24" s="61" t="s">
        <v>69</v>
      </c>
      <c r="BA24" s="62">
        <f ca="1">+'Clallam Reg Price Out'!AU179</f>
        <v>397638.60999005847</v>
      </c>
      <c r="BB24" s="70"/>
      <c r="BC24"/>
      <c r="BD24" s="512">
        <f t="shared" ca="1" si="8"/>
        <v>6.9923751955771296</v>
      </c>
      <c r="BE24" s="499">
        <f t="shared" ca="1" si="9"/>
        <v>1833.8828456851629</v>
      </c>
    </row>
    <row r="25" spans="1:57" s="5" customFormat="1" ht="12" customHeight="1">
      <c r="A25" s="5" t="str">
        <f t="shared" si="1"/>
        <v>PA-JTRIPRCANS</v>
      </c>
      <c r="B25" s="48" t="s">
        <v>70</v>
      </c>
      <c r="C25" s="48" t="s">
        <v>71</v>
      </c>
      <c r="D25" s="73">
        <v>6.17</v>
      </c>
      <c r="E25" s="74">
        <v>17</v>
      </c>
      <c r="F25" s="67"/>
      <c r="G25" s="68">
        <v>3.09</v>
      </c>
      <c r="H25" s="68">
        <v>3.08</v>
      </c>
      <c r="I25" s="68">
        <v>0</v>
      </c>
      <c r="J25" s="68">
        <v>12.34</v>
      </c>
      <c r="K25" s="68">
        <v>3.09</v>
      </c>
      <c r="L25" s="68">
        <v>3.08</v>
      </c>
      <c r="M25" s="68">
        <v>3.09</v>
      </c>
      <c r="N25" s="68">
        <v>21.590000000000003</v>
      </c>
      <c r="O25" s="68">
        <v>0</v>
      </c>
      <c r="P25" s="68">
        <v>18.510000000000002</v>
      </c>
      <c r="Q25" s="68">
        <v>12.34</v>
      </c>
      <c r="R25" s="68">
        <v>43.19</v>
      </c>
      <c r="S25" s="68">
        <f t="shared" si="2"/>
        <v>123.4</v>
      </c>
      <c r="T25" s="19">
        <v>32001</v>
      </c>
      <c r="U25" s="19"/>
      <c r="V25" s="68">
        <f t="shared" si="3"/>
        <v>0.50081037277147489</v>
      </c>
      <c r="W25" s="68">
        <f t="shared" si="3"/>
        <v>0.49918962722852511</v>
      </c>
      <c r="X25" s="68">
        <f t="shared" si="3"/>
        <v>0</v>
      </c>
      <c r="Y25" s="68">
        <f t="shared" si="3"/>
        <v>2</v>
      </c>
      <c r="Z25" s="68">
        <f t="shared" si="3"/>
        <v>0.50081037277147489</v>
      </c>
      <c r="AA25" s="68">
        <f t="shared" si="3"/>
        <v>0.49918962722852511</v>
      </c>
      <c r="AB25" s="68">
        <f t="shared" si="3"/>
        <v>0.50081037277147489</v>
      </c>
      <c r="AC25" s="68">
        <f t="shared" si="3"/>
        <v>3.4991896272285259</v>
      </c>
      <c r="AD25" s="68">
        <f t="shared" si="3"/>
        <v>0</v>
      </c>
      <c r="AE25" s="68">
        <f t="shared" si="3"/>
        <v>3.0000000000000004</v>
      </c>
      <c r="AF25" s="68">
        <f t="shared" si="3"/>
        <v>2</v>
      </c>
      <c r="AG25" s="68">
        <f t="shared" si="3"/>
        <v>7</v>
      </c>
      <c r="AH25" s="68">
        <f t="shared" si="4"/>
        <v>2</v>
      </c>
      <c r="AI25" s="49"/>
      <c r="AJ25" s="76"/>
      <c r="AK25" s="43"/>
      <c r="AN25" s="58"/>
      <c r="AO25" s="59"/>
      <c r="AR25" s="77"/>
      <c r="AS25" s="8"/>
      <c r="AT25" s="78">
        <v>6.17</v>
      </c>
      <c r="AU25" s="79">
        <f t="shared" ca="1" si="6"/>
        <v>6.9601199153570512</v>
      </c>
      <c r="AV25" s="80">
        <f t="shared" ca="1" si="10"/>
        <v>139.20239830714104</v>
      </c>
      <c r="AW25" s="80">
        <f t="shared" ca="1" si="7"/>
        <v>15.802398307141033</v>
      </c>
      <c r="AX25" s="81"/>
      <c r="AY25" s="60"/>
      <c r="AZ25" s="61" t="s">
        <v>72</v>
      </c>
      <c r="BA25" s="62">
        <f>+'Clallam Reg Price Out'!AU190</f>
        <v>3985.7</v>
      </c>
      <c r="BB25" s="70"/>
      <c r="BC25"/>
      <c r="BD25" s="512">
        <f t="shared" ca="1" si="8"/>
        <v>0.5327935159828453</v>
      </c>
      <c r="BE25" s="499">
        <f t="shared" ca="1" si="9"/>
        <v>139.73519182312387</v>
      </c>
    </row>
    <row r="26" spans="1:57" s="19" customFormat="1" ht="12" customHeight="1">
      <c r="A26" s="71" t="str">
        <f t="shared" si="1"/>
        <v>PA-J60RW1</v>
      </c>
      <c r="B26" s="72" t="s">
        <v>73</v>
      </c>
      <c r="C26" s="72" t="s">
        <v>74</v>
      </c>
      <c r="D26" s="73">
        <v>33.19</v>
      </c>
      <c r="E26" s="74">
        <v>21</v>
      </c>
      <c r="F26" s="67"/>
      <c r="G26" s="75">
        <v>27157.629999999997</v>
      </c>
      <c r="H26" s="75">
        <v>27680.27</v>
      </c>
      <c r="I26" s="75">
        <v>27307.93</v>
      </c>
      <c r="J26" s="75">
        <v>27548.559999999998</v>
      </c>
      <c r="K26" s="75">
        <v>27472.98</v>
      </c>
      <c r="L26" s="75">
        <v>27746.78</v>
      </c>
      <c r="M26" s="75">
        <v>27535.21</v>
      </c>
      <c r="N26" s="75">
        <v>27891.919999999998</v>
      </c>
      <c r="O26" s="75">
        <v>28186.539999999997</v>
      </c>
      <c r="P26" s="75">
        <v>28195.75</v>
      </c>
      <c r="Q26" s="75">
        <v>29468.51</v>
      </c>
      <c r="R26" s="75">
        <v>30279.119999999999</v>
      </c>
      <c r="S26" s="75">
        <f t="shared" si="2"/>
        <v>336471.19999999995</v>
      </c>
      <c r="T26" s="71">
        <v>32000</v>
      </c>
      <c r="V26" s="75">
        <f t="shared" si="3"/>
        <v>818.24736366375407</v>
      </c>
      <c r="W26" s="75">
        <f t="shared" si="3"/>
        <v>833.99427538415193</v>
      </c>
      <c r="X26" s="75">
        <f t="shared" si="3"/>
        <v>822.77583609520946</v>
      </c>
      <c r="Y26" s="75">
        <f t="shared" si="3"/>
        <v>830.02591141910216</v>
      </c>
      <c r="Z26" s="75">
        <f t="shared" si="3"/>
        <v>827.7487194938235</v>
      </c>
      <c r="AA26" s="75">
        <f t="shared" si="3"/>
        <v>835.99819222657425</v>
      </c>
      <c r="AB26" s="75">
        <f t="shared" si="3"/>
        <v>829.62368183187709</v>
      </c>
      <c r="AC26" s="75">
        <f t="shared" si="3"/>
        <v>840.37119614341668</v>
      </c>
      <c r="AD26" s="75">
        <f t="shared" si="3"/>
        <v>849.24796625489603</v>
      </c>
      <c r="AE26" s="75">
        <f t="shared" si="3"/>
        <v>849.52545947574572</v>
      </c>
      <c r="AF26" s="75">
        <f t="shared" si="3"/>
        <v>887.87315456462795</v>
      </c>
      <c r="AG26" s="75">
        <f t="shared" si="3"/>
        <v>912.29647484181987</v>
      </c>
      <c r="AH26" s="75">
        <f t="shared" si="4"/>
        <v>844.81068594958322</v>
      </c>
      <c r="AI26" s="49"/>
      <c r="AJ26" s="76"/>
      <c r="AK26" s="43">
        <v>60</v>
      </c>
      <c r="AL26" s="5">
        <v>1</v>
      </c>
      <c r="AM26" s="44">
        <f t="shared" ref="AM26:AM34" si="11">+AH26*AL26</f>
        <v>844.81068594958322</v>
      </c>
      <c r="AN26" s="58"/>
      <c r="AO26" s="59"/>
      <c r="AP26" s="5"/>
      <c r="AQ26" s="5"/>
      <c r="AR26" s="77"/>
      <c r="AS26" s="87">
        <f>-AS16</f>
        <v>2.7499761564139242</v>
      </c>
      <c r="AT26" s="78">
        <v>33.52821865187844</v>
      </c>
      <c r="AU26" s="79">
        <f t="shared" ca="1" si="6"/>
        <v>37.821786444957034</v>
      </c>
      <c r="AV26" s="80">
        <f t="shared" ref="AV26:AV28" ca="1" si="12">+AU26*(AH26+AS26)*12</f>
        <v>384675.10033583292</v>
      </c>
      <c r="AW26" s="80">
        <f t="shared" ca="1" si="7"/>
        <v>48203.900335832965</v>
      </c>
      <c r="AX26" s="81"/>
      <c r="AY26" s="60"/>
      <c r="AZ26" s="61"/>
      <c r="BA26" s="62"/>
      <c r="BB26" s="70"/>
      <c r="BC26"/>
      <c r="BD26" s="512">
        <f t="shared" ca="1" si="8"/>
        <v>1472.3338226311882</v>
      </c>
      <c r="BE26" s="499">
        <f t="shared" ca="1" si="9"/>
        <v>386147.43415846408</v>
      </c>
    </row>
    <row r="27" spans="1:57" s="19" customFormat="1" ht="12" customHeight="1">
      <c r="A27" s="71" t="str">
        <f t="shared" si="1"/>
        <v>PA-J35RE1</v>
      </c>
      <c r="B27" s="72" t="s">
        <v>75</v>
      </c>
      <c r="C27" s="72" t="s">
        <v>76</v>
      </c>
      <c r="D27" s="73">
        <v>15.18</v>
      </c>
      <c r="E27" s="74">
        <v>21</v>
      </c>
      <c r="F27" s="67"/>
      <c r="G27" s="75">
        <v>12341.34</v>
      </c>
      <c r="H27" s="75">
        <v>12457.880000000001</v>
      </c>
      <c r="I27" s="75">
        <v>12197.130000000001</v>
      </c>
      <c r="J27" s="75">
        <v>12321.320000000002</v>
      </c>
      <c r="K27" s="75">
        <v>12079.49</v>
      </c>
      <c r="L27" s="75">
        <v>12178.149999999998</v>
      </c>
      <c r="M27" s="75">
        <v>12075.69</v>
      </c>
      <c r="N27" s="75">
        <v>12288.210000000001</v>
      </c>
      <c r="O27" s="75">
        <v>12227.490000000002</v>
      </c>
      <c r="P27" s="75">
        <v>12447.6</v>
      </c>
      <c r="Q27" s="75">
        <v>12113.64</v>
      </c>
      <c r="R27" s="75">
        <v>12235.08</v>
      </c>
      <c r="S27" s="75">
        <f t="shared" si="2"/>
        <v>146963.01999999999</v>
      </c>
      <c r="T27" s="71">
        <v>32000</v>
      </c>
      <c r="V27" s="75">
        <f t="shared" si="3"/>
        <v>813</v>
      </c>
      <c r="W27" s="75">
        <f t="shared" si="3"/>
        <v>820.67720685111999</v>
      </c>
      <c r="X27" s="75">
        <f t="shared" si="3"/>
        <v>803.50000000000011</v>
      </c>
      <c r="Y27" s="75">
        <f t="shared" si="3"/>
        <v>811.68115942028999</v>
      </c>
      <c r="Z27" s="75">
        <f t="shared" si="3"/>
        <v>795.75032938076413</v>
      </c>
      <c r="AA27" s="75">
        <f t="shared" si="3"/>
        <v>802.24967061923576</v>
      </c>
      <c r="AB27" s="75">
        <f t="shared" si="3"/>
        <v>795.5</v>
      </c>
      <c r="AC27" s="75">
        <f t="shared" si="3"/>
        <v>809.50000000000011</v>
      </c>
      <c r="AD27" s="75">
        <f t="shared" si="3"/>
        <v>805.50000000000011</v>
      </c>
      <c r="AE27" s="75">
        <f t="shared" si="3"/>
        <v>820</v>
      </c>
      <c r="AF27" s="75">
        <f t="shared" si="3"/>
        <v>798</v>
      </c>
      <c r="AG27" s="75">
        <f t="shared" si="3"/>
        <v>806</v>
      </c>
      <c r="AH27" s="75">
        <f t="shared" si="4"/>
        <v>806.77986385595079</v>
      </c>
      <c r="AI27" s="49"/>
      <c r="AJ27" s="76"/>
      <c r="AK27" s="43">
        <v>35</v>
      </c>
      <c r="AL27" s="5">
        <v>1</v>
      </c>
      <c r="AM27" s="44">
        <f t="shared" si="11"/>
        <v>806.77986385595079</v>
      </c>
      <c r="AN27" s="58"/>
      <c r="AO27" s="59"/>
      <c r="AP27" s="5"/>
      <c r="AQ27" s="5"/>
      <c r="AR27" s="77"/>
      <c r="AS27" s="85">
        <f>-AS14</f>
        <v>6.541666666666667</v>
      </c>
      <c r="AT27" s="78">
        <v>15.313128618292579</v>
      </c>
      <c r="AU27" s="79">
        <f t="shared" ca="1" si="6"/>
        <v>17.274102344019802</v>
      </c>
      <c r="AV27" s="80">
        <f t="shared" ca="1" si="12"/>
        <v>168592.79228211023</v>
      </c>
      <c r="AW27" s="80">
        <f t="shared" ca="1" si="7"/>
        <v>21629.772282110236</v>
      </c>
      <c r="AX27" s="81"/>
      <c r="AY27" s="60"/>
      <c r="AZ27" s="61" t="s">
        <v>77</v>
      </c>
      <c r="BA27" s="62">
        <f ca="1">+'CityPA-M Price Out'!AV21</f>
        <v>84243.312656798778</v>
      </c>
      <c r="BB27" s="70"/>
      <c r="BC27"/>
      <c r="BD27" s="512">
        <f t="shared" ca="1" si="8"/>
        <v>645.28447542374715</v>
      </c>
      <c r="BE27" s="499">
        <f t="shared" ca="1" si="9"/>
        <v>169238.07675753397</v>
      </c>
    </row>
    <row r="28" spans="1:57" s="19" customFormat="1" ht="12" customHeight="1">
      <c r="A28" s="71" t="str">
        <f t="shared" si="1"/>
        <v>PA-J35RM1</v>
      </c>
      <c r="B28" s="72" t="s">
        <v>78</v>
      </c>
      <c r="C28" s="72" t="s">
        <v>79</v>
      </c>
      <c r="D28" s="73">
        <v>9.5299999999999994</v>
      </c>
      <c r="E28" s="74">
        <v>21</v>
      </c>
      <c r="F28" s="67"/>
      <c r="G28" s="75">
        <v>1072.1299999999999</v>
      </c>
      <c r="H28" s="75">
        <v>1129.3</v>
      </c>
      <c r="I28" s="75">
        <v>1076.8900000000001</v>
      </c>
      <c r="J28" s="75">
        <v>1086.42</v>
      </c>
      <c r="K28" s="75">
        <v>1057.83</v>
      </c>
      <c r="L28" s="75">
        <v>1057.83</v>
      </c>
      <c r="M28" s="75">
        <v>1091.19</v>
      </c>
      <c r="N28" s="75">
        <v>1110.24</v>
      </c>
      <c r="O28" s="75">
        <v>1100.72</v>
      </c>
      <c r="P28" s="75">
        <v>1110.24</v>
      </c>
      <c r="Q28" s="75">
        <v>1043.54</v>
      </c>
      <c r="R28" s="75">
        <v>1053.06</v>
      </c>
      <c r="S28" s="75">
        <f t="shared" si="2"/>
        <v>12989.389999999998</v>
      </c>
      <c r="T28" s="71">
        <v>32000</v>
      </c>
      <c r="V28" s="75">
        <f t="shared" si="3"/>
        <v>112.50052465897167</v>
      </c>
      <c r="W28" s="75">
        <f t="shared" si="3"/>
        <v>118.49947534102833</v>
      </c>
      <c r="X28" s="75">
        <f t="shared" si="3"/>
        <v>113.00000000000001</v>
      </c>
      <c r="Y28" s="75">
        <f t="shared" si="3"/>
        <v>114.00000000000001</v>
      </c>
      <c r="Z28" s="75">
        <f t="shared" si="3"/>
        <v>111</v>
      </c>
      <c r="AA28" s="75">
        <f t="shared" si="3"/>
        <v>111</v>
      </c>
      <c r="AB28" s="75">
        <f t="shared" si="3"/>
        <v>114.50052465897168</v>
      </c>
      <c r="AC28" s="75">
        <f t="shared" si="3"/>
        <v>116.49947534102834</v>
      </c>
      <c r="AD28" s="75">
        <f t="shared" si="3"/>
        <v>115.50052465897168</v>
      </c>
      <c r="AE28" s="75">
        <f t="shared" si="3"/>
        <v>116.49947534102834</v>
      </c>
      <c r="AF28" s="75">
        <f t="shared" si="3"/>
        <v>109.50052465897167</v>
      </c>
      <c r="AG28" s="75">
        <f t="shared" si="3"/>
        <v>110.49947534102833</v>
      </c>
      <c r="AH28" s="75">
        <f t="shared" si="4"/>
        <v>113.58333333333333</v>
      </c>
      <c r="AI28" s="49"/>
      <c r="AJ28" s="76"/>
      <c r="AK28" s="43">
        <v>35</v>
      </c>
      <c r="AL28" s="5">
        <v>1</v>
      </c>
      <c r="AM28" s="44">
        <f t="shared" si="11"/>
        <v>113.58333333333333</v>
      </c>
      <c r="AN28" s="58"/>
      <c r="AO28" s="59"/>
      <c r="AP28" s="5"/>
      <c r="AQ28" s="5"/>
      <c r="AR28" s="77"/>
      <c r="AS28" s="88">
        <f>-AS43</f>
        <v>1.8</v>
      </c>
      <c r="AT28" s="78">
        <v>9.59</v>
      </c>
      <c r="AU28" s="79">
        <f t="shared" ca="1" si="6"/>
        <v>10.818079414631139</v>
      </c>
      <c r="AV28" s="80">
        <f t="shared" ca="1" si="12"/>
        <v>14978.712757498273</v>
      </c>
      <c r="AW28" s="80">
        <f t="shared" ca="1" si="7"/>
        <v>1989.3227574982757</v>
      </c>
      <c r="AX28" s="81"/>
      <c r="AY28" s="60"/>
      <c r="AZ28" s="61" t="s">
        <v>80</v>
      </c>
      <c r="BA28" s="62">
        <f ca="1">+'CityPA-M Price Out'!AV44</f>
        <v>180686.77320571928</v>
      </c>
      <c r="BB28" s="70"/>
      <c r="BC28"/>
      <c r="BD28" s="512">
        <f t="shared" ca="1" si="8"/>
        <v>57.330628868591873</v>
      </c>
      <c r="BE28" s="499">
        <f t="shared" ca="1" si="9"/>
        <v>15036.043386366866</v>
      </c>
    </row>
    <row r="29" spans="1:57" s="19" customFormat="1" ht="12" customHeight="1">
      <c r="A29" s="71" t="str">
        <f t="shared" si="1"/>
        <v>PA-J60RE1</v>
      </c>
      <c r="B29" s="72" t="s">
        <v>81</v>
      </c>
      <c r="C29" s="72" t="s">
        <v>82</v>
      </c>
      <c r="D29" s="73">
        <v>18.48</v>
      </c>
      <c r="E29" s="74">
        <v>21</v>
      </c>
      <c r="F29" s="67"/>
      <c r="G29" s="75">
        <v>15772.68</v>
      </c>
      <c r="H29" s="75">
        <v>16031.4</v>
      </c>
      <c r="I29" s="75">
        <v>15786.54</v>
      </c>
      <c r="J29" s="75">
        <v>16045.26</v>
      </c>
      <c r="K29" s="75">
        <v>15818.88</v>
      </c>
      <c r="L29" s="75">
        <v>16040.64</v>
      </c>
      <c r="M29" s="75">
        <v>15777.300000000001</v>
      </c>
      <c r="N29" s="75">
        <v>16072.98</v>
      </c>
      <c r="O29" s="75">
        <v>16179.24</v>
      </c>
      <c r="P29" s="75">
        <v>16456.439999999999</v>
      </c>
      <c r="Q29" s="75">
        <v>16344.08</v>
      </c>
      <c r="R29" s="75">
        <v>16695.2</v>
      </c>
      <c r="S29" s="75">
        <f t="shared" si="2"/>
        <v>193020.64</v>
      </c>
      <c r="T29" s="71">
        <v>32000</v>
      </c>
      <c r="V29" s="75">
        <f t="shared" si="3"/>
        <v>853.5</v>
      </c>
      <c r="W29" s="75">
        <f t="shared" si="3"/>
        <v>867.5</v>
      </c>
      <c r="X29" s="75">
        <f t="shared" si="3"/>
        <v>854.25</v>
      </c>
      <c r="Y29" s="75">
        <f t="shared" si="3"/>
        <v>868.25</v>
      </c>
      <c r="Z29" s="75">
        <f t="shared" si="3"/>
        <v>855.99999999999989</v>
      </c>
      <c r="AA29" s="75">
        <f t="shared" si="3"/>
        <v>868</v>
      </c>
      <c r="AB29" s="75">
        <f t="shared" si="3"/>
        <v>853.75</v>
      </c>
      <c r="AC29" s="75">
        <f t="shared" si="3"/>
        <v>869.75</v>
      </c>
      <c r="AD29" s="75">
        <f t="shared" si="3"/>
        <v>875.5</v>
      </c>
      <c r="AE29" s="75">
        <f t="shared" si="3"/>
        <v>890.49999999999989</v>
      </c>
      <c r="AF29" s="75">
        <f t="shared" si="3"/>
        <v>884.41991341991343</v>
      </c>
      <c r="AG29" s="75">
        <f t="shared" si="3"/>
        <v>903.41991341991343</v>
      </c>
      <c r="AH29" s="75">
        <f t="shared" si="4"/>
        <v>870.4033189033189</v>
      </c>
      <c r="AI29" s="49"/>
      <c r="AJ29" s="76"/>
      <c r="AK29" s="43">
        <v>60</v>
      </c>
      <c r="AL29" s="5">
        <v>1</v>
      </c>
      <c r="AM29" s="44">
        <f t="shared" si="11"/>
        <v>870.4033189033189</v>
      </c>
      <c r="AN29" s="58"/>
      <c r="AO29" s="59"/>
      <c r="AP29" s="5"/>
      <c r="AQ29" s="5"/>
      <c r="AR29" s="77"/>
      <c r="AS29" s="8"/>
      <c r="AT29" s="78">
        <v>18.649109325939222</v>
      </c>
      <c r="AU29" s="79">
        <f t="shared" ca="1" si="6"/>
        <v>21.037283180411748</v>
      </c>
      <c r="AV29" s="80">
        <f t="shared" ca="1" si="10"/>
        <v>219731.05321127226</v>
      </c>
      <c r="AW29" s="80">
        <f t="shared" ca="1" si="7"/>
        <v>26710.413211272244</v>
      </c>
      <c r="AX29" s="81"/>
      <c r="AY29" s="60"/>
      <c r="AZ29" s="61" t="s">
        <v>83</v>
      </c>
      <c r="BA29" s="62">
        <f ca="1">+'CityPA-M Price Out'!AV54</f>
        <v>2840.51</v>
      </c>
      <c r="BB29" s="70"/>
      <c r="BC29"/>
      <c r="BD29" s="512">
        <f t="shared" ca="1" si="8"/>
        <v>841.01482327005056</v>
      </c>
      <c r="BE29" s="499">
        <f t="shared" ca="1" si="9"/>
        <v>220572.06803454232</v>
      </c>
    </row>
    <row r="30" spans="1:57" s="19" customFormat="1" ht="12" customHeight="1">
      <c r="A30" s="71" t="str">
        <f t="shared" si="1"/>
        <v>PA-J60RE2</v>
      </c>
      <c r="B30" s="72" t="s">
        <v>84</v>
      </c>
      <c r="C30" s="72" t="s">
        <v>85</v>
      </c>
      <c r="D30" s="73">
        <v>36.96</v>
      </c>
      <c r="E30" s="74">
        <v>21</v>
      </c>
      <c r="F30" s="67"/>
      <c r="G30" s="75">
        <v>110.88</v>
      </c>
      <c r="H30" s="75">
        <v>110.88</v>
      </c>
      <c r="I30" s="75">
        <v>110.88</v>
      </c>
      <c r="J30" s="75">
        <v>110.88</v>
      </c>
      <c r="K30" s="75">
        <v>110.88</v>
      </c>
      <c r="L30" s="75">
        <v>110.88</v>
      </c>
      <c r="M30" s="75">
        <v>110.88</v>
      </c>
      <c r="N30" s="75">
        <v>110.88</v>
      </c>
      <c r="O30" s="75">
        <v>110.88</v>
      </c>
      <c r="P30" s="75">
        <v>110.88</v>
      </c>
      <c r="Q30" s="75">
        <v>110.88</v>
      </c>
      <c r="R30" s="75">
        <v>110.88</v>
      </c>
      <c r="S30" s="75">
        <f t="shared" si="2"/>
        <v>1330.56</v>
      </c>
      <c r="T30" s="71">
        <v>32000</v>
      </c>
      <c r="V30" s="75">
        <f t="shared" si="3"/>
        <v>3</v>
      </c>
      <c r="W30" s="75">
        <f t="shared" si="3"/>
        <v>3</v>
      </c>
      <c r="X30" s="75">
        <f t="shared" si="3"/>
        <v>3</v>
      </c>
      <c r="Y30" s="75">
        <f t="shared" si="3"/>
        <v>3</v>
      </c>
      <c r="Z30" s="75">
        <f t="shared" si="3"/>
        <v>3</v>
      </c>
      <c r="AA30" s="75">
        <f t="shared" si="3"/>
        <v>3</v>
      </c>
      <c r="AB30" s="75">
        <f t="shared" si="3"/>
        <v>3</v>
      </c>
      <c r="AC30" s="75">
        <f t="shared" si="3"/>
        <v>3</v>
      </c>
      <c r="AD30" s="75">
        <f t="shared" si="3"/>
        <v>3</v>
      </c>
      <c r="AE30" s="75">
        <f t="shared" si="3"/>
        <v>3</v>
      </c>
      <c r="AF30" s="75">
        <f t="shared" si="3"/>
        <v>3</v>
      </c>
      <c r="AG30" s="75">
        <f t="shared" si="3"/>
        <v>3</v>
      </c>
      <c r="AH30" s="75">
        <f t="shared" si="4"/>
        <v>3</v>
      </c>
      <c r="AI30" s="49"/>
      <c r="AJ30" s="89"/>
      <c r="AK30" s="43">
        <v>60</v>
      </c>
      <c r="AL30" s="5">
        <v>2</v>
      </c>
      <c r="AM30" s="44">
        <f t="shared" si="11"/>
        <v>6</v>
      </c>
      <c r="AN30" s="58"/>
      <c r="AO30" s="59"/>
      <c r="AP30" s="5"/>
      <c r="AQ30" s="5"/>
      <c r="AR30" s="77"/>
      <c r="AS30" s="8"/>
      <c r="AT30" s="78">
        <v>37.299999999999997</v>
      </c>
      <c r="AU30" s="79">
        <f t="shared" ca="1" si="6"/>
        <v>42.076575825416207</v>
      </c>
      <c r="AV30" s="80">
        <f t="shared" ca="1" si="10"/>
        <v>1514.7567297149835</v>
      </c>
      <c r="AW30" s="80">
        <f t="shared" ca="1" si="7"/>
        <v>184.19672971498358</v>
      </c>
      <c r="AX30" s="81"/>
      <c r="AY30" s="60"/>
      <c r="AZ30" s="61"/>
      <c r="BA30" s="62"/>
      <c r="BB30" s="70"/>
      <c r="BC30"/>
      <c r="BD30" s="512">
        <f t="shared" ca="1" si="8"/>
        <v>5.7976915175183512</v>
      </c>
      <c r="BE30" s="499">
        <f t="shared" ca="1" si="9"/>
        <v>1520.5544212325019</v>
      </c>
    </row>
    <row r="31" spans="1:57" s="19" customFormat="1" ht="12" customHeight="1">
      <c r="A31" s="71" t="str">
        <f t="shared" si="1"/>
        <v>PA-J60RM1</v>
      </c>
      <c r="B31" s="72" t="s">
        <v>86</v>
      </c>
      <c r="C31" s="72" t="s">
        <v>87</v>
      </c>
      <c r="D31" s="73">
        <v>12.49</v>
      </c>
      <c r="E31" s="74">
        <v>21</v>
      </c>
      <c r="F31" s="67"/>
      <c r="G31" s="75">
        <v>512.09</v>
      </c>
      <c r="H31" s="75">
        <v>499.6</v>
      </c>
      <c r="I31" s="75">
        <v>505.84999999999997</v>
      </c>
      <c r="J31" s="75">
        <v>555.79999999999995</v>
      </c>
      <c r="K31" s="75">
        <v>562.04999999999995</v>
      </c>
      <c r="L31" s="75">
        <v>599.52</v>
      </c>
      <c r="M31" s="75">
        <v>574.54</v>
      </c>
      <c r="N31" s="75">
        <v>587.03</v>
      </c>
      <c r="O31" s="75">
        <v>580.79</v>
      </c>
      <c r="P31" s="75">
        <v>580.78</v>
      </c>
      <c r="Q31" s="75">
        <v>587.03</v>
      </c>
      <c r="R31" s="75">
        <v>587.03</v>
      </c>
      <c r="S31" s="75">
        <f t="shared" si="2"/>
        <v>6732.11</v>
      </c>
      <c r="T31" s="71">
        <v>32000</v>
      </c>
      <c r="V31" s="75">
        <f t="shared" si="3"/>
        <v>41</v>
      </c>
      <c r="W31" s="75">
        <f t="shared" si="3"/>
        <v>40</v>
      </c>
      <c r="X31" s="75">
        <f t="shared" si="3"/>
        <v>40.500400320256205</v>
      </c>
      <c r="Y31" s="75">
        <f t="shared" si="3"/>
        <v>44.499599679743788</v>
      </c>
      <c r="Z31" s="75">
        <f t="shared" si="3"/>
        <v>44.999999999999993</v>
      </c>
      <c r="AA31" s="75">
        <f t="shared" si="3"/>
        <v>48</v>
      </c>
      <c r="AB31" s="75">
        <f t="shared" si="3"/>
        <v>45.999999999999993</v>
      </c>
      <c r="AC31" s="75">
        <f t="shared" si="3"/>
        <v>47</v>
      </c>
      <c r="AD31" s="75">
        <f t="shared" si="3"/>
        <v>46.500400320256205</v>
      </c>
      <c r="AE31" s="75">
        <f t="shared" si="3"/>
        <v>46.499599679743795</v>
      </c>
      <c r="AF31" s="75">
        <f t="shared" si="3"/>
        <v>47</v>
      </c>
      <c r="AG31" s="75">
        <f t="shared" si="3"/>
        <v>47</v>
      </c>
      <c r="AH31" s="75">
        <f t="shared" si="4"/>
        <v>44.916666666666664</v>
      </c>
      <c r="AI31" s="49"/>
      <c r="AJ31" s="76"/>
      <c r="AK31" s="43">
        <v>60</v>
      </c>
      <c r="AL31" s="5">
        <v>1</v>
      </c>
      <c r="AM31" s="44">
        <f t="shared" si="11"/>
        <v>44.916666666666664</v>
      </c>
      <c r="AN31" s="58"/>
      <c r="AO31" s="59"/>
      <c r="AP31" s="5"/>
      <c r="AQ31" s="5"/>
      <c r="AR31" s="77"/>
      <c r="AS31" s="8"/>
      <c r="AT31" s="78">
        <v>12.57</v>
      </c>
      <c r="AU31" s="79">
        <f t="shared" ca="1" si="6"/>
        <v>14.179693247331951</v>
      </c>
      <c r="AV31" s="80">
        <f t="shared" ca="1" si="10"/>
        <v>7642.8546603119212</v>
      </c>
      <c r="AW31" s="80">
        <f t="shared" ca="1" si="7"/>
        <v>910.74466031192151</v>
      </c>
      <c r="AX31" s="81"/>
      <c r="AY31" s="60"/>
      <c r="AZ31" s="61" t="s">
        <v>88</v>
      </c>
      <c r="BA31" s="62">
        <v>6011.4458999999661</v>
      </c>
      <c r="BB31" s="70"/>
      <c r="BC31"/>
      <c r="BD31" s="512">
        <f t="shared" ca="1" si="8"/>
        <v>29.252825067199776</v>
      </c>
      <c r="BE31" s="499">
        <f t="shared" ca="1" si="9"/>
        <v>7672.1074853791206</v>
      </c>
    </row>
    <row r="32" spans="1:57" s="19" customFormat="1" ht="12" customHeight="1">
      <c r="A32" s="71" t="str">
        <f t="shared" si="1"/>
        <v>PA-J60RW2</v>
      </c>
      <c r="B32" s="72" t="s">
        <v>89</v>
      </c>
      <c r="C32" s="72" t="s">
        <v>90</v>
      </c>
      <c r="D32" s="73">
        <v>66.38</v>
      </c>
      <c r="E32" s="74">
        <v>21</v>
      </c>
      <c r="F32" s="67"/>
      <c r="G32" s="75">
        <v>331.9</v>
      </c>
      <c r="H32" s="75">
        <v>331.9</v>
      </c>
      <c r="I32" s="75">
        <v>331.9</v>
      </c>
      <c r="J32" s="75">
        <v>331.9</v>
      </c>
      <c r="K32" s="75">
        <v>331.9</v>
      </c>
      <c r="L32" s="75">
        <v>431.46999999999997</v>
      </c>
      <c r="M32" s="75">
        <v>265.52</v>
      </c>
      <c r="N32" s="75">
        <v>265.52</v>
      </c>
      <c r="O32" s="75">
        <v>265.52</v>
      </c>
      <c r="P32" s="75">
        <v>265.52</v>
      </c>
      <c r="Q32" s="75">
        <v>265.52</v>
      </c>
      <c r="R32" s="75">
        <v>331.9</v>
      </c>
      <c r="S32" s="75">
        <f t="shared" si="2"/>
        <v>3750.47</v>
      </c>
      <c r="T32" s="71">
        <v>32000</v>
      </c>
      <c r="V32" s="75">
        <f t="shared" si="3"/>
        <v>5</v>
      </c>
      <c r="W32" s="75">
        <f t="shared" si="3"/>
        <v>5</v>
      </c>
      <c r="X32" s="75">
        <f t="shared" si="3"/>
        <v>5</v>
      </c>
      <c r="Y32" s="75">
        <f t="shared" si="3"/>
        <v>5</v>
      </c>
      <c r="Z32" s="75">
        <f t="shared" si="3"/>
        <v>5</v>
      </c>
      <c r="AA32" s="75">
        <f t="shared" si="3"/>
        <v>6.5</v>
      </c>
      <c r="AB32" s="75">
        <f t="shared" si="3"/>
        <v>4</v>
      </c>
      <c r="AC32" s="75">
        <f t="shared" si="3"/>
        <v>4</v>
      </c>
      <c r="AD32" s="75">
        <f t="shared" si="3"/>
        <v>4</v>
      </c>
      <c r="AE32" s="75">
        <f t="shared" si="3"/>
        <v>4</v>
      </c>
      <c r="AF32" s="75">
        <f t="shared" si="3"/>
        <v>4</v>
      </c>
      <c r="AG32" s="75">
        <f t="shared" si="3"/>
        <v>5</v>
      </c>
      <c r="AH32" s="75">
        <f t="shared" si="4"/>
        <v>4.708333333333333</v>
      </c>
      <c r="AI32" s="49"/>
      <c r="AJ32" s="76"/>
      <c r="AK32" s="43">
        <v>60</v>
      </c>
      <c r="AL32" s="5">
        <v>2</v>
      </c>
      <c r="AM32" s="44">
        <f t="shared" si="11"/>
        <v>9.4166666666666661</v>
      </c>
      <c r="AN32" s="58"/>
      <c r="AO32" s="59"/>
      <c r="AP32" s="5"/>
      <c r="AQ32" s="5"/>
      <c r="AR32" s="77"/>
      <c r="AS32" s="8"/>
      <c r="AT32" s="78">
        <v>67.06</v>
      </c>
      <c r="AU32" s="79">
        <f t="shared" ca="1" si="6"/>
        <v>75.647591819099503</v>
      </c>
      <c r="AV32" s="80">
        <f t="shared" ca="1" si="10"/>
        <v>4274.0889377791218</v>
      </c>
      <c r="AW32" s="80">
        <f t="shared" ca="1" si="7"/>
        <v>523.61893777912201</v>
      </c>
      <c r="AX32" s="81"/>
      <c r="AY32" s="90"/>
      <c r="AZ32" s="61" t="s">
        <v>91</v>
      </c>
      <c r="BA32" s="83">
        <v>0</v>
      </c>
      <c r="BB32" s="70"/>
      <c r="BC32"/>
      <c r="BD32" s="512">
        <f t="shared" ca="1" si="8"/>
        <v>16.358962923600021</v>
      </c>
      <c r="BE32" s="499">
        <f t="shared" ca="1" si="9"/>
        <v>4290.4479007027221</v>
      </c>
    </row>
    <row r="33" spans="1:57" s="19" customFormat="1" ht="12" customHeight="1">
      <c r="A33" s="71" t="str">
        <f t="shared" si="1"/>
        <v>PA-J96RE1</v>
      </c>
      <c r="B33" s="72" t="s">
        <v>92</v>
      </c>
      <c r="C33" s="72" t="s">
        <v>93</v>
      </c>
      <c r="D33" s="73">
        <v>24.44</v>
      </c>
      <c r="E33" s="74">
        <v>21</v>
      </c>
      <c r="F33" s="67"/>
      <c r="G33" s="75">
        <v>4331.9900000000007</v>
      </c>
      <c r="H33" s="75">
        <v>4466.4100000000008</v>
      </c>
      <c r="I33" s="75">
        <v>4558.0600000000004</v>
      </c>
      <c r="J33" s="75">
        <v>4704.7000000000007</v>
      </c>
      <c r="K33" s="75">
        <v>4625.2700000000004</v>
      </c>
      <c r="L33" s="75">
        <v>4661.93</v>
      </c>
      <c r="M33" s="75">
        <v>4613.05</v>
      </c>
      <c r="N33" s="75">
        <v>4723.03</v>
      </c>
      <c r="O33" s="75">
        <v>4808.57</v>
      </c>
      <c r="P33" s="75">
        <v>4942.99</v>
      </c>
      <c r="Q33" s="75">
        <v>4979.6499999999996</v>
      </c>
      <c r="R33" s="75">
        <v>5162.95</v>
      </c>
      <c r="S33" s="75">
        <f t="shared" si="2"/>
        <v>56578.6</v>
      </c>
      <c r="T33" s="71">
        <v>32000</v>
      </c>
      <c r="V33" s="75">
        <f t="shared" si="3"/>
        <v>177.25000000000003</v>
      </c>
      <c r="W33" s="75">
        <f t="shared" si="3"/>
        <v>182.75000000000003</v>
      </c>
      <c r="X33" s="75">
        <f t="shared" si="3"/>
        <v>186.5</v>
      </c>
      <c r="Y33" s="75">
        <f t="shared" si="3"/>
        <v>192.50000000000003</v>
      </c>
      <c r="Z33" s="75">
        <f t="shared" si="3"/>
        <v>189.25</v>
      </c>
      <c r="AA33" s="75">
        <f t="shared" si="3"/>
        <v>190.75</v>
      </c>
      <c r="AB33" s="75">
        <f t="shared" si="3"/>
        <v>188.75</v>
      </c>
      <c r="AC33" s="75">
        <f t="shared" si="3"/>
        <v>193.24999999999997</v>
      </c>
      <c r="AD33" s="75">
        <f t="shared" si="3"/>
        <v>196.74999999999997</v>
      </c>
      <c r="AE33" s="75">
        <f t="shared" si="3"/>
        <v>202.24999999999997</v>
      </c>
      <c r="AF33" s="75">
        <f t="shared" si="3"/>
        <v>203.74999999999997</v>
      </c>
      <c r="AG33" s="75">
        <f t="shared" si="3"/>
        <v>211.24999999999997</v>
      </c>
      <c r="AH33" s="75">
        <f t="shared" si="4"/>
        <v>192.91666666666666</v>
      </c>
      <c r="AI33" s="49"/>
      <c r="AJ33" s="76"/>
      <c r="AK33" s="43">
        <v>96</v>
      </c>
      <c r="AL33" s="5">
        <v>1</v>
      </c>
      <c r="AM33" s="44">
        <f t="shared" si="11"/>
        <v>192.91666666666666</v>
      </c>
      <c r="AN33" s="58"/>
      <c r="AO33" s="59"/>
      <c r="AP33" s="5"/>
      <c r="AQ33" s="5"/>
      <c r="AR33" s="77"/>
      <c r="AS33" s="8"/>
      <c r="AT33" s="78">
        <v>24.68</v>
      </c>
      <c r="AU33" s="79">
        <f t="shared" ca="1" si="6"/>
        <v>27.840479661428205</v>
      </c>
      <c r="AV33" s="80">
        <f t="shared" ca="1" si="10"/>
        <v>64450.71041620629</v>
      </c>
      <c r="AW33" s="80">
        <f t="shared" ca="1" si="7"/>
        <v>7872.1104162062911</v>
      </c>
      <c r="AX33" s="81"/>
      <c r="AY33" s="91"/>
      <c r="AZ33" s="82"/>
      <c r="BA33" s="92"/>
      <c r="BB33" s="70"/>
      <c r="BC33"/>
      <c r="BD33" s="512">
        <f t="shared" ca="1" si="8"/>
        <v>246.68339790005732</v>
      </c>
      <c r="BE33" s="499">
        <f t="shared" ca="1" si="9"/>
        <v>64697.393814106348</v>
      </c>
    </row>
    <row r="34" spans="1:57" s="19" customFormat="1" ht="12" customHeight="1">
      <c r="A34" s="71" t="str">
        <f t="shared" si="1"/>
        <v>PA-J96RM1</v>
      </c>
      <c r="B34" s="72" t="s">
        <v>94</v>
      </c>
      <c r="C34" s="72" t="s">
        <v>95</v>
      </c>
      <c r="D34" s="73">
        <v>16.329999999999998</v>
      </c>
      <c r="E34" s="74">
        <v>21</v>
      </c>
      <c r="F34" s="67"/>
      <c r="G34" s="75">
        <v>130.63999999999999</v>
      </c>
      <c r="H34" s="75">
        <v>130.63999999999999</v>
      </c>
      <c r="I34" s="75">
        <v>146.97</v>
      </c>
      <c r="J34" s="75">
        <v>163.30000000000001</v>
      </c>
      <c r="K34" s="75">
        <v>163.30000000000001</v>
      </c>
      <c r="L34" s="75">
        <v>163.30000000000001</v>
      </c>
      <c r="M34" s="75">
        <v>163.30000000000001</v>
      </c>
      <c r="N34" s="75">
        <v>163.30000000000001</v>
      </c>
      <c r="O34" s="75">
        <v>179.63</v>
      </c>
      <c r="P34" s="75">
        <v>179.63</v>
      </c>
      <c r="Q34" s="75">
        <v>171.47</v>
      </c>
      <c r="R34" s="75">
        <v>171.46</v>
      </c>
      <c r="S34" s="75">
        <f t="shared" si="2"/>
        <v>1926.9399999999998</v>
      </c>
      <c r="T34" s="71">
        <v>32000</v>
      </c>
      <c r="V34" s="75">
        <f t="shared" si="3"/>
        <v>8</v>
      </c>
      <c r="W34" s="75">
        <f t="shared" si="3"/>
        <v>8</v>
      </c>
      <c r="X34" s="75">
        <f t="shared" si="3"/>
        <v>9</v>
      </c>
      <c r="Y34" s="75">
        <f t="shared" ref="Y34:AG48" si="13">IFERROR(J34/$D34,0)</f>
        <v>10.000000000000002</v>
      </c>
      <c r="Z34" s="75">
        <f t="shared" si="13"/>
        <v>10.000000000000002</v>
      </c>
      <c r="AA34" s="75">
        <f t="shared" si="13"/>
        <v>10.000000000000002</v>
      </c>
      <c r="AB34" s="75">
        <f t="shared" si="13"/>
        <v>10.000000000000002</v>
      </c>
      <c r="AC34" s="75">
        <f t="shared" si="13"/>
        <v>10.000000000000002</v>
      </c>
      <c r="AD34" s="75">
        <f t="shared" si="13"/>
        <v>11</v>
      </c>
      <c r="AE34" s="75">
        <f t="shared" si="13"/>
        <v>11</v>
      </c>
      <c r="AF34" s="75">
        <f t="shared" si="13"/>
        <v>10.500306184935702</v>
      </c>
      <c r="AG34" s="75">
        <f t="shared" si="13"/>
        <v>10.499693815064301</v>
      </c>
      <c r="AH34" s="75">
        <f t="shared" si="4"/>
        <v>9.8333333333333339</v>
      </c>
      <c r="AI34" s="49"/>
      <c r="AJ34" s="76"/>
      <c r="AK34" s="43">
        <v>96</v>
      </c>
      <c r="AL34" s="5">
        <v>1</v>
      </c>
      <c r="AM34" s="44">
        <f t="shared" si="11"/>
        <v>9.8333333333333339</v>
      </c>
      <c r="AN34" s="58"/>
      <c r="AO34" s="59"/>
      <c r="AP34" s="5"/>
      <c r="AQ34" s="5"/>
      <c r="AR34" s="77"/>
      <c r="AS34" s="8"/>
      <c r="AT34" s="78">
        <v>16.440000000000001</v>
      </c>
      <c r="AU34" s="79">
        <f t="shared" ca="1" si="6"/>
        <v>18.545278996510525</v>
      </c>
      <c r="AV34" s="80">
        <f t="shared" ca="1" si="10"/>
        <v>2188.342921588242</v>
      </c>
      <c r="AW34" s="80">
        <f t="shared" ca="1" si="7"/>
        <v>261.40292158824218</v>
      </c>
      <c r="AX34" s="81"/>
      <c r="AY34" s="91"/>
      <c r="AZ34" s="61" t="s">
        <v>96</v>
      </c>
      <c r="BA34" s="92">
        <v>267965.35230000003</v>
      </c>
      <c r="BB34" s="70"/>
      <c r="BC34"/>
      <c r="BD34" s="512">
        <f t="shared" ca="1" si="8"/>
        <v>8.3758249394282114</v>
      </c>
      <c r="BE34" s="499">
        <f t="shared" ca="1" si="9"/>
        <v>2196.7187465276702</v>
      </c>
    </row>
    <row r="35" spans="1:57" s="5" customFormat="1" ht="12" customHeight="1">
      <c r="A35" s="5" t="str">
        <f t="shared" si="1"/>
        <v>PA-JDRVNRE1</v>
      </c>
      <c r="B35" s="48" t="s">
        <v>97</v>
      </c>
      <c r="C35" s="48" t="s">
        <v>98</v>
      </c>
      <c r="D35" s="73">
        <v>5.39</v>
      </c>
      <c r="E35" s="74">
        <v>19</v>
      </c>
      <c r="F35" s="67"/>
      <c r="G35" s="68">
        <v>32.340000000000003</v>
      </c>
      <c r="H35" s="68">
        <v>32.340000000000003</v>
      </c>
      <c r="I35" s="68">
        <v>32.340000000000003</v>
      </c>
      <c r="J35" s="68">
        <v>32.340000000000003</v>
      </c>
      <c r="K35" s="68">
        <v>37.729999999999997</v>
      </c>
      <c r="L35" s="68">
        <v>37.729999999999997</v>
      </c>
      <c r="M35" s="68">
        <v>35.04</v>
      </c>
      <c r="N35" s="68">
        <v>32.340000000000003</v>
      </c>
      <c r="O35" s="68">
        <v>26.95</v>
      </c>
      <c r="P35" s="68">
        <v>26.95</v>
      </c>
      <c r="Q35" s="68">
        <v>26.95</v>
      </c>
      <c r="R35" s="68">
        <v>35.03</v>
      </c>
      <c r="S35" s="68">
        <f t="shared" si="2"/>
        <v>388.07999999999993</v>
      </c>
      <c r="T35" s="19">
        <v>32000</v>
      </c>
      <c r="U35" s="19"/>
      <c r="V35" s="68">
        <f t="shared" ref="V35:X48" si="14">IFERROR(G35/$D35,0)</f>
        <v>6.0000000000000009</v>
      </c>
      <c r="W35" s="68">
        <f t="shared" si="14"/>
        <v>6.0000000000000009</v>
      </c>
      <c r="X35" s="68">
        <f t="shared" si="14"/>
        <v>6.0000000000000009</v>
      </c>
      <c r="Y35" s="68">
        <f t="shared" si="13"/>
        <v>6.0000000000000009</v>
      </c>
      <c r="Z35" s="68">
        <f t="shared" si="13"/>
        <v>7</v>
      </c>
      <c r="AA35" s="68">
        <f t="shared" si="13"/>
        <v>7</v>
      </c>
      <c r="AB35" s="68">
        <f t="shared" si="13"/>
        <v>6.5009276437847872</v>
      </c>
      <c r="AC35" s="68">
        <f t="shared" si="13"/>
        <v>6.0000000000000009</v>
      </c>
      <c r="AD35" s="68">
        <f t="shared" si="13"/>
        <v>5</v>
      </c>
      <c r="AE35" s="68">
        <f t="shared" si="13"/>
        <v>5</v>
      </c>
      <c r="AF35" s="68">
        <f t="shared" si="13"/>
        <v>5</v>
      </c>
      <c r="AG35" s="68">
        <f t="shared" si="13"/>
        <v>6.4990723562152137</v>
      </c>
      <c r="AH35" s="68">
        <f t="shared" si="4"/>
        <v>6</v>
      </c>
      <c r="AI35" s="49"/>
      <c r="AJ35" s="76"/>
      <c r="AK35" s="43"/>
      <c r="AM35" s="44"/>
      <c r="AN35" s="58"/>
      <c r="AO35" s="59"/>
      <c r="AR35" s="77"/>
      <c r="AS35" s="8"/>
      <c r="AT35" s="78">
        <v>5.39</v>
      </c>
      <c r="AU35" s="79">
        <f t="shared" ca="1" si="6"/>
        <v>6.08023441552261</v>
      </c>
      <c r="AV35" s="80">
        <f t="shared" ca="1" si="10"/>
        <v>437.77687791762787</v>
      </c>
      <c r="AW35" s="80">
        <f t="shared" ca="1" si="7"/>
        <v>49.696877917627944</v>
      </c>
      <c r="AX35" s="81"/>
      <c r="AY35" s="91"/>
      <c r="AZ35" s="61" t="s">
        <v>99</v>
      </c>
      <c r="BA35" s="92"/>
      <c r="BB35" s="70"/>
      <c r="BC35"/>
      <c r="BD35" s="512">
        <f t="shared" ca="1" si="8"/>
        <v>1.6755794787894858</v>
      </c>
      <c r="BE35" s="499">
        <f t="shared" ca="1" si="9"/>
        <v>439.45245739641734</v>
      </c>
    </row>
    <row r="36" spans="1:57" s="5" customFormat="1" ht="12" customHeight="1">
      <c r="A36" s="5" t="str">
        <f t="shared" si="1"/>
        <v>PA-JDRVNRE2</v>
      </c>
      <c r="B36" s="48" t="s">
        <v>100</v>
      </c>
      <c r="C36" s="48" t="s">
        <v>101</v>
      </c>
      <c r="D36" s="73">
        <v>5.39</v>
      </c>
      <c r="E36" s="74">
        <v>19</v>
      </c>
      <c r="F36" s="67"/>
      <c r="G36" s="68">
        <v>10.78</v>
      </c>
      <c r="H36" s="68">
        <v>10.78</v>
      </c>
      <c r="I36" s="68">
        <v>10.78</v>
      </c>
      <c r="J36" s="68">
        <v>10.78</v>
      </c>
      <c r="K36" s="68">
        <v>10.78</v>
      </c>
      <c r="L36" s="68">
        <v>10.78</v>
      </c>
      <c r="M36" s="68">
        <v>10.78</v>
      </c>
      <c r="N36" s="68">
        <v>10.78</v>
      </c>
      <c r="O36" s="68">
        <v>10.78</v>
      </c>
      <c r="P36" s="68">
        <v>10.78</v>
      </c>
      <c r="Q36" s="68">
        <v>10.78</v>
      </c>
      <c r="R36" s="68">
        <v>10.78</v>
      </c>
      <c r="S36" s="68">
        <f t="shared" si="2"/>
        <v>129.35999999999999</v>
      </c>
      <c r="T36" s="19">
        <v>32000</v>
      </c>
      <c r="U36" s="19"/>
      <c r="V36" s="68">
        <f t="shared" si="14"/>
        <v>2</v>
      </c>
      <c r="W36" s="68">
        <f t="shared" si="14"/>
        <v>2</v>
      </c>
      <c r="X36" s="68">
        <f t="shared" si="14"/>
        <v>2</v>
      </c>
      <c r="Y36" s="68">
        <f t="shared" si="13"/>
        <v>2</v>
      </c>
      <c r="Z36" s="68">
        <f t="shared" si="13"/>
        <v>2</v>
      </c>
      <c r="AA36" s="68">
        <f t="shared" si="13"/>
        <v>2</v>
      </c>
      <c r="AB36" s="68">
        <f t="shared" si="13"/>
        <v>2</v>
      </c>
      <c r="AC36" s="68">
        <f t="shared" si="13"/>
        <v>2</v>
      </c>
      <c r="AD36" s="68">
        <f t="shared" si="13"/>
        <v>2</v>
      </c>
      <c r="AE36" s="68">
        <f t="shared" si="13"/>
        <v>2</v>
      </c>
      <c r="AF36" s="68">
        <f t="shared" si="13"/>
        <v>2</v>
      </c>
      <c r="AG36" s="68">
        <f t="shared" si="13"/>
        <v>2</v>
      </c>
      <c r="AH36" s="68">
        <f t="shared" si="4"/>
        <v>2</v>
      </c>
      <c r="AI36" s="49"/>
      <c r="AJ36" s="76"/>
      <c r="AK36" s="43"/>
      <c r="AN36" s="58"/>
      <c r="AO36" s="59"/>
      <c r="AR36" s="77"/>
      <c r="AS36" s="8"/>
      <c r="AT36" s="78">
        <v>5.39</v>
      </c>
      <c r="AU36" s="79">
        <f t="shared" ca="1" si="6"/>
        <v>6.08023441552261</v>
      </c>
      <c r="AV36" s="80">
        <f t="shared" ca="1" si="10"/>
        <v>145.92562597254263</v>
      </c>
      <c r="AW36" s="80">
        <f t="shared" ca="1" si="7"/>
        <v>16.565625972542648</v>
      </c>
      <c r="AX36" s="81"/>
      <c r="AY36" s="90"/>
      <c r="AZ36" s="93"/>
      <c r="BA36" s="94"/>
      <c r="BB36" s="95"/>
      <c r="BD36" s="512">
        <f t="shared" ca="1" si="8"/>
        <v>0.55852649292982859</v>
      </c>
      <c r="BE36" s="499">
        <f t="shared" ca="1" si="9"/>
        <v>146.48415246547245</v>
      </c>
    </row>
    <row r="37" spans="1:57" s="5" customFormat="1" ht="12" customHeight="1">
      <c r="A37" s="5" t="str">
        <f t="shared" si="1"/>
        <v>PA-JDRVNRW1</v>
      </c>
      <c r="B37" s="48" t="s">
        <v>102</v>
      </c>
      <c r="C37" s="48" t="s">
        <v>103</v>
      </c>
      <c r="D37" s="73">
        <v>5.39</v>
      </c>
      <c r="E37" s="74">
        <v>19</v>
      </c>
      <c r="F37" s="67"/>
      <c r="G37" s="68">
        <v>10.78</v>
      </c>
      <c r="H37" s="68">
        <v>10.78</v>
      </c>
      <c r="I37" s="68">
        <v>10.78</v>
      </c>
      <c r="J37" s="68">
        <v>10.78</v>
      </c>
      <c r="K37" s="68">
        <v>10.78</v>
      </c>
      <c r="L37" s="68">
        <v>10.78</v>
      </c>
      <c r="M37" s="68">
        <v>16.170000000000002</v>
      </c>
      <c r="N37" s="68">
        <v>16.170000000000002</v>
      </c>
      <c r="O37" s="68">
        <v>16.170000000000002</v>
      </c>
      <c r="P37" s="68">
        <v>16.170000000000002</v>
      </c>
      <c r="Q37" s="68">
        <v>16.170000000000002</v>
      </c>
      <c r="R37" s="68">
        <v>16.170000000000002</v>
      </c>
      <c r="S37" s="68">
        <f t="shared" si="2"/>
        <v>161.70000000000005</v>
      </c>
      <c r="T37" s="19">
        <v>32000</v>
      </c>
      <c r="U37" s="19"/>
      <c r="V37" s="68">
        <f t="shared" si="14"/>
        <v>2</v>
      </c>
      <c r="W37" s="68">
        <f t="shared" si="14"/>
        <v>2</v>
      </c>
      <c r="X37" s="68">
        <f t="shared" si="14"/>
        <v>2</v>
      </c>
      <c r="Y37" s="68">
        <f t="shared" si="13"/>
        <v>2</v>
      </c>
      <c r="Z37" s="68">
        <f t="shared" si="13"/>
        <v>2</v>
      </c>
      <c r="AA37" s="68">
        <f t="shared" si="13"/>
        <v>2</v>
      </c>
      <c r="AB37" s="68">
        <f t="shared" si="13"/>
        <v>3.0000000000000004</v>
      </c>
      <c r="AC37" s="68">
        <f t="shared" si="13"/>
        <v>3.0000000000000004</v>
      </c>
      <c r="AD37" s="68">
        <f t="shared" si="13"/>
        <v>3.0000000000000004</v>
      </c>
      <c r="AE37" s="68">
        <f t="shared" si="13"/>
        <v>3.0000000000000004</v>
      </c>
      <c r="AF37" s="68">
        <f t="shared" si="13"/>
        <v>3.0000000000000004</v>
      </c>
      <c r="AG37" s="68">
        <f t="shared" si="13"/>
        <v>3.0000000000000004</v>
      </c>
      <c r="AH37" s="68">
        <f t="shared" si="4"/>
        <v>2.5</v>
      </c>
      <c r="AI37" s="49"/>
      <c r="AJ37" s="76"/>
      <c r="AK37" s="43"/>
      <c r="AN37" s="58"/>
      <c r="AO37" s="59"/>
      <c r="AR37" s="77"/>
      <c r="AS37" s="8"/>
      <c r="AT37" s="78">
        <v>5.39</v>
      </c>
      <c r="AU37" s="79">
        <f t="shared" ca="1" si="6"/>
        <v>6.08023441552261</v>
      </c>
      <c r="AV37" s="80">
        <f t="shared" ca="1" si="10"/>
        <v>182.4070324656783</v>
      </c>
      <c r="AW37" s="80">
        <f t="shared" ca="1" si="7"/>
        <v>20.707032465678253</v>
      </c>
      <c r="AX37" s="81"/>
      <c r="AY37" s="90"/>
      <c r="AZ37" s="93" t="s">
        <v>104</v>
      </c>
      <c r="BA37" s="94">
        <v>0</v>
      </c>
      <c r="BB37" s="95"/>
      <c r="BD37" s="512">
        <f t="shared" ca="1" si="8"/>
        <v>0.69815811616228574</v>
      </c>
      <c r="BE37" s="499">
        <f t="shared" ca="1" si="9"/>
        <v>183.10519058184059</v>
      </c>
    </row>
    <row r="38" spans="1:57" s="5" customFormat="1" ht="12" customHeight="1">
      <c r="A38" s="5" t="str">
        <f t="shared" si="1"/>
        <v>PA-JRCARRYOUT 5-25</v>
      </c>
      <c r="B38" s="48" t="s">
        <v>105</v>
      </c>
      <c r="C38" s="48" t="s">
        <v>106</v>
      </c>
      <c r="D38" s="73">
        <v>1.65</v>
      </c>
      <c r="E38" s="74">
        <v>19</v>
      </c>
      <c r="F38" s="67"/>
      <c r="G38" s="68">
        <v>8.0500000000000007</v>
      </c>
      <c r="H38" s="68">
        <v>8.0500000000000007</v>
      </c>
      <c r="I38" s="68">
        <v>8.0500000000000007</v>
      </c>
      <c r="J38" s="68">
        <v>8.0500000000000007</v>
      </c>
      <c r="K38" s="68">
        <v>8.0500000000000007</v>
      </c>
      <c r="L38" s="68">
        <v>8.0500000000000007</v>
      </c>
      <c r="M38" s="68">
        <v>8.0500000000000007</v>
      </c>
      <c r="N38" s="68">
        <v>8.0500000000000007</v>
      </c>
      <c r="O38" s="68">
        <v>8.0500000000000007</v>
      </c>
      <c r="P38" s="68">
        <v>8.0500000000000007</v>
      </c>
      <c r="Q38" s="68">
        <v>8.0500000000000007</v>
      </c>
      <c r="R38" s="68">
        <v>8.0500000000000007</v>
      </c>
      <c r="S38" s="68">
        <f t="shared" si="2"/>
        <v>96.59999999999998</v>
      </c>
      <c r="T38" s="19">
        <v>32000</v>
      </c>
      <c r="U38" s="19"/>
      <c r="V38" s="68">
        <f t="shared" si="14"/>
        <v>4.8787878787878798</v>
      </c>
      <c r="W38" s="68">
        <f t="shared" si="14"/>
        <v>4.8787878787878798</v>
      </c>
      <c r="X38" s="68">
        <f t="shared" si="14"/>
        <v>4.8787878787878798</v>
      </c>
      <c r="Y38" s="68">
        <f t="shared" si="13"/>
        <v>4.8787878787878798</v>
      </c>
      <c r="Z38" s="68">
        <f t="shared" si="13"/>
        <v>4.8787878787878798</v>
      </c>
      <c r="AA38" s="68">
        <f t="shared" si="13"/>
        <v>4.8787878787878798</v>
      </c>
      <c r="AB38" s="68">
        <f t="shared" si="13"/>
        <v>4.8787878787878798</v>
      </c>
      <c r="AC38" s="68">
        <f t="shared" si="13"/>
        <v>4.8787878787878798</v>
      </c>
      <c r="AD38" s="68">
        <f t="shared" si="13"/>
        <v>4.8787878787878798</v>
      </c>
      <c r="AE38" s="68">
        <f t="shared" si="13"/>
        <v>4.8787878787878798</v>
      </c>
      <c r="AF38" s="68">
        <f t="shared" si="13"/>
        <v>4.8787878787878798</v>
      </c>
      <c r="AG38" s="68">
        <f t="shared" si="13"/>
        <v>4.8787878787878798</v>
      </c>
      <c r="AH38" s="68">
        <f t="shared" si="4"/>
        <v>4.8787878787878807</v>
      </c>
      <c r="AI38" s="49"/>
      <c r="AJ38" s="76"/>
      <c r="AK38" s="43"/>
      <c r="AN38" s="58"/>
      <c r="AO38" s="59"/>
      <c r="AR38" s="77"/>
      <c r="AS38" s="8"/>
      <c r="AT38" s="78">
        <v>1.65</v>
      </c>
      <c r="AU38" s="79">
        <f t="shared" ca="1" si="6"/>
        <v>1.8612962496497787</v>
      </c>
      <c r="AV38" s="80">
        <f t="shared" ca="1" si="10"/>
        <v>108.97043497949616</v>
      </c>
      <c r="AW38" s="80">
        <f t="shared" ca="1" si="7"/>
        <v>12.370434979496181</v>
      </c>
      <c r="AX38" s="81"/>
      <c r="AY38" s="90"/>
      <c r="AZ38" s="93" t="s">
        <v>107</v>
      </c>
      <c r="BA38" s="94">
        <v>0</v>
      </c>
      <c r="BB38" s="95"/>
      <c r="BD38" s="512">
        <f t="shared" ca="1" si="8"/>
        <v>0.41708147199305395</v>
      </c>
      <c r="BE38" s="499">
        <f t="shared" ca="1" si="9"/>
        <v>109.38751645148922</v>
      </c>
    </row>
    <row r="39" spans="1:57" s="5" customFormat="1" ht="12" customHeight="1">
      <c r="A39" s="5" t="str">
        <f t="shared" si="1"/>
        <v>PA-JRCARRYOUT OVER 25</v>
      </c>
      <c r="B39" s="48" t="s">
        <v>108</v>
      </c>
      <c r="C39" s="48" t="s">
        <v>109</v>
      </c>
      <c r="D39" s="73">
        <v>2.48</v>
      </c>
      <c r="E39" s="74">
        <v>19</v>
      </c>
      <c r="F39" s="67"/>
      <c r="G39" s="68">
        <v>2.4300000000000002</v>
      </c>
      <c r="H39" s="68">
        <v>2.4300000000000002</v>
      </c>
      <c r="I39" s="68">
        <v>2.4300000000000002</v>
      </c>
      <c r="J39" s="68">
        <v>2.4300000000000002</v>
      </c>
      <c r="K39" s="68">
        <v>2.4300000000000002</v>
      </c>
      <c r="L39" s="68">
        <v>2.4300000000000002</v>
      </c>
      <c r="M39" s="68">
        <v>2.4300000000000002</v>
      </c>
      <c r="N39" s="68">
        <v>2.4300000000000002</v>
      </c>
      <c r="O39" s="68">
        <v>2.4300000000000002</v>
      </c>
      <c r="P39" s="68">
        <v>2.4300000000000002</v>
      </c>
      <c r="Q39" s="68">
        <v>2.4300000000000002</v>
      </c>
      <c r="R39" s="68">
        <v>2.4300000000000002</v>
      </c>
      <c r="S39" s="68">
        <f t="shared" si="2"/>
        <v>29.16</v>
      </c>
      <c r="T39" s="19">
        <v>32000</v>
      </c>
      <c r="U39" s="19"/>
      <c r="V39" s="68">
        <f t="shared" si="14"/>
        <v>0.97983870967741937</v>
      </c>
      <c r="W39" s="68">
        <f t="shared" si="14"/>
        <v>0.97983870967741937</v>
      </c>
      <c r="X39" s="68">
        <f t="shared" si="14"/>
        <v>0.97983870967741937</v>
      </c>
      <c r="Y39" s="68">
        <f t="shared" si="13"/>
        <v>0.97983870967741937</v>
      </c>
      <c r="Z39" s="68">
        <f t="shared" si="13"/>
        <v>0.97983870967741937</v>
      </c>
      <c r="AA39" s="68">
        <f t="shared" si="13"/>
        <v>0.97983870967741937</v>
      </c>
      <c r="AB39" s="68">
        <f t="shared" si="13"/>
        <v>0.97983870967741937</v>
      </c>
      <c r="AC39" s="68">
        <f t="shared" si="13"/>
        <v>0.97983870967741937</v>
      </c>
      <c r="AD39" s="68">
        <f t="shared" si="13"/>
        <v>0.97983870967741937</v>
      </c>
      <c r="AE39" s="68">
        <f t="shared" si="13"/>
        <v>0.97983870967741937</v>
      </c>
      <c r="AF39" s="68">
        <f t="shared" si="13"/>
        <v>0.97983870967741937</v>
      </c>
      <c r="AG39" s="68">
        <f t="shared" si="13"/>
        <v>0.97983870967741937</v>
      </c>
      <c r="AH39" s="68">
        <f t="shared" si="4"/>
        <v>0.97983870967741948</v>
      </c>
      <c r="AI39" s="49"/>
      <c r="AJ39" s="76"/>
      <c r="AK39" s="43"/>
      <c r="AN39" s="58"/>
      <c r="AO39" s="59"/>
      <c r="AR39" s="77"/>
      <c r="AS39" s="8"/>
      <c r="AT39" s="78">
        <v>2.48</v>
      </c>
      <c r="AU39" s="79">
        <f t="shared" ca="1" si="6"/>
        <v>2.7975846661402737</v>
      </c>
      <c r="AV39" s="80">
        <f t="shared" ca="1" si="10"/>
        <v>32.894180993810643</v>
      </c>
      <c r="AW39" s="80">
        <f t="shared" ca="1" si="7"/>
        <v>3.7341809938106429</v>
      </c>
      <c r="AX39" s="81"/>
      <c r="AY39" s="90"/>
      <c r="AZ39" s="93" t="s">
        <v>110</v>
      </c>
      <c r="BA39" s="94">
        <v>0</v>
      </c>
      <c r="BB39" s="95"/>
      <c r="BD39" s="512">
        <f t="shared" ca="1" si="8"/>
        <v>0.12590161204262376</v>
      </c>
      <c r="BE39" s="499">
        <f t="shared" ca="1" si="9"/>
        <v>33.020082605853268</v>
      </c>
    </row>
    <row r="40" spans="1:57" s="5" customFormat="1" ht="12" customHeight="1" thickBot="1">
      <c r="A40" s="5" t="str">
        <f t="shared" si="1"/>
        <v>PA-JSP35-RES</v>
      </c>
      <c r="B40" s="48" t="s">
        <v>111</v>
      </c>
      <c r="C40" s="48" t="s">
        <v>112</v>
      </c>
      <c r="D40" s="73">
        <v>8.4</v>
      </c>
      <c r="E40" s="74" t="s">
        <v>59</v>
      </c>
      <c r="F40" s="67"/>
      <c r="G40" s="68">
        <v>58.8</v>
      </c>
      <c r="H40" s="68">
        <v>84</v>
      </c>
      <c r="I40" s="68">
        <v>21</v>
      </c>
      <c r="J40" s="68">
        <v>46.2</v>
      </c>
      <c r="K40" s="68">
        <v>21</v>
      </c>
      <c r="L40" s="68">
        <v>29.4</v>
      </c>
      <c r="M40" s="68">
        <v>21</v>
      </c>
      <c r="N40" s="68">
        <v>79.8</v>
      </c>
      <c r="O40" s="68">
        <v>42</v>
      </c>
      <c r="P40" s="68">
        <v>126</v>
      </c>
      <c r="Q40" s="68">
        <v>54.6</v>
      </c>
      <c r="R40" s="68">
        <v>96.6</v>
      </c>
      <c r="S40" s="68">
        <f t="shared" si="2"/>
        <v>680.40000000000009</v>
      </c>
      <c r="T40" s="19">
        <v>32001</v>
      </c>
      <c r="U40" s="19"/>
      <c r="V40" s="68">
        <f t="shared" si="14"/>
        <v>6.9999999999999991</v>
      </c>
      <c r="W40" s="68">
        <f t="shared" si="14"/>
        <v>10</v>
      </c>
      <c r="X40" s="68">
        <f t="shared" si="14"/>
        <v>2.5</v>
      </c>
      <c r="Y40" s="68">
        <f t="shared" si="13"/>
        <v>5.5</v>
      </c>
      <c r="Z40" s="68">
        <f t="shared" si="13"/>
        <v>2.5</v>
      </c>
      <c r="AA40" s="68">
        <f t="shared" si="13"/>
        <v>3.4999999999999996</v>
      </c>
      <c r="AB40" s="68">
        <f t="shared" si="13"/>
        <v>2.5</v>
      </c>
      <c r="AC40" s="68">
        <f t="shared" si="13"/>
        <v>9.5</v>
      </c>
      <c r="AD40" s="68">
        <f t="shared" si="13"/>
        <v>5</v>
      </c>
      <c r="AE40" s="68">
        <f t="shared" si="13"/>
        <v>15</v>
      </c>
      <c r="AF40" s="68">
        <f t="shared" si="13"/>
        <v>6.5</v>
      </c>
      <c r="AG40" s="68">
        <f t="shared" si="13"/>
        <v>11.499999999999998</v>
      </c>
      <c r="AH40" s="68">
        <f t="shared" si="4"/>
        <v>6.75</v>
      </c>
      <c r="AI40" s="49"/>
      <c r="AJ40" s="76"/>
      <c r="AK40" s="43"/>
      <c r="AN40" s="58"/>
      <c r="AO40" s="59"/>
      <c r="AR40" s="77"/>
      <c r="AS40" s="8"/>
      <c r="AT40" s="78">
        <v>8.4600000000000009</v>
      </c>
      <c r="AU40" s="79">
        <f t="shared" ca="1" si="6"/>
        <v>9.5433734982043212</v>
      </c>
      <c r="AV40" s="80">
        <f t="shared" ca="1" si="10"/>
        <v>773.01325335454999</v>
      </c>
      <c r="AW40" s="80">
        <f t="shared" ca="1" si="7"/>
        <v>92.613253354549897</v>
      </c>
      <c r="AX40" s="81"/>
      <c r="AY40" s="90"/>
      <c r="AZ40" s="93"/>
      <c r="BA40" s="94"/>
      <c r="BB40" s="95"/>
      <c r="BD40" s="512">
        <f t="shared" ca="1" si="8"/>
        <v>2.9586878830016574</v>
      </c>
      <c r="BE40" s="499">
        <f t="shared" ca="1" si="9"/>
        <v>775.97194123755162</v>
      </c>
    </row>
    <row r="41" spans="1:57" s="5" customFormat="1" ht="12" customHeight="1">
      <c r="A41" s="5" t="str">
        <f t="shared" si="1"/>
        <v>PA-JSP60-RES</v>
      </c>
      <c r="B41" s="48" t="s">
        <v>113</v>
      </c>
      <c r="C41" s="48" t="s">
        <v>114</v>
      </c>
      <c r="D41" s="73">
        <v>8.4</v>
      </c>
      <c r="E41" s="74" t="s">
        <v>59</v>
      </c>
      <c r="F41" s="67"/>
      <c r="G41" s="68">
        <v>50.4</v>
      </c>
      <c r="H41" s="68">
        <v>126</v>
      </c>
      <c r="I41" s="68">
        <v>42</v>
      </c>
      <c r="J41" s="68">
        <v>92.4</v>
      </c>
      <c r="K41" s="68">
        <v>8.4</v>
      </c>
      <c r="L41" s="68">
        <v>58.8</v>
      </c>
      <c r="M41" s="68">
        <v>16.8</v>
      </c>
      <c r="N41" s="68">
        <v>67.2</v>
      </c>
      <c r="O41" s="68">
        <v>29.4</v>
      </c>
      <c r="P41" s="68">
        <v>113.4</v>
      </c>
      <c r="Q41" s="68">
        <v>37.799999999999997</v>
      </c>
      <c r="R41" s="68">
        <v>155.39999999999998</v>
      </c>
      <c r="S41" s="68">
        <f t="shared" si="2"/>
        <v>797.99999999999989</v>
      </c>
      <c r="T41" s="19">
        <v>32001</v>
      </c>
      <c r="U41" s="19"/>
      <c r="V41" s="68">
        <f t="shared" si="14"/>
        <v>6</v>
      </c>
      <c r="W41" s="68">
        <f t="shared" si="14"/>
        <v>15</v>
      </c>
      <c r="X41" s="68">
        <f t="shared" si="14"/>
        <v>5</v>
      </c>
      <c r="Y41" s="68">
        <f t="shared" si="13"/>
        <v>11</v>
      </c>
      <c r="Z41" s="68">
        <f t="shared" si="13"/>
        <v>1</v>
      </c>
      <c r="AA41" s="68">
        <f t="shared" si="13"/>
        <v>6.9999999999999991</v>
      </c>
      <c r="AB41" s="68">
        <f t="shared" si="13"/>
        <v>2</v>
      </c>
      <c r="AC41" s="68">
        <f t="shared" si="13"/>
        <v>8</v>
      </c>
      <c r="AD41" s="68">
        <f t="shared" si="13"/>
        <v>3.4999999999999996</v>
      </c>
      <c r="AE41" s="68">
        <f t="shared" si="13"/>
        <v>13.5</v>
      </c>
      <c r="AF41" s="68">
        <f t="shared" si="13"/>
        <v>4.4999999999999991</v>
      </c>
      <c r="AG41" s="68">
        <f t="shared" si="13"/>
        <v>18.499999999999996</v>
      </c>
      <c r="AH41" s="68">
        <f t="shared" si="4"/>
        <v>7.916666666666667</v>
      </c>
      <c r="AI41" s="49"/>
      <c r="AJ41" s="76"/>
      <c r="AK41" s="43"/>
      <c r="AN41" s="58"/>
      <c r="AO41" s="59"/>
      <c r="AR41" s="77"/>
      <c r="AS41" s="8"/>
      <c r="AT41" s="78">
        <v>8.4600000000000009</v>
      </c>
      <c r="AU41" s="79">
        <f t="shared" ca="1" si="6"/>
        <v>9.5433734982043212</v>
      </c>
      <c r="AV41" s="80">
        <f t="shared" ca="1" si="10"/>
        <v>906.62048232941049</v>
      </c>
      <c r="AW41" s="80">
        <f t="shared" ca="1" si="7"/>
        <v>108.62048232941061</v>
      </c>
      <c r="AX41" s="81"/>
      <c r="AY41" s="90"/>
      <c r="AZ41" s="96" t="s">
        <v>115</v>
      </c>
      <c r="BA41" s="97">
        <f>+'CityPA-M Price Out'!AV47</f>
        <v>252840.83000000002</v>
      </c>
      <c r="BB41" s="95"/>
      <c r="BD41" s="512">
        <f t="shared" ca="1" si="8"/>
        <v>3.4700660356192281</v>
      </c>
      <c r="BE41" s="499">
        <f t="shared" ca="1" si="9"/>
        <v>910.09054836502969</v>
      </c>
    </row>
    <row r="42" spans="1:57" s="5" customFormat="1" ht="12" customHeight="1">
      <c r="A42" s="5" t="str">
        <f t="shared" si="1"/>
        <v>PA-JSP96-RES</v>
      </c>
      <c r="B42" s="48" t="s">
        <v>116</v>
      </c>
      <c r="C42" s="48" t="s">
        <v>117</v>
      </c>
      <c r="D42" s="73">
        <v>8.4</v>
      </c>
      <c r="E42" s="74" t="s">
        <v>59</v>
      </c>
      <c r="F42" s="67"/>
      <c r="G42" s="68">
        <v>8.4</v>
      </c>
      <c r="H42" s="68">
        <v>25.200000000000003</v>
      </c>
      <c r="I42" s="68">
        <v>4.2</v>
      </c>
      <c r="J42" s="68">
        <v>21</v>
      </c>
      <c r="K42" s="68">
        <v>8.4</v>
      </c>
      <c r="L42" s="68">
        <v>25.200000000000003</v>
      </c>
      <c r="M42" s="68">
        <v>12.6</v>
      </c>
      <c r="N42" s="68">
        <v>21</v>
      </c>
      <c r="O42" s="68">
        <v>12.6</v>
      </c>
      <c r="P42" s="68">
        <v>29.4</v>
      </c>
      <c r="Q42" s="68">
        <v>12.6</v>
      </c>
      <c r="R42" s="68">
        <v>71.399999999999991</v>
      </c>
      <c r="S42" s="68">
        <f t="shared" si="2"/>
        <v>252</v>
      </c>
      <c r="T42" s="19">
        <v>32001</v>
      </c>
      <c r="U42" s="19"/>
      <c r="V42" s="68">
        <f t="shared" si="14"/>
        <v>1</v>
      </c>
      <c r="W42" s="68">
        <f t="shared" si="14"/>
        <v>3</v>
      </c>
      <c r="X42" s="68">
        <f t="shared" si="14"/>
        <v>0.5</v>
      </c>
      <c r="Y42" s="68">
        <f t="shared" si="13"/>
        <v>2.5</v>
      </c>
      <c r="Z42" s="68">
        <f t="shared" si="13"/>
        <v>1</v>
      </c>
      <c r="AA42" s="68">
        <f t="shared" si="13"/>
        <v>3</v>
      </c>
      <c r="AB42" s="68">
        <f t="shared" si="13"/>
        <v>1.5</v>
      </c>
      <c r="AC42" s="68">
        <f t="shared" si="13"/>
        <v>2.5</v>
      </c>
      <c r="AD42" s="68">
        <f t="shared" si="13"/>
        <v>1.5</v>
      </c>
      <c r="AE42" s="68">
        <f t="shared" si="13"/>
        <v>3.4999999999999996</v>
      </c>
      <c r="AF42" s="68">
        <f t="shared" si="13"/>
        <v>1.5</v>
      </c>
      <c r="AG42" s="68">
        <f t="shared" si="13"/>
        <v>8.4999999999999982</v>
      </c>
      <c r="AH42" s="68">
        <f t="shared" si="4"/>
        <v>2.5</v>
      </c>
      <c r="AI42" s="49"/>
      <c r="AJ42" s="76"/>
      <c r="AK42" s="43"/>
      <c r="AN42" s="58"/>
      <c r="AO42" s="59"/>
      <c r="AR42" s="77"/>
      <c r="AS42" s="8"/>
      <c r="AT42" s="78">
        <v>8.4600000000000009</v>
      </c>
      <c r="AU42" s="79">
        <f t="shared" ca="1" si="6"/>
        <v>9.5433734982043212</v>
      </c>
      <c r="AV42" s="80">
        <f t="shared" ca="1" si="10"/>
        <v>286.30120494612959</v>
      </c>
      <c r="AW42" s="80">
        <f t="shared" ca="1" si="7"/>
        <v>34.301204946129587</v>
      </c>
      <c r="AX42" s="81"/>
      <c r="AY42" s="90"/>
      <c r="AZ42" s="98" t="s">
        <v>118</v>
      </c>
      <c r="BA42" s="99">
        <f>+'Clallam Reg Price Out'!AU182</f>
        <v>517453.33</v>
      </c>
      <c r="BB42" s="95"/>
      <c r="BD42" s="512">
        <f t="shared" ca="1" si="8"/>
        <v>1.0958103270376509</v>
      </c>
      <c r="BE42" s="499">
        <f t="shared" ca="1" si="9"/>
        <v>287.39701527316726</v>
      </c>
    </row>
    <row r="43" spans="1:57" s="19" customFormat="1" ht="12" customHeight="1" thickBot="1">
      <c r="A43" s="71" t="str">
        <f t="shared" si="1"/>
        <v>PA-J32RM1</v>
      </c>
      <c r="B43" s="72" t="s">
        <v>119</v>
      </c>
      <c r="C43" s="72" t="s">
        <v>120</v>
      </c>
      <c r="D43" s="73">
        <v>8.4</v>
      </c>
      <c r="E43" s="74" t="s">
        <v>59</v>
      </c>
      <c r="F43" s="67"/>
      <c r="G43" s="75">
        <v>16.8</v>
      </c>
      <c r="H43" s="75">
        <v>16.8</v>
      </c>
      <c r="I43" s="75">
        <v>16.8</v>
      </c>
      <c r="J43" s="75">
        <v>16.8</v>
      </c>
      <c r="K43" s="75">
        <v>16.8</v>
      </c>
      <c r="L43" s="75">
        <v>16.8</v>
      </c>
      <c r="M43" s="75">
        <v>16.8</v>
      </c>
      <c r="N43" s="75">
        <v>16.8</v>
      </c>
      <c r="O43" s="75">
        <v>8.4</v>
      </c>
      <c r="P43" s="75">
        <v>8.4</v>
      </c>
      <c r="Q43" s="75">
        <v>0</v>
      </c>
      <c r="R43" s="75">
        <v>0</v>
      </c>
      <c r="S43" s="75">
        <f t="shared" si="2"/>
        <v>151.20000000000002</v>
      </c>
      <c r="T43" s="71">
        <v>32000</v>
      </c>
      <c r="V43" s="75">
        <f t="shared" si="14"/>
        <v>2</v>
      </c>
      <c r="W43" s="75">
        <f t="shared" si="14"/>
        <v>2</v>
      </c>
      <c r="X43" s="75">
        <f t="shared" si="14"/>
        <v>2</v>
      </c>
      <c r="Y43" s="75">
        <f t="shared" si="13"/>
        <v>2</v>
      </c>
      <c r="Z43" s="75">
        <f t="shared" si="13"/>
        <v>2</v>
      </c>
      <c r="AA43" s="75">
        <f t="shared" si="13"/>
        <v>2</v>
      </c>
      <c r="AB43" s="75">
        <f t="shared" si="13"/>
        <v>2</v>
      </c>
      <c r="AC43" s="75">
        <f t="shared" si="13"/>
        <v>2</v>
      </c>
      <c r="AD43" s="75">
        <f t="shared" si="13"/>
        <v>1</v>
      </c>
      <c r="AE43" s="75">
        <f t="shared" si="13"/>
        <v>1</v>
      </c>
      <c r="AF43" s="75">
        <f t="shared" si="13"/>
        <v>0</v>
      </c>
      <c r="AG43" s="75">
        <f t="shared" si="13"/>
        <v>0</v>
      </c>
      <c r="AH43" s="75">
        <f t="shared" si="4"/>
        <v>1.8</v>
      </c>
      <c r="AI43" s="49"/>
      <c r="AJ43" s="76"/>
      <c r="AK43" s="43">
        <v>32</v>
      </c>
      <c r="AL43" s="5">
        <v>0</v>
      </c>
      <c r="AM43" s="44">
        <f>+AH43*AL43</f>
        <v>0</v>
      </c>
      <c r="AN43" s="58"/>
      <c r="AO43" s="59"/>
      <c r="AP43" s="5"/>
      <c r="AQ43" s="5"/>
      <c r="AR43" s="77"/>
      <c r="AS43" s="88">
        <f>-AH43</f>
        <v>-1.8</v>
      </c>
      <c r="AT43" s="78">
        <v>8.4564620335378091</v>
      </c>
      <c r="AU43" s="79">
        <f t="shared" ca="1" si="6"/>
        <v>9.5393824656543433</v>
      </c>
      <c r="AV43" s="80">
        <f ca="1">+AU43*(AH43+AS43)*12</f>
        <v>0</v>
      </c>
      <c r="AW43" s="80">
        <f t="shared" ca="1" si="7"/>
        <v>-151.20000000000002</v>
      </c>
      <c r="AX43" s="81"/>
      <c r="AY43" s="90"/>
      <c r="AZ43" s="100" t="s">
        <v>121</v>
      </c>
      <c r="BA43" s="101">
        <f>+AV153</f>
        <v>241258.33</v>
      </c>
      <c r="BB43" s="95"/>
      <c r="BD43" s="512">
        <f t="shared" ca="1" si="8"/>
        <v>0</v>
      </c>
      <c r="BE43" s="499">
        <f t="shared" ca="1" si="9"/>
        <v>0</v>
      </c>
    </row>
    <row r="44" spans="1:57" s="5" customFormat="1" ht="12" customHeight="1">
      <c r="A44" s="5" t="str">
        <f t="shared" si="1"/>
        <v>PA-JRGATE</v>
      </c>
      <c r="B44" s="48" t="s">
        <v>122</v>
      </c>
      <c r="C44" s="48" t="s">
        <v>123</v>
      </c>
      <c r="D44" s="73">
        <v>2.5299999999999998</v>
      </c>
      <c r="E44" s="74">
        <v>19</v>
      </c>
      <c r="F44" s="67"/>
      <c r="G44" s="68">
        <v>2.5299999999999998</v>
      </c>
      <c r="H44" s="68">
        <v>2.5299999999999998</v>
      </c>
      <c r="I44" s="68">
        <v>2.5299999999999998</v>
      </c>
      <c r="J44" s="68">
        <v>2.5299999999999998</v>
      </c>
      <c r="K44" s="68">
        <v>2.5299999999999998</v>
      </c>
      <c r="L44" s="68">
        <v>2.5299999999999998</v>
      </c>
      <c r="M44" s="68">
        <v>2.5299999999999998</v>
      </c>
      <c r="N44" s="68">
        <v>2.5299999999999998</v>
      </c>
      <c r="O44" s="68">
        <v>2.5299999999999998</v>
      </c>
      <c r="P44" s="68">
        <v>2.5299999999999998</v>
      </c>
      <c r="Q44" s="68">
        <v>0</v>
      </c>
      <c r="R44" s="68">
        <v>0</v>
      </c>
      <c r="S44" s="68">
        <f t="shared" si="2"/>
        <v>25.3</v>
      </c>
      <c r="T44" s="19">
        <v>32001</v>
      </c>
      <c r="U44" s="19"/>
      <c r="V44" s="68">
        <f t="shared" si="14"/>
        <v>1</v>
      </c>
      <c r="W44" s="68">
        <f t="shared" si="14"/>
        <v>1</v>
      </c>
      <c r="X44" s="68">
        <f t="shared" si="14"/>
        <v>1</v>
      </c>
      <c r="Y44" s="68">
        <f t="shared" si="13"/>
        <v>1</v>
      </c>
      <c r="Z44" s="68">
        <f t="shared" si="13"/>
        <v>1</v>
      </c>
      <c r="AA44" s="68">
        <f t="shared" si="13"/>
        <v>1</v>
      </c>
      <c r="AB44" s="68">
        <f t="shared" si="13"/>
        <v>1</v>
      </c>
      <c r="AC44" s="68">
        <f t="shared" si="13"/>
        <v>1</v>
      </c>
      <c r="AD44" s="68">
        <f t="shared" si="13"/>
        <v>1</v>
      </c>
      <c r="AE44" s="68">
        <f t="shared" si="13"/>
        <v>1</v>
      </c>
      <c r="AF44" s="68">
        <f t="shared" si="13"/>
        <v>0</v>
      </c>
      <c r="AG44" s="68">
        <f t="shared" si="13"/>
        <v>0</v>
      </c>
      <c r="AH44" s="68">
        <f t="shared" si="4"/>
        <v>1</v>
      </c>
      <c r="AI44" s="49"/>
      <c r="AJ44" s="76"/>
      <c r="AK44" s="43"/>
      <c r="AN44" s="58"/>
      <c r="AO44" s="59"/>
      <c r="AR44" s="77"/>
      <c r="AS44" s="8"/>
      <c r="AT44" s="78">
        <v>2.5299999999999998</v>
      </c>
      <c r="AU44" s="79">
        <f t="shared" ca="1" si="6"/>
        <v>2.8539875827963272</v>
      </c>
      <c r="AV44" s="80">
        <f t="shared" ca="1" si="10"/>
        <v>28.539875827963272</v>
      </c>
      <c r="AW44" s="80">
        <f t="shared" ca="1" si="7"/>
        <v>3.2398758279632709</v>
      </c>
      <c r="AX44" s="81"/>
      <c r="AY44" s="90"/>
      <c r="AZ44" s="93"/>
      <c r="BA44" s="94"/>
      <c r="BB44" s="95"/>
      <c r="BD44" s="512">
        <f t="shared" ca="1" si="8"/>
        <v>0.10923562361722838</v>
      </c>
      <c r="BE44" s="499">
        <f t="shared" ca="1" si="9"/>
        <v>28.649111451580499</v>
      </c>
    </row>
    <row r="45" spans="1:57" s="5" customFormat="1" ht="12" customHeight="1" thickBot="1">
      <c r="A45" s="5" t="str">
        <f t="shared" si="1"/>
        <v>PA-JROLLE-RESI</v>
      </c>
      <c r="B45" s="48" t="s">
        <v>124</v>
      </c>
      <c r="C45" s="48" t="s">
        <v>125</v>
      </c>
      <c r="D45" s="73">
        <v>1.21</v>
      </c>
      <c r="E45" s="74">
        <v>31</v>
      </c>
      <c r="F45" s="67"/>
      <c r="G45" s="68">
        <v>16.940000000000001</v>
      </c>
      <c r="H45" s="68">
        <v>18.150000000000002</v>
      </c>
      <c r="I45" s="68">
        <v>19.36</v>
      </c>
      <c r="J45" s="68">
        <v>19.36</v>
      </c>
      <c r="K45" s="68">
        <v>18.149999999999999</v>
      </c>
      <c r="L45" s="68">
        <v>18.149999999999999</v>
      </c>
      <c r="M45" s="68">
        <v>18.149999999999999</v>
      </c>
      <c r="N45" s="68">
        <v>18.149999999999999</v>
      </c>
      <c r="O45" s="68">
        <v>18.45</v>
      </c>
      <c r="P45" s="68">
        <v>18.45</v>
      </c>
      <c r="Q45" s="68">
        <v>18.149999999999999</v>
      </c>
      <c r="R45" s="68">
        <v>18.149999999999999</v>
      </c>
      <c r="S45" s="68">
        <f t="shared" si="2"/>
        <v>219.61</v>
      </c>
      <c r="T45" s="19">
        <v>32001</v>
      </c>
      <c r="U45" s="19"/>
      <c r="V45" s="68">
        <f t="shared" si="14"/>
        <v>14.000000000000002</v>
      </c>
      <c r="W45" s="68">
        <f t="shared" si="14"/>
        <v>15.000000000000002</v>
      </c>
      <c r="X45" s="68">
        <f t="shared" si="14"/>
        <v>16</v>
      </c>
      <c r="Y45" s="68">
        <f t="shared" si="13"/>
        <v>16</v>
      </c>
      <c r="Z45" s="68">
        <f t="shared" si="13"/>
        <v>15</v>
      </c>
      <c r="AA45" s="68">
        <f t="shared" si="13"/>
        <v>15</v>
      </c>
      <c r="AB45" s="68">
        <f t="shared" si="13"/>
        <v>15</v>
      </c>
      <c r="AC45" s="68">
        <f t="shared" si="13"/>
        <v>15</v>
      </c>
      <c r="AD45" s="68">
        <f t="shared" si="13"/>
        <v>15.24793388429752</v>
      </c>
      <c r="AE45" s="68">
        <f t="shared" si="13"/>
        <v>15.24793388429752</v>
      </c>
      <c r="AF45" s="68">
        <f t="shared" si="13"/>
        <v>15</v>
      </c>
      <c r="AG45" s="68">
        <f t="shared" si="13"/>
        <v>15</v>
      </c>
      <c r="AH45" s="68">
        <f t="shared" si="4"/>
        <v>15.124655647382918</v>
      </c>
      <c r="AI45" s="49"/>
      <c r="AJ45" s="76"/>
      <c r="AK45" s="43"/>
      <c r="AN45" s="58"/>
      <c r="AO45" s="59"/>
      <c r="AR45" s="77"/>
      <c r="AS45" s="8"/>
      <c r="AT45" s="78">
        <v>1.21</v>
      </c>
      <c r="AU45" s="79">
        <f t="shared" ca="1" si="6"/>
        <v>1.3649505830765045</v>
      </c>
      <c r="AV45" s="80">
        <f t="shared" ca="1" si="10"/>
        <v>247.73289053671994</v>
      </c>
      <c r="AW45" s="80">
        <f t="shared" ca="1" si="7"/>
        <v>28.122890536719922</v>
      </c>
      <c r="AX45" s="81"/>
      <c r="AY45" s="90"/>
      <c r="AZ45" s="82"/>
      <c r="BA45" s="83"/>
      <c r="BB45" s="84"/>
      <c r="BD45" s="512">
        <f t="shared" ca="1" si="8"/>
        <v>0.94819111867903272</v>
      </c>
      <c r="BE45" s="499">
        <f t="shared" ca="1" si="9"/>
        <v>248.68108165539897</v>
      </c>
    </row>
    <row r="46" spans="1:57" s="5" customFormat="1" ht="12" customHeight="1" thickBot="1">
      <c r="A46" s="5" t="str">
        <f t="shared" si="1"/>
        <v>PA-JROLLM-RESI</v>
      </c>
      <c r="B46" s="48" t="s">
        <v>126</v>
      </c>
      <c r="C46" s="48" t="s">
        <v>127</v>
      </c>
      <c r="D46" s="73">
        <v>0.56000000000000005</v>
      </c>
      <c r="E46" s="74">
        <v>31</v>
      </c>
      <c r="F46" s="67"/>
      <c r="G46" s="68">
        <v>1.1200000000000001</v>
      </c>
      <c r="H46" s="68">
        <v>1.1200000000000001</v>
      </c>
      <c r="I46" s="68">
        <v>1.1200000000000001</v>
      </c>
      <c r="J46" s="68">
        <v>1.1200000000000001</v>
      </c>
      <c r="K46" s="68">
        <v>1.1200000000000001</v>
      </c>
      <c r="L46" s="68">
        <v>1.1200000000000001</v>
      </c>
      <c r="M46" s="68">
        <v>1.1200000000000001</v>
      </c>
      <c r="N46" s="68">
        <v>1.1200000000000001</v>
      </c>
      <c r="O46" s="68">
        <v>1.1200000000000001</v>
      </c>
      <c r="P46" s="68">
        <v>1.1200000000000001</v>
      </c>
      <c r="Q46" s="68">
        <v>0</v>
      </c>
      <c r="R46" s="68">
        <v>0</v>
      </c>
      <c r="S46" s="68">
        <f t="shared" si="2"/>
        <v>11.200000000000003</v>
      </c>
      <c r="T46" s="19">
        <v>32001</v>
      </c>
      <c r="U46" s="19"/>
      <c r="V46" s="68">
        <f t="shared" si="14"/>
        <v>2</v>
      </c>
      <c r="W46" s="68">
        <f t="shared" si="14"/>
        <v>2</v>
      </c>
      <c r="X46" s="68">
        <f t="shared" si="14"/>
        <v>2</v>
      </c>
      <c r="Y46" s="68">
        <f t="shared" si="13"/>
        <v>2</v>
      </c>
      <c r="Z46" s="68">
        <f t="shared" si="13"/>
        <v>2</v>
      </c>
      <c r="AA46" s="68">
        <f t="shared" si="13"/>
        <v>2</v>
      </c>
      <c r="AB46" s="68">
        <f t="shared" si="13"/>
        <v>2</v>
      </c>
      <c r="AC46" s="68">
        <f t="shared" si="13"/>
        <v>2</v>
      </c>
      <c r="AD46" s="68">
        <f t="shared" si="13"/>
        <v>2</v>
      </c>
      <c r="AE46" s="68">
        <f t="shared" si="13"/>
        <v>2</v>
      </c>
      <c r="AF46" s="68">
        <f t="shared" si="13"/>
        <v>0</v>
      </c>
      <c r="AG46" s="68">
        <f t="shared" si="13"/>
        <v>0</v>
      </c>
      <c r="AH46" s="68">
        <f t="shared" si="4"/>
        <v>2</v>
      </c>
      <c r="AI46" s="49"/>
      <c r="AJ46" s="76"/>
      <c r="AK46" s="43"/>
      <c r="AN46" s="58"/>
      <c r="AO46" s="59"/>
      <c r="AR46" s="77"/>
      <c r="AS46" s="8"/>
      <c r="AT46" s="78">
        <v>0.56000000000000005</v>
      </c>
      <c r="AU46" s="79">
        <f t="shared" ca="1" si="6"/>
        <v>0.63171266654780378</v>
      </c>
      <c r="AV46" s="80">
        <f t="shared" ca="1" si="10"/>
        <v>12.634253330956076</v>
      </c>
      <c r="AW46" s="80">
        <f t="shared" ca="1" si="7"/>
        <v>1.4342533309560732</v>
      </c>
      <c r="AX46" s="81"/>
      <c r="AY46" s="90"/>
      <c r="AZ46" s="102" t="s">
        <v>128</v>
      </c>
      <c r="BA46" s="103">
        <f ca="1">+BA10-SUM(BA13:BA43)</f>
        <v>0.46956395916640759</v>
      </c>
      <c r="BB46" s="95"/>
      <c r="BD46" s="512">
        <f t="shared" ca="1" si="8"/>
        <v>4.8357272115136692E-2</v>
      </c>
      <c r="BE46" s="499">
        <f t="shared" ca="1" si="9"/>
        <v>12.682610603071213</v>
      </c>
    </row>
    <row r="47" spans="1:57" s="5" customFormat="1" ht="12" customHeight="1" thickBot="1">
      <c r="A47" s="5" t="str">
        <f t="shared" si="1"/>
        <v>PA-JROLLW-RESI</v>
      </c>
      <c r="B47" s="48" t="s">
        <v>129</v>
      </c>
      <c r="C47" s="48" t="s">
        <v>130</v>
      </c>
      <c r="D47" s="73">
        <v>2.4249999999999998</v>
      </c>
      <c r="E47" s="74">
        <v>31</v>
      </c>
      <c r="F47" s="67"/>
      <c r="G47" s="68">
        <v>9.6999999999999993</v>
      </c>
      <c r="H47" s="68">
        <v>12.12</v>
      </c>
      <c r="I47" s="68">
        <v>12.129999999999999</v>
      </c>
      <c r="J47" s="68">
        <v>12.12</v>
      </c>
      <c r="K47" s="68">
        <v>10.91</v>
      </c>
      <c r="L47" s="68">
        <v>10.91</v>
      </c>
      <c r="M47" s="68">
        <v>9.6999999999999993</v>
      </c>
      <c r="N47" s="68">
        <v>9.6999999999999993</v>
      </c>
      <c r="O47" s="68">
        <v>9.6999999999999993</v>
      </c>
      <c r="P47" s="68">
        <v>-105.98</v>
      </c>
      <c r="Q47" s="68">
        <v>7.2799999999999994</v>
      </c>
      <c r="R47" s="68">
        <v>7.27</v>
      </c>
      <c r="S47" s="68">
        <f t="shared" si="2"/>
        <v>5.5600000000000041</v>
      </c>
      <c r="T47" s="19">
        <v>32001</v>
      </c>
      <c r="U47" s="19"/>
      <c r="V47" s="68">
        <f t="shared" si="14"/>
        <v>4</v>
      </c>
      <c r="W47" s="68">
        <f t="shared" si="14"/>
        <v>4.9979381443298969</v>
      </c>
      <c r="X47" s="68">
        <f t="shared" si="14"/>
        <v>5.0020618556701031</v>
      </c>
      <c r="Y47" s="68">
        <f t="shared" si="13"/>
        <v>4.9979381443298969</v>
      </c>
      <c r="Z47" s="68">
        <f t="shared" si="13"/>
        <v>4.4989690721649485</v>
      </c>
      <c r="AA47" s="68">
        <f t="shared" si="13"/>
        <v>4.4989690721649485</v>
      </c>
      <c r="AB47" s="68">
        <f t="shared" si="13"/>
        <v>4</v>
      </c>
      <c r="AC47" s="68">
        <f t="shared" si="13"/>
        <v>4</v>
      </c>
      <c r="AD47" s="68">
        <f t="shared" si="13"/>
        <v>4</v>
      </c>
      <c r="AE47" s="68">
        <f t="shared" si="13"/>
        <v>-43.703092783505163</v>
      </c>
      <c r="AF47" s="68">
        <f t="shared" si="13"/>
        <v>3.0020618556701031</v>
      </c>
      <c r="AG47" s="68">
        <f t="shared" si="13"/>
        <v>2.9979381443298969</v>
      </c>
      <c r="AH47" s="68">
        <f t="shared" si="4"/>
        <v>4.1814432989690715</v>
      </c>
      <c r="AI47" s="49"/>
      <c r="AJ47" s="76"/>
      <c r="AK47" s="43"/>
      <c r="AN47" s="58"/>
      <c r="AO47" s="59"/>
      <c r="AR47" s="77"/>
      <c r="AS47" s="8"/>
      <c r="AT47" s="104">
        <v>2.4300000000000002</v>
      </c>
      <c r="AU47" s="79">
        <f t="shared" ca="1" si="6"/>
        <v>2.7411817494842197</v>
      </c>
      <c r="AV47" s="80">
        <f t="shared" ca="1" si="10"/>
        <v>6.2849362998483329</v>
      </c>
      <c r="AW47" s="80">
        <f t="shared" ca="1" si="7"/>
        <v>0.72493629984832886</v>
      </c>
      <c r="AX47" s="81"/>
      <c r="AY47" s="105"/>
      <c r="AZ47" s="106"/>
      <c r="BA47" s="106"/>
      <c r="BB47" s="107"/>
      <c r="BD47" s="512">
        <f t="shared" ca="1" si="8"/>
        <v>2.4055428280308776E-2</v>
      </c>
      <c r="BE47" s="499">
        <f t="shared" ca="1" si="9"/>
        <v>6.3089917281286416</v>
      </c>
    </row>
    <row r="48" spans="1:57" s="5" customFormat="1" ht="12" customHeight="1">
      <c r="A48" s="5" t="str">
        <f t="shared" si="1"/>
        <v>PA-JOC-RES</v>
      </c>
      <c r="B48" s="48" t="s">
        <v>131</v>
      </c>
      <c r="C48" s="48" t="s">
        <v>132</v>
      </c>
      <c r="D48" s="73">
        <v>8.4</v>
      </c>
      <c r="E48" s="74" t="s">
        <v>59</v>
      </c>
      <c r="F48" s="67"/>
      <c r="G48" s="68">
        <v>8.4</v>
      </c>
      <c r="H48" s="68">
        <v>25.200000000000003</v>
      </c>
      <c r="I48" s="68">
        <v>4.2</v>
      </c>
      <c r="J48" s="68">
        <v>12.600000000000001</v>
      </c>
      <c r="K48" s="68">
        <v>0</v>
      </c>
      <c r="L48" s="68">
        <v>16.8</v>
      </c>
      <c r="M48" s="68">
        <v>4.2</v>
      </c>
      <c r="N48" s="68">
        <v>12.600000000000001</v>
      </c>
      <c r="O48" s="68">
        <v>4.2</v>
      </c>
      <c r="P48" s="68">
        <v>21</v>
      </c>
      <c r="Q48" s="68">
        <v>4.2</v>
      </c>
      <c r="R48" s="68">
        <v>12.600000000000001</v>
      </c>
      <c r="S48" s="68">
        <f t="shared" si="2"/>
        <v>126</v>
      </c>
      <c r="T48" s="19">
        <v>32000</v>
      </c>
      <c r="U48" s="19"/>
      <c r="V48" s="68">
        <f t="shared" si="14"/>
        <v>1</v>
      </c>
      <c r="W48" s="68">
        <f t="shared" si="14"/>
        <v>3</v>
      </c>
      <c r="X48" s="68">
        <f t="shared" si="14"/>
        <v>0.5</v>
      </c>
      <c r="Y48" s="68">
        <f t="shared" si="13"/>
        <v>1.5</v>
      </c>
      <c r="Z48" s="68">
        <f t="shared" si="13"/>
        <v>0</v>
      </c>
      <c r="AA48" s="68">
        <f t="shared" si="13"/>
        <v>2</v>
      </c>
      <c r="AB48" s="68">
        <f t="shared" si="13"/>
        <v>0.5</v>
      </c>
      <c r="AC48" s="68">
        <f t="shared" si="13"/>
        <v>1.5</v>
      </c>
      <c r="AD48" s="68">
        <f t="shared" si="13"/>
        <v>0.5</v>
      </c>
      <c r="AE48" s="68">
        <f t="shared" si="13"/>
        <v>2.5</v>
      </c>
      <c r="AF48" s="68">
        <f t="shared" si="13"/>
        <v>0.5</v>
      </c>
      <c r="AG48" s="68">
        <f t="shared" si="13"/>
        <v>1.5</v>
      </c>
      <c r="AH48" s="68">
        <f t="shared" si="4"/>
        <v>1.3636363636363635</v>
      </c>
      <c r="AI48" s="49"/>
      <c r="AJ48" s="76"/>
      <c r="AK48" s="43"/>
      <c r="AN48" s="58"/>
      <c r="AO48" s="59"/>
      <c r="AR48" s="77"/>
      <c r="AS48" s="8"/>
      <c r="AT48" s="78">
        <v>8.4600000000000009</v>
      </c>
      <c r="AU48" s="79">
        <f t="shared" ca="1" si="6"/>
        <v>9.5433734982043212</v>
      </c>
      <c r="AV48" s="80">
        <f t="shared" ca="1" si="10"/>
        <v>143.15060247306479</v>
      </c>
      <c r="AW48" s="80">
        <f t="shared" ca="1" si="7"/>
        <v>17.150602473064794</v>
      </c>
      <c r="AX48" s="81"/>
      <c r="AY48" s="19"/>
      <c r="BD48" s="512">
        <f t="shared" ca="1" si="8"/>
        <v>0.54790516351882546</v>
      </c>
      <c r="BE48" s="499">
        <f t="shared" ca="1" si="9"/>
        <v>143.69850763658363</v>
      </c>
    </row>
    <row r="49" spans="1:57" s="5" customFormat="1" ht="12" customHeight="1" thickBot="1">
      <c r="B49" s="48"/>
      <c r="C49" s="48"/>
      <c r="D49" s="108"/>
      <c r="E49" s="109"/>
      <c r="F49" s="67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19"/>
      <c r="U49" s="19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9"/>
      <c r="AI49" s="49"/>
      <c r="AJ49" s="110"/>
      <c r="AK49" s="43"/>
      <c r="AM49" s="44"/>
      <c r="AN49" s="58"/>
      <c r="AO49" s="59"/>
      <c r="AR49"/>
      <c r="AS49" s="8"/>
      <c r="AT49" s="104"/>
      <c r="AU49" s="111"/>
      <c r="AV49" s="110"/>
      <c r="AW49" s="19"/>
      <c r="AX49" s="19"/>
      <c r="AY49" s="19"/>
      <c r="BD49" s="503"/>
      <c r="BE49" s="503"/>
    </row>
    <row r="50" spans="1:57" s="3" customFormat="1" ht="12" customHeight="1" thickBot="1">
      <c r="B50" s="45"/>
      <c r="C50" s="112" t="s">
        <v>133</v>
      </c>
      <c r="D50" s="112"/>
      <c r="E50" s="113"/>
      <c r="F50" s="114"/>
      <c r="G50" s="115">
        <f t="shared" ref="G50:R50" si="15">SUM(G13:G49)</f>
        <v>107927.08999999997</v>
      </c>
      <c r="H50" s="115">
        <f t="shared" si="15"/>
        <v>110948.16999999998</v>
      </c>
      <c r="I50" s="115">
        <f t="shared" si="15"/>
        <v>107638.67</v>
      </c>
      <c r="J50" s="115">
        <f t="shared" si="15"/>
        <v>110222.11999999998</v>
      </c>
      <c r="K50" s="115">
        <f t="shared" si="15"/>
        <v>106926.78</v>
      </c>
      <c r="L50" s="115">
        <f t="shared" si="15"/>
        <v>109958.15000000001</v>
      </c>
      <c r="M50" s="115">
        <f t="shared" si="15"/>
        <v>106824.59</v>
      </c>
      <c r="N50" s="115">
        <f t="shared" si="15"/>
        <v>110496.31</v>
      </c>
      <c r="O50" s="115">
        <f t="shared" si="15"/>
        <v>109786.35999999999</v>
      </c>
      <c r="P50" s="115">
        <f t="shared" si="15"/>
        <v>115159.99000000002</v>
      </c>
      <c r="Q50" s="115">
        <f t="shared" si="15"/>
        <v>112733.83999999998</v>
      </c>
      <c r="R50" s="115">
        <f t="shared" si="15"/>
        <v>115951.53</v>
      </c>
      <c r="S50" s="115">
        <f>SUM(G50:R50)</f>
        <v>1324573.6000000001</v>
      </c>
      <c r="T50" s="45"/>
      <c r="U50" s="45"/>
      <c r="V50" s="116">
        <f t="shared" ref="V50:AH50" si="16">SUM(V43,V26:V34,V13:V18)</f>
        <v>4439.3703222339282</v>
      </c>
      <c r="W50" s="116">
        <f t="shared" si="16"/>
        <v>4499.8142265153128</v>
      </c>
      <c r="X50" s="116">
        <f t="shared" si="16"/>
        <v>4426.3978363828273</v>
      </c>
      <c r="Y50" s="116">
        <f t="shared" si="16"/>
        <v>4473.6044311950072</v>
      </c>
      <c r="Z50" s="116">
        <f t="shared" si="16"/>
        <v>4401.2468518318838</v>
      </c>
      <c r="AA50" s="116">
        <f t="shared" si="16"/>
        <v>4443.443504432832</v>
      </c>
      <c r="AB50" s="116">
        <f t="shared" si="16"/>
        <v>4389.8722504294219</v>
      </c>
      <c r="AC50" s="116">
        <f t="shared" si="16"/>
        <v>4460.3652953505807</v>
      </c>
      <c r="AD50" s="116">
        <f t="shared" si="16"/>
        <v>4482.246769897677</v>
      </c>
      <c r="AE50" s="116">
        <f t="shared" si="16"/>
        <v>4565.0166506006444</v>
      </c>
      <c r="AF50" s="116">
        <f t="shared" si="16"/>
        <v>4571.7901191293704</v>
      </c>
      <c r="AG50" s="116">
        <f t="shared" si="16"/>
        <v>4645.960677059712</v>
      </c>
      <c r="AH50" s="116">
        <f t="shared" si="16"/>
        <v>4484.0295078241843</v>
      </c>
      <c r="AI50" s="49"/>
      <c r="AJ50" s="117"/>
      <c r="AK50" s="43"/>
      <c r="AL50" s="5"/>
      <c r="AM50" s="118">
        <f>SUM(AM12:AM49)</f>
        <v>4463.2821235389665</v>
      </c>
      <c r="AN50"/>
      <c r="AO50" s="118">
        <f>SUM(AO12:AO49)</f>
        <v>0</v>
      </c>
      <c r="AP50"/>
      <c r="AQ50" s="118">
        <f>SUM(AQ12:AQ49)</f>
        <v>0</v>
      </c>
      <c r="AR50"/>
      <c r="AS50" s="8"/>
      <c r="AT50" s="104"/>
      <c r="AU50" s="111"/>
      <c r="AV50" s="119">
        <f ca="1">SUM(AV12:OFFSET(AV50,-1,0))</f>
        <v>1509260.7485940659</v>
      </c>
      <c r="AW50" s="119">
        <f ca="1">SUM(AW12:OFFSET(AW50,-1,0))</f>
        <v>184687.14859406563</v>
      </c>
      <c r="AX50" s="120">
        <f ca="1">+AW50/S50</f>
        <v>0.1394313978430988</v>
      </c>
      <c r="AY50" s="19"/>
      <c r="AZ50" s="5"/>
      <c r="BA50" s="5"/>
      <c r="BB50" s="5"/>
      <c r="BC50" s="5"/>
      <c r="BD50" s="510">
        <f ca="1">SUM(BD12:OFFSET(BD50,-1,0))</f>
        <v>5776.6557944216247</v>
      </c>
      <c r="BE50" s="510">
        <f ca="1">SUM(BE12:OFFSET(BE50,-1,0))</f>
        <v>1515037.4043884866</v>
      </c>
    </row>
    <row r="51" spans="1:57" s="3" customFormat="1" ht="12" customHeight="1">
      <c r="B51" s="51"/>
      <c r="C51" s="121"/>
      <c r="D51" s="112"/>
      <c r="E51" s="122"/>
      <c r="F51" s="114"/>
      <c r="G51" s="123"/>
      <c r="H51" s="123" t="str">
        <f>IF(F51="","",(#REF!/F51)+(#REF!/#REF!))</f>
        <v/>
      </c>
      <c r="I51" s="123" t="str">
        <f>IF(F51="","",H51/12)</f>
        <v/>
      </c>
      <c r="J51" s="123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9"/>
      <c r="AI51" s="49"/>
      <c r="AJ51" s="117"/>
      <c r="AK51" s="43"/>
      <c r="AL51" s="5"/>
      <c r="AM51" s="5"/>
      <c r="AN51" s="58"/>
      <c r="AO51" s="59"/>
      <c r="AP51" s="5"/>
      <c r="AQ51" s="5"/>
      <c r="AR51"/>
      <c r="AS51" s="8"/>
      <c r="AT51" s="104"/>
      <c r="AU51" s="124"/>
      <c r="AX51" s="45"/>
      <c r="AY51" s="19"/>
      <c r="AZ51" s="5"/>
      <c r="BA51" s="5"/>
      <c r="BB51" s="5"/>
      <c r="BD51" s="504"/>
      <c r="BE51" s="504"/>
    </row>
    <row r="52" spans="1:57" s="5" customFormat="1" ht="12" customHeight="1">
      <c r="B52" s="64" t="s">
        <v>134</v>
      </c>
      <c r="C52" s="64" t="s">
        <v>134</v>
      </c>
      <c r="D52" s="65"/>
      <c r="E52" s="66"/>
      <c r="F52" s="67"/>
      <c r="G52" s="125"/>
      <c r="H52" s="68" t="str">
        <f>IF(F52="","",(#REF!/F52)+(#REF!/#REF!))</f>
        <v/>
      </c>
      <c r="I52" s="68" t="str">
        <f>IF(F52="","",H52/12)</f>
        <v/>
      </c>
      <c r="J52" s="125"/>
      <c r="K52" s="8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9"/>
      <c r="AI52" s="49"/>
      <c r="AJ52" s="110"/>
      <c r="AK52" s="43"/>
      <c r="AN52" s="58"/>
      <c r="AO52" s="59"/>
      <c r="AR52"/>
      <c r="AS52" s="8"/>
      <c r="AT52" s="104"/>
      <c r="AU52" s="111"/>
      <c r="AV52" s="117"/>
      <c r="AW52" s="45"/>
      <c r="AX52" s="45"/>
      <c r="AY52" s="19"/>
      <c r="BC52" s="3"/>
      <c r="BD52" s="504"/>
      <c r="BE52" s="503"/>
    </row>
    <row r="53" spans="1:57" s="19" customFormat="1" ht="12" customHeight="1">
      <c r="A53" s="71" t="str">
        <f>"PA-J"&amp;B53</f>
        <v>PA-Jrecyonlypre</v>
      </c>
      <c r="B53" s="72" t="s">
        <v>135</v>
      </c>
      <c r="C53" s="72" t="s">
        <v>136</v>
      </c>
      <c r="D53" s="73">
        <v>10.87</v>
      </c>
      <c r="E53" s="74">
        <v>21</v>
      </c>
      <c r="F53" s="67"/>
      <c r="G53" s="75">
        <v>92.39</v>
      </c>
      <c r="H53" s="75">
        <v>97.82</v>
      </c>
      <c r="I53" s="75">
        <v>116.85</v>
      </c>
      <c r="J53" s="75">
        <v>127.72</v>
      </c>
      <c r="K53" s="75">
        <v>116.85</v>
      </c>
      <c r="L53" s="75">
        <v>122.28</v>
      </c>
      <c r="M53" s="75">
        <v>116.85</v>
      </c>
      <c r="N53" s="75">
        <v>127.72</v>
      </c>
      <c r="O53" s="75">
        <v>119.57</v>
      </c>
      <c r="P53" s="75">
        <v>130.44</v>
      </c>
      <c r="Q53" s="75">
        <v>133.16</v>
      </c>
      <c r="R53" s="75">
        <v>138.58000000000001</v>
      </c>
      <c r="S53" s="75">
        <f>SUM(G53:R53)</f>
        <v>1440.23</v>
      </c>
      <c r="T53" s="71">
        <v>32100</v>
      </c>
      <c r="V53" s="75">
        <f t="shared" ref="V53:AG54" si="17">IFERROR(G53/$D53,0)</f>
        <v>8.499540018399264</v>
      </c>
      <c r="W53" s="75">
        <f t="shared" si="17"/>
        <v>8.999080036798528</v>
      </c>
      <c r="X53" s="75">
        <f t="shared" si="17"/>
        <v>10.749770009199633</v>
      </c>
      <c r="Y53" s="75">
        <f t="shared" si="17"/>
        <v>11.749770009199633</v>
      </c>
      <c r="Z53" s="75">
        <f t="shared" si="17"/>
        <v>10.749770009199633</v>
      </c>
      <c r="AA53" s="75">
        <f t="shared" si="17"/>
        <v>11.249310027598897</v>
      </c>
      <c r="AB53" s="75">
        <f t="shared" si="17"/>
        <v>10.749770009199633</v>
      </c>
      <c r="AC53" s="75">
        <f t="shared" si="17"/>
        <v>11.749770009199633</v>
      </c>
      <c r="AD53" s="75">
        <f t="shared" si="17"/>
        <v>11</v>
      </c>
      <c r="AE53" s="75">
        <f t="shared" si="17"/>
        <v>12</v>
      </c>
      <c r="AF53" s="75">
        <f t="shared" si="17"/>
        <v>12.250229990800369</v>
      </c>
      <c r="AG53" s="75">
        <f t="shared" si="17"/>
        <v>12.748850045998163</v>
      </c>
      <c r="AH53" s="75">
        <f>IFERROR(AVERAGEIF(V53:AG53,"&gt;0"),0)</f>
        <v>11.041321680466114</v>
      </c>
      <c r="AI53" s="49"/>
      <c r="AK53" s="43" t="s">
        <v>137</v>
      </c>
      <c r="AL53" s="5">
        <v>1</v>
      </c>
      <c r="AM53" s="44">
        <f>+AH53*AL53</f>
        <v>11.041321680466114</v>
      </c>
      <c r="AN53" s="58"/>
      <c r="AO53" s="59"/>
      <c r="AP53" s="5"/>
      <c r="AQ53" s="5"/>
      <c r="AR53"/>
      <c r="AS53" s="8"/>
      <c r="AT53" s="78">
        <v>10.87</v>
      </c>
      <c r="AU53" s="79">
        <f ca="1">+AT53*(1+$BA$2)</f>
        <v>12.261994081026117</v>
      </c>
      <c r="AV53" s="80">
        <f t="shared" ref="AV53:AV54" ca="1" si="18">+AU53*AVERAGE(V53:AG53)*12</f>
        <v>1624.6634531109698</v>
      </c>
      <c r="AW53" s="80">
        <f ca="1">+AV53-S53</f>
        <v>184.43345311096982</v>
      </c>
      <c r="AY53" s="45"/>
      <c r="AZ53" s="3"/>
      <c r="BA53" s="3"/>
      <c r="BB53" s="3"/>
      <c r="BC53" s="5"/>
      <c r="BD53" s="512">
        <f ca="1">+BE$2*AV53</f>
        <v>6.2183566087842221</v>
      </c>
      <c r="BE53" s="499">
        <f ca="1">+BD53+AV53</f>
        <v>1630.8818097197541</v>
      </c>
    </row>
    <row r="54" spans="1:57" s="19" customFormat="1" ht="12" customHeight="1">
      <c r="A54" s="71" t="str">
        <f>"PA-J"&amp;B54</f>
        <v>PA-Jrecyrpre</v>
      </c>
      <c r="B54" s="72" t="s">
        <v>138</v>
      </c>
      <c r="C54" s="72" t="s">
        <v>139</v>
      </c>
      <c r="D54" s="73">
        <v>9.5399999999999991</v>
      </c>
      <c r="E54" s="74">
        <v>21</v>
      </c>
      <c r="F54" s="67"/>
      <c r="G54" s="75">
        <v>7052.45</v>
      </c>
      <c r="H54" s="75">
        <v>7300.48</v>
      </c>
      <c r="I54" s="75">
        <v>7224.17</v>
      </c>
      <c r="J54" s="75">
        <v>7262.32</v>
      </c>
      <c r="K54" s="75">
        <v>7295.71</v>
      </c>
      <c r="L54" s="75">
        <v>7419.74</v>
      </c>
      <c r="M54" s="75">
        <v>7341.04</v>
      </c>
      <c r="N54" s="75">
        <v>7536.61</v>
      </c>
      <c r="O54" s="75">
        <v>7436.43</v>
      </c>
      <c r="P54" s="75">
        <v>7593.84</v>
      </c>
      <c r="Q54" s="75">
        <v>7777.4800000000005</v>
      </c>
      <c r="R54" s="75">
        <v>7992.14</v>
      </c>
      <c r="S54" s="75">
        <f>SUM(G54:R54)</f>
        <v>89232.409999999989</v>
      </c>
      <c r="T54" s="71">
        <v>32100</v>
      </c>
      <c r="V54" s="75">
        <f t="shared" si="17"/>
        <v>739.25052410901469</v>
      </c>
      <c r="W54" s="75">
        <f t="shared" si="17"/>
        <v>765.24947589098531</v>
      </c>
      <c r="X54" s="75">
        <f t="shared" si="17"/>
        <v>757.2505241090148</v>
      </c>
      <c r="Y54" s="75">
        <f t="shared" si="17"/>
        <v>761.24947589098531</v>
      </c>
      <c r="Z54" s="75">
        <f t="shared" si="17"/>
        <v>764.74947589098542</v>
      </c>
      <c r="AA54" s="75">
        <f t="shared" si="17"/>
        <v>777.75052410901469</v>
      </c>
      <c r="AB54" s="75">
        <f t="shared" si="17"/>
        <v>769.50104821802938</v>
      </c>
      <c r="AC54" s="75">
        <f t="shared" si="17"/>
        <v>790.00104821802938</v>
      </c>
      <c r="AD54" s="75">
        <f t="shared" si="17"/>
        <v>779.50000000000011</v>
      </c>
      <c r="AE54" s="75">
        <f t="shared" si="17"/>
        <v>796.00000000000011</v>
      </c>
      <c r="AF54" s="75">
        <f t="shared" si="17"/>
        <v>815.24947589098542</v>
      </c>
      <c r="AG54" s="75">
        <f t="shared" si="17"/>
        <v>837.7505241090148</v>
      </c>
      <c r="AH54" s="75">
        <f>IFERROR(AVERAGEIF(V54:AG54,"&gt;0"),0)</f>
        <v>779.45850803633823</v>
      </c>
      <c r="AI54" s="49"/>
      <c r="AK54" s="43" t="s">
        <v>137</v>
      </c>
      <c r="AL54" s="5">
        <v>1</v>
      </c>
      <c r="AM54" s="44">
        <f>+AH54*AL54</f>
        <v>779.45850803633823</v>
      </c>
      <c r="AN54" s="58"/>
      <c r="AO54" s="59"/>
      <c r="AP54" s="5"/>
      <c r="AQ54" s="5"/>
      <c r="AR54"/>
      <c r="AS54" s="8"/>
      <c r="AT54" s="78">
        <v>9.5399999999999991</v>
      </c>
      <c r="AU54" s="79">
        <f ca="1">+AT54*(1+$BA$2)</f>
        <v>10.761676497975083</v>
      </c>
      <c r="AV54" s="80">
        <f t="shared" ca="1" si="18"/>
        <v>100659.36368497662</v>
      </c>
      <c r="AW54" s="80">
        <f ca="1">+AV54-S54</f>
        <v>11426.95368497663</v>
      </c>
      <c r="AX54" s="81"/>
      <c r="AY54" s="45"/>
      <c r="AZ54" s="3"/>
      <c r="BA54" s="3"/>
      <c r="BB54" s="3"/>
      <c r="BD54" s="512">
        <f ca="1">+BE$2*AV54</f>
        <v>385.27106534459318</v>
      </c>
      <c r="BE54" s="499">
        <f ca="1">+BD54+AV54</f>
        <v>101044.63475032122</v>
      </c>
    </row>
    <row r="55" spans="1:57" s="5" customFormat="1" ht="12" customHeight="1" thickBot="1">
      <c r="B55" s="48"/>
      <c r="C55" s="48"/>
      <c r="D55" s="108"/>
      <c r="E55" s="109"/>
      <c r="F55" s="67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19"/>
      <c r="U55" s="19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9"/>
      <c r="AI55" s="49"/>
      <c r="AJ55" s="110"/>
      <c r="AK55" s="43"/>
      <c r="AN55" s="58"/>
      <c r="AO55" s="59"/>
      <c r="AR55"/>
      <c r="AS55" s="8"/>
      <c r="AT55" s="104">
        <v>0</v>
      </c>
      <c r="AU55" s="79">
        <f>+AT55*(1+BA48)</f>
        <v>0</v>
      </c>
      <c r="AV55" s="80">
        <f>+AU55*SUM(V55:AG55)</f>
        <v>0</v>
      </c>
      <c r="AW55" s="80">
        <f>+AV55-S55</f>
        <v>0</v>
      </c>
      <c r="AX55" s="81"/>
      <c r="AY55" s="19"/>
      <c r="BC55" s="19"/>
      <c r="BD55" s="510">
        <f ca="1">SUM(BD52:OFFSET(BD55,-1,0))</f>
        <v>391.48942195337742</v>
      </c>
      <c r="BE55" s="510">
        <f ca="1">SUM(BE52:OFFSET(BE55,-1,0))</f>
        <v>102675.51656004097</v>
      </c>
    </row>
    <row r="56" spans="1:57" s="3" customFormat="1" ht="12" customHeight="1" thickBot="1">
      <c r="B56" s="45"/>
      <c r="C56" s="112" t="s">
        <v>140</v>
      </c>
      <c r="D56" s="112"/>
      <c r="E56" s="113"/>
      <c r="F56" s="114"/>
      <c r="G56" s="115">
        <f t="shared" ref="G56:R56" si="19">SUM(G53:G55)</f>
        <v>7144.84</v>
      </c>
      <c r="H56" s="115">
        <f t="shared" si="19"/>
        <v>7398.2999999999993</v>
      </c>
      <c r="I56" s="115">
        <f t="shared" si="19"/>
        <v>7341.02</v>
      </c>
      <c r="J56" s="115">
        <f t="shared" si="19"/>
        <v>7390.04</v>
      </c>
      <c r="K56" s="115">
        <f t="shared" si="19"/>
        <v>7412.56</v>
      </c>
      <c r="L56" s="115">
        <f t="shared" si="19"/>
        <v>7542.0199999999995</v>
      </c>
      <c r="M56" s="115">
        <f t="shared" si="19"/>
        <v>7457.89</v>
      </c>
      <c r="N56" s="115">
        <f t="shared" si="19"/>
        <v>7664.33</v>
      </c>
      <c r="O56" s="115">
        <f t="shared" si="19"/>
        <v>7556</v>
      </c>
      <c r="P56" s="115">
        <f t="shared" si="19"/>
        <v>7724.28</v>
      </c>
      <c r="Q56" s="115">
        <f t="shared" si="19"/>
        <v>7910.64</v>
      </c>
      <c r="R56" s="115">
        <f t="shared" si="19"/>
        <v>8130.72</v>
      </c>
      <c r="S56" s="115">
        <f>SUM(G56:R56)</f>
        <v>90672.639999999999</v>
      </c>
      <c r="T56" s="45"/>
      <c r="U56" s="45"/>
      <c r="V56" s="116">
        <f t="shared" ref="V56:AH56" si="20">SUM(V53:V54)</f>
        <v>747.75006412741391</v>
      </c>
      <c r="W56" s="116">
        <f t="shared" si="20"/>
        <v>774.24855592778385</v>
      </c>
      <c r="X56" s="116">
        <f t="shared" si="20"/>
        <v>768.00029411821447</v>
      </c>
      <c r="Y56" s="116">
        <f t="shared" si="20"/>
        <v>772.99924590018497</v>
      </c>
      <c r="Z56" s="116">
        <f t="shared" si="20"/>
        <v>775.49924590018509</v>
      </c>
      <c r="AA56" s="116">
        <f t="shared" si="20"/>
        <v>788.99983413661357</v>
      </c>
      <c r="AB56" s="116">
        <f t="shared" si="20"/>
        <v>780.25081822722905</v>
      </c>
      <c r="AC56" s="116">
        <f t="shared" si="20"/>
        <v>801.75081822722905</v>
      </c>
      <c r="AD56" s="116">
        <f t="shared" si="20"/>
        <v>790.50000000000011</v>
      </c>
      <c r="AE56" s="116">
        <f t="shared" si="20"/>
        <v>808.00000000000011</v>
      </c>
      <c r="AF56" s="116">
        <f t="shared" si="20"/>
        <v>827.49970588178576</v>
      </c>
      <c r="AG56" s="116">
        <f t="shared" si="20"/>
        <v>850.49937415501302</v>
      </c>
      <c r="AH56" s="116">
        <f t="shared" si="20"/>
        <v>790.49982971680436</v>
      </c>
      <c r="AI56" s="49"/>
      <c r="AJ56" s="117"/>
      <c r="AK56" s="43"/>
      <c r="AL56" s="5"/>
      <c r="AM56" s="118">
        <f>SUM(AM53:AM55)</f>
        <v>790.49982971680436</v>
      </c>
      <c r="AN56"/>
      <c r="AO56" s="118">
        <f>SUM(AO53:AO55)</f>
        <v>0</v>
      </c>
      <c r="AP56"/>
      <c r="AQ56" s="118">
        <f>SUM(AQ53:AQ55)</f>
        <v>0</v>
      </c>
      <c r="AR56"/>
      <c r="AS56" s="8"/>
      <c r="AT56" s="104"/>
      <c r="AU56" s="111"/>
      <c r="AV56" s="119">
        <f ca="1">SUM(AV53:OFFSET(AV56,-1,0))</f>
        <v>102284.02713808759</v>
      </c>
      <c r="AW56" s="119">
        <f ca="1">SUM(AW53:OFFSET(AW56,-1,0))</f>
        <v>11611.387138087601</v>
      </c>
      <c r="AX56" s="120">
        <f ca="1">+AW56/S56</f>
        <v>0.1280583331210782</v>
      </c>
      <c r="AY56" s="19"/>
      <c r="AZ56" s="19"/>
      <c r="BA56" s="19"/>
      <c r="BB56" s="19"/>
      <c r="BC56" s="5"/>
      <c r="BD56" s="503"/>
      <c r="BE56" s="504"/>
    </row>
    <row r="57" spans="1:57" s="5" customFormat="1" ht="12" customHeight="1">
      <c r="B57" s="19"/>
      <c r="C57" s="126"/>
      <c r="D57" s="112"/>
      <c r="E57" s="113"/>
      <c r="F57" s="67"/>
      <c r="G57" s="125"/>
      <c r="H57" s="68" t="str">
        <f>IF(F57="","",(#REF!/F57)+(#REF!/#REF!))</f>
        <v/>
      </c>
      <c r="I57" s="68" t="str">
        <f>IF(F57="","",H57/12)</f>
        <v/>
      </c>
      <c r="J57" s="125"/>
      <c r="K57" s="8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27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49"/>
      <c r="AJ57" s="110"/>
      <c r="AK57" s="43"/>
      <c r="AN57" s="58"/>
      <c r="AO57" s="59"/>
      <c r="AR57"/>
      <c r="AS57" s="8"/>
      <c r="AT57" s="104"/>
      <c r="AU57" s="129"/>
      <c r="AX57" s="45"/>
      <c r="AY57" s="19"/>
      <c r="AZ57" s="19"/>
      <c r="BA57" s="19"/>
      <c r="BB57" s="19"/>
      <c r="BC57" s="3"/>
      <c r="BD57" s="504"/>
      <c r="BE57" s="503"/>
    </row>
    <row r="58" spans="1:57" s="5" customFormat="1" ht="12" customHeight="1">
      <c r="B58" s="19"/>
      <c r="C58" s="19"/>
      <c r="D58" s="45"/>
      <c r="E58" s="46"/>
      <c r="F58" s="67"/>
      <c r="G58" s="125"/>
      <c r="H58" s="68" t="str">
        <f>IF(F58="","",(#REF!/F58)+(#REF!/#REF!))</f>
        <v/>
      </c>
      <c r="I58" s="68" t="str">
        <f>IF(F58="","",H58/12)</f>
        <v/>
      </c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27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69"/>
      <c r="AI58" s="49"/>
      <c r="AJ58" s="110"/>
      <c r="AK58" s="43"/>
      <c r="AN58" s="58"/>
      <c r="AO58" s="59"/>
      <c r="AR58"/>
      <c r="AS58" s="8"/>
      <c r="AT58" s="104"/>
      <c r="AU58" s="111"/>
      <c r="AV58" s="110"/>
      <c r="AW58" s="19"/>
      <c r="AX58" s="19"/>
      <c r="AY58" s="19"/>
      <c r="BD58" s="503"/>
      <c r="BE58" s="503"/>
    </row>
    <row r="59" spans="1:57" ht="12" customHeight="1">
      <c r="B59" s="50" t="s">
        <v>141</v>
      </c>
      <c r="C59" s="50" t="s">
        <v>141</v>
      </c>
      <c r="D59" s="51"/>
      <c r="E59" s="52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19"/>
      <c r="U59" s="48"/>
      <c r="V59" s="69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30"/>
      <c r="AI59" s="49"/>
      <c r="AJ59" s="110"/>
      <c r="AK59" s="43"/>
      <c r="AL59" s="5"/>
      <c r="AM59" s="5"/>
      <c r="AN59" s="58"/>
      <c r="AO59" s="59"/>
      <c r="AP59" s="5"/>
      <c r="AQ59" s="5"/>
      <c r="AT59" s="104"/>
      <c r="AU59" s="111"/>
      <c r="AV59" s="110"/>
      <c r="AW59" s="19"/>
      <c r="AX59" s="19"/>
      <c r="AY59" s="45"/>
      <c r="AZ59" s="3"/>
      <c r="BA59" s="3"/>
      <c r="BB59" s="3"/>
      <c r="BC59" s="5"/>
      <c r="BD59" s="503"/>
    </row>
    <row r="60" spans="1:57" ht="12" customHeight="1">
      <c r="B60" s="50"/>
      <c r="C60" s="50"/>
      <c r="D60" s="51"/>
      <c r="E60" s="52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19"/>
      <c r="U60" s="48"/>
      <c r="V60" s="69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69"/>
      <c r="AI60" s="49"/>
      <c r="AJ60" s="110"/>
      <c r="AK60" s="43"/>
      <c r="AL60" s="5"/>
      <c r="AM60" s="5"/>
      <c r="AN60" s="58"/>
      <c r="AO60" s="59"/>
      <c r="AP60" s="5"/>
      <c r="AQ60" s="5"/>
      <c r="AT60" s="104"/>
      <c r="AU60" s="111"/>
      <c r="AV60" s="110"/>
      <c r="AW60" s="48"/>
      <c r="AX60" s="48"/>
      <c r="AY60" s="19"/>
      <c r="AZ60" s="5"/>
      <c r="BA60" s="5"/>
      <c r="BB60" s="5"/>
    </row>
    <row r="61" spans="1:57" s="5" customFormat="1" ht="12" customHeight="1">
      <c r="B61" s="64" t="s">
        <v>142</v>
      </c>
      <c r="C61" s="64" t="s">
        <v>142</v>
      </c>
      <c r="D61" s="65"/>
      <c r="E61" s="66"/>
      <c r="F61" s="67"/>
      <c r="G61" s="125"/>
      <c r="H61" s="68" t="str">
        <f>IF(F61="","",(#REF!/F61)+(#REF!/#REF!))</f>
        <v/>
      </c>
      <c r="I61" s="68" t="str">
        <f>IF(F61="","",H61/12)</f>
        <v/>
      </c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27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69"/>
      <c r="AI61" s="49"/>
      <c r="AJ61" s="110"/>
      <c r="AK61" s="7"/>
      <c r="AM61" s="131"/>
      <c r="AN61"/>
      <c r="AO61" s="131"/>
      <c r="AP61"/>
      <c r="AQ61" s="131"/>
      <c r="AR61"/>
      <c r="AS61" s="8"/>
      <c r="AT61" s="104"/>
      <c r="AU61" s="111"/>
      <c r="AV61" s="110"/>
      <c r="AW61" s="48"/>
      <c r="AX61" s="48"/>
      <c r="AY61" s="19"/>
      <c r="BC61" s="1"/>
      <c r="BD61" s="502"/>
      <c r="BE61" s="503"/>
    </row>
    <row r="62" spans="1:57" s="134" customFormat="1" ht="12" customHeight="1">
      <c r="A62" s="5" t="str">
        <f t="shared" ref="A62:A123" si="21">"PA-J"&amp;B62</f>
        <v>PA-JCTIME</v>
      </c>
      <c r="B62" s="48" t="s">
        <v>143</v>
      </c>
      <c r="C62" s="48" t="s">
        <v>144</v>
      </c>
      <c r="D62" s="132">
        <v>58.06</v>
      </c>
      <c r="E62" s="74">
        <v>29</v>
      </c>
      <c r="F62" s="67"/>
      <c r="G62" s="68">
        <v>31.94</v>
      </c>
      <c r="H62" s="68">
        <v>0</v>
      </c>
      <c r="I62" s="68">
        <v>0</v>
      </c>
      <c r="J62" s="68">
        <v>0</v>
      </c>
      <c r="K62" s="68">
        <v>0</v>
      </c>
      <c r="L62" s="68">
        <v>0</v>
      </c>
      <c r="M62" s="68">
        <v>0</v>
      </c>
      <c r="N62" s="68">
        <v>0</v>
      </c>
      <c r="O62" s="68">
        <v>0</v>
      </c>
      <c r="P62" s="68">
        <v>0</v>
      </c>
      <c r="Q62" s="68">
        <v>0</v>
      </c>
      <c r="R62" s="68">
        <v>0</v>
      </c>
      <c r="S62" s="68">
        <f t="shared" ref="S62:S123" si="22">SUM(G62:R62)</f>
        <v>31.94</v>
      </c>
      <c r="T62" s="19">
        <v>33010</v>
      </c>
      <c r="U62" s="19"/>
      <c r="V62" s="127">
        <f t="shared" ref="V62:AG83" si="23">IFERROR(G62/$D62,0)</f>
        <v>0.55012056493282813</v>
      </c>
      <c r="W62" s="127">
        <f t="shared" si="23"/>
        <v>0</v>
      </c>
      <c r="X62" s="127">
        <f t="shared" si="23"/>
        <v>0</v>
      </c>
      <c r="Y62" s="127">
        <f t="shared" si="23"/>
        <v>0</v>
      </c>
      <c r="Z62" s="127">
        <f t="shared" si="23"/>
        <v>0</v>
      </c>
      <c r="AA62" s="127">
        <f t="shared" si="23"/>
        <v>0</v>
      </c>
      <c r="AB62" s="127">
        <f t="shared" si="23"/>
        <v>0</v>
      </c>
      <c r="AC62" s="127">
        <f t="shared" si="23"/>
        <v>0</v>
      </c>
      <c r="AD62" s="127">
        <f t="shared" si="23"/>
        <v>0</v>
      </c>
      <c r="AE62" s="127">
        <f t="shared" si="23"/>
        <v>0</v>
      </c>
      <c r="AF62" s="127">
        <f t="shared" si="23"/>
        <v>0</v>
      </c>
      <c r="AG62" s="127">
        <f t="shared" si="23"/>
        <v>0</v>
      </c>
      <c r="AH62" s="68">
        <f t="shared" ref="AH62:AH120" si="24">IFERROR(AVERAGEIF(V62:AG62,"&gt;0"),0)</f>
        <v>0.55012056493282813</v>
      </c>
      <c r="AI62" s="49"/>
      <c r="AJ62" s="76"/>
      <c r="AK62" s="43"/>
      <c r="AL62" s="5"/>
      <c r="AM62" s="5"/>
      <c r="AN62" s="1"/>
      <c r="AO62" s="133"/>
      <c r="AP62" s="5"/>
      <c r="AQ62" s="5"/>
      <c r="AR62"/>
      <c r="AS62" s="8"/>
      <c r="AT62" s="78">
        <v>58.06</v>
      </c>
      <c r="AU62" s="79">
        <f t="shared" ref="AU62:AU124" ca="1" si="25">+AT62*(1+$BA$2)</f>
        <v>65.4950668210098</v>
      </c>
      <c r="AV62" s="80">
        <f t="shared" ref="AV62:AV122" ca="1" si="26">+AU62*AVERAGE(V62:AG62)*12</f>
        <v>36.030183159887237</v>
      </c>
      <c r="AW62" s="80">
        <f t="shared" ref="AW62:AW124" ca="1" si="27">+AV62-S62</f>
        <v>4.0901831598872356</v>
      </c>
      <c r="AX62" s="19"/>
      <c r="AY62" s="48"/>
      <c r="AZ62" s="1"/>
      <c r="BA62" s="1"/>
      <c r="BB62" s="1"/>
      <c r="BC62" s="5"/>
      <c r="BD62" s="512">
        <f t="shared" ref="BD62:BD124" ca="1" si="28">+BE$2*AV62</f>
        <v>0.13790457779977372</v>
      </c>
      <c r="BE62" s="499">
        <f t="shared" ref="BE62:BE124" ca="1" si="29">+BD62+AV62</f>
        <v>36.16808773768701</v>
      </c>
    </row>
    <row r="63" spans="1:57" s="134" customFormat="1" ht="12" customHeight="1">
      <c r="A63" s="5" t="str">
        <f t="shared" si="21"/>
        <v>PA-JDEL1.5TEMP-COM</v>
      </c>
      <c r="B63" s="48" t="s">
        <v>145</v>
      </c>
      <c r="C63" s="48" t="s">
        <v>146</v>
      </c>
      <c r="D63" s="132">
        <v>31.65</v>
      </c>
      <c r="E63" s="74">
        <v>35</v>
      </c>
      <c r="F63" s="67"/>
      <c r="G63" s="68">
        <v>0</v>
      </c>
      <c r="H63" s="68">
        <v>0</v>
      </c>
      <c r="I63" s="68">
        <v>0</v>
      </c>
      <c r="J63" s="68">
        <v>0</v>
      </c>
      <c r="K63" s="68">
        <v>0</v>
      </c>
      <c r="L63" s="68">
        <v>0</v>
      </c>
      <c r="M63" s="68">
        <v>0</v>
      </c>
      <c r="N63" s="68">
        <v>31.65</v>
      </c>
      <c r="O63" s="68">
        <v>0</v>
      </c>
      <c r="P63" s="68">
        <v>0</v>
      </c>
      <c r="Q63" s="68">
        <v>0</v>
      </c>
      <c r="R63" s="68">
        <v>0</v>
      </c>
      <c r="S63" s="68">
        <f t="shared" si="22"/>
        <v>31.65</v>
      </c>
      <c r="T63" s="19">
        <v>33010</v>
      </c>
      <c r="U63" s="19"/>
      <c r="V63" s="127">
        <f t="shared" si="23"/>
        <v>0</v>
      </c>
      <c r="W63" s="127">
        <f t="shared" si="23"/>
        <v>0</v>
      </c>
      <c r="X63" s="127">
        <f t="shared" si="23"/>
        <v>0</v>
      </c>
      <c r="Y63" s="127">
        <f t="shared" si="23"/>
        <v>0</v>
      </c>
      <c r="Z63" s="127">
        <f t="shared" si="23"/>
        <v>0</v>
      </c>
      <c r="AA63" s="127">
        <f t="shared" si="23"/>
        <v>0</v>
      </c>
      <c r="AB63" s="127">
        <f t="shared" si="23"/>
        <v>0</v>
      </c>
      <c r="AC63" s="127">
        <f t="shared" si="23"/>
        <v>1</v>
      </c>
      <c r="AD63" s="127">
        <f t="shared" si="23"/>
        <v>0</v>
      </c>
      <c r="AE63" s="127">
        <f t="shared" si="23"/>
        <v>0</v>
      </c>
      <c r="AF63" s="127">
        <f t="shared" si="23"/>
        <v>0</v>
      </c>
      <c r="AG63" s="127">
        <f t="shared" si="23"/>
        <v>0</v>
      </c>
      <c r="AH63" s="68">
        <f t="shared" si="24"/>
        <v>1</v>
      </c>
      <c r="AI63" s="49"/>
      <c r="AJ63" s="76"/>
      <c r="AK63" s="43"/>
      <c r="AL63" s="5"/>
      <c r="AM63" s="5"/>
      <c r="AN63" s="1"/>
      <c r="AO63" s="133"/>
      <c r="AP63" s="5"/>
      <c r="AQ63" s="5"/>
      <c r="AR63"/>
      <c r="AS63" s="8"/>
      <c r="AT63" s="78">
        <v>31.65</v>
      </c>
      <c r="AU63" s="79">
        <f t="shared" ca="1" si="25"/>
        <v>35.703046243282117</v>
      </c>
      <c r="AV63" s="80">
        <f t="shared" ca="1" si="26"/>
        <v>35.703046243282117</v>
      </c>
      <c r="AW63" s="80">
        <f t="shared" ca="1" si="27"/>
        <v>4.0530462432821182</v>
      </c>
      <c r="AX63" s="81"/>
      <c r="AY63" s="48"/>
      <c r="AZ63" s="1"/>
      <c r="BA63" s="1"/>
      <c r="BB63" s="1"/>
      <c r="BD63" s="512">
        <f t="shared" ca="1" si="28"/>
        <v>0.13665246986107821</v>
      </c>
      <c r="BE63" s="499">
        <f t="shared" ca="1" si="29"/>
        <v>35.839698713143193</v>
      </c>
    </row>
    <row r="64" spans="1:57" s="134" customFormat="1" ht="12" customHeight="1">
      <c r="A64" s="5" t="str">
        <f t="shared" si="21"/>
        <v>PA-JDEL2TEMP-COM</v>
      </c>
      <c r="B64" s="48" t="s">
        <v>147</v>
      </c>
      <c r="C64" s="48" t="s">
        <v>148</v>
      </c>
      <c r="D64" s="132">
        <v>42.85</v>
      </c>
      <c r="E64" s="74">
        <v>35</v>
      </c>
      <c r="F64" s="67"/>
      <c r="G64" s="68">
        <v>171.4</v>
      </c>
      <c r="H64" s="68">
        <v>299.95</v>
      </c>
      <c r="I64" s="68">
        <v>171.4</v>
      </c>
      <c r="J64" s="68">
        <v>42.85</v>
      </c>
      <c r="K64" s="68">
        <v>128.55000000000001</v>
      </c>
      <c r="L64" s="68">
        <v>0</v>
      </c>
      <c r="M64" s="68">
        <v>85.7</v>
      </c>
      <c r="N64" s="68">
        <v>42.85</v>
      </c>
      <c r="O64" s="68">
        <v>214.25</v>
      </c>
      <c r="P64" s="68">
        <v>128.55000000000001</v>
      </c>
      <c r="Q64" s="68">
        <v>85.7</v>
      </c>
      <c r="R64" s="68">
        <v>171.4</v>
      </c>
      <c r="S64" s="68">
        <f t="shared" si="22"/>
        <v>1542.6000000000004</v>
      </c>
      <c r="T64" s="19">
        <v>33010</v>
      </c>
      <c r="U64" s="19"/>
      <c r="V64" s="127">
        <f t="shared" si="23"/>
        <v>4</v>
      </c>
      <c r="W64" s="127">
        <f t="shared" si="23"/>
        <v>6.9999999999999991</v>
      </c>
      <c r="X64" s="127">
        <f t="shared" si="23"/>
        <v>4</v>
      </c>
      <c r="Y64" s="127">
        <f t="shared" si="23"/>
        <v>1</v>
      </c>
      <c r="Z64" s="127">
        <f t="shared" si="23"/>
        <v>3</v>
      </c>
      <c r="AA64" s="127">
        <f t="shared" si="23"/>
        <v>0</v>
      </c>
      <c r="AB64" s="127">
        <f t="shared" si="23"/>
        <v>2</v>
      </c>
      <c r="AC64" s="127">
        <f t="shared" si="23"/>
        <v>1</v>
      </c>
      <c r="AD64" s="127">
        <f t="shared" si="23"/>
        <v>5</v>
      </c>
      <c r="AE64" s="127">
        <f t="shared" si="23"/>
        <v>3</v>
      </c>
      <c r="AF64" s="127">
        <f t="shared" si="23"/>
        <v>2</v>
      </c>
      <c r="AG64" s="127">
        <f t="shared" si="23"/>
        <v>4</v>
      </c>
      <c r="AH64" s="68">
        <f t="shared" si="24"/>
        <v>3.2727272727272729</v>
      </c>
      <c r="AI64" s="49"/>
      <c r="AJ64" s="76"/>
      <c r="AK64" s="43"/>
      <c r="AL64" s="5"/>
      <c r="AM64" s="5"/>
      <c r="AN64" s="1"/>
      <c r="AO64" s="133"/>
      <c r="AP64" s="5"/>
      <c r="AQ64" s="5"/>
      <c r="AR64"/>
      <c r="AS64" s="8"/>
      <c r="AT64" s="78">
        <v>42.85</v>
      </c>
      <c r="AU64" s="79">
        <f t="shared" ca="1" si="25"/>
        <v>48.337299574238195</v>
      </c>
      <c r="AV64" s="80">
        <f t="shared" ca="1" si="26"/>
        <v>1740.1427846725751</v>
      </c>
      <c r="AW64" s="80">
        <f t="shared" ca="1" si="27"/>
        <v>197.54278467257473</v>
      </c>
      <c r="AX64" s="81"/>
      <c r="AY64" s="19"/>
      <c r="AZ64" s="5"/>
      <c r="BA64" s="5"/>
      <c r="BB64" s="5"/>
      <c r="BD64" s="512">
        <f t="shared" ca="1" si="28"/>
        <v>6.660350711143737</v>
      </c>
      <c r="BE64" s="499">
        <f t="shared" ca="1" si="29"/>
        <v>1746.8031353837189</v>
      </c>
    </row>
    <row r="65" spans="1:57" s="19" customFormat="1" ht="12" customHeight="1">
      <c r="A65" s="71" t="str">
        <f t="shared" si="21"/>
        <v>PA-JF2YD1W</v>
      </c>
      <c r="B65" s="72" t="s">
        <v>149</v>
      </c>
      <c r="C65" s="72" t="s">
        <v>150</v>
      </c>
      <c r="D65" s="73">
        <v>195.89</v>
      </c>
      <c r="E65" s="74">
        <v>35</v>
      </c>
      <c r="F65" s="67"/>
      <c r="G65" s="75">
        <v>2154.79</v>
      </c>
      <c r="H65" s="75">
        <v>2105.81</v>
      </c>
      <c r="I65" s="75">
        <v>2056.84</v>
      </c>
      <c r="J65" s="75">
        <v>4015.65</v>
      </c>
      <c r="K65" s="75">
        <v>3526.02</v>
      </c>
      <c r="L65" s="75">
        <v>3330.13</v>
      </c>
      <c r="M65" s="75">
        <v>3183.21</v>
      </c>
      <c r="N65" s="75">
        <v>3085.26</v>
      </c>
      <c r="O65" s="75">
        <v>3721.91</v>
      </c>
      <c r="P65" s="75">
        <v>3476.96</v>
      </c>
      <c r="Q65" s="75">
        <v>1567.12</v>
      </c>
      <c r="R65" s="75">
        <v>1567.12</v>
      </c>
      <c r="S65" s="75">
        <f t="shared" si="22"/>
        <v>33790.82</v>
      </c>
      <c r="T65" s="71">
        <v>33010</v>
      </c>
      <c r="V65" s="75">
        <f t="shared" si="23"/>
        <v>11</v>
      </c>
      <c r="W65" s="75">
        <f t="shared" si="23"/>
        <v>10.749961713206392</v>
      </c>
      <c r="X65" s="75">
        <f t="shared" si="23"/>
        <v>10.499974475470928</v>
      </c>
      <c r="Y65" s="75">
        <f t="shared" si="23"/>
        <v>20.499515033947624</v>
      </c>
      <c r="Z65" s="75">
        <f t="shared" si="23"/>
        <v>18</v>
      </c>
      <c r="AA65" s="75">
        <f t="shared" si="23"/>
        <v>17</v>
      </c>
      <c r="AB65" s="75">
        <f t="shared" si="23"/>
        <v>16.249987237735464</v>
      </c>
      <c r="AC65" s="75">
        <f t="shared" si="23"/>
        <v>15.749961713206394</v>
      </c>
      <c r="AD65" s="75">
        <f t="shared" si="23"/>
        <v>19</v>
      </c>
      <c r="AE65" s="75">
        <f t="shared" si="23"/>
        <v>17.749553320741235</v>
      </c>
      <c r="AF65" s="75">
        <f t="shared" si="23"/>
        <v>8</v>
      </c>
      <c r="AG65" s="75">
        <f t="shared" si="23"/>
        <v>8</v>
      </c>
      <c r="AH65" s="75">
        <f t="shared" si="24"/>
        <v>14.374912791192337</v>
      </c>
      <c r="AI65" s="49"/>
      <c r="AJ65" s="76"/>
      <c r="AK65" s="43" t="s">
        <v>151</v>
      </c>
      <c r="AL65" s="5"/>
      <c r="AM65" s="5"/>
      <c r="AN65" s="1">
        <v>1</v>
      </c>
      <c r="AO65" s="133">
        <f t="shared" ref="AO65:AO77" si="30">+AH65*AN65</f>
        <v>14.374912791192337</v>
      </c>
      <c r="AP65" s="5"/>
      <c r="AQ65" s="5"/>
      <c r="AR65" s="135"/>
      <c r="AS65" s="8"/>
      <c r="AT65" s="78">
        <v>198.22740000000002</v>
      </c>
      <c r="AU65" s="79">
        <f t="shared" ca="1" si="25"/>
        <v>223.6120704229252</v>
      </c>
      <c r="AV65" s="80">
        <f t="shared" ca="1" si="26"/>
        <v>38572.848136650107</v>
      </c>
      <c r="AW65" s="80">
        <f t="shared" ca="1" si="27"/>
        <v>4782.0281366501076</v>
      </c>
      <c r="AX65" s="81"/>
      <c r="AZ65" s="134"/>
      <c r="BA65" s="134"/>
      <c r="BB65" s="134"/>
      <c r="BC65" s="134"/>
      <c r="BD65" s="512">
        <f t="shared" ca="1" si="28"/>
        <v>147.63656108031202</v>
      </c>
      <c r="BE65" s="499">
        <f t="shared" ca="1" si="29"/>
        <v>38720.484697730419</v>
      </c>
    </row>
    <row r="66" spans="1:57" s="19" customFormat="1" ht="12" customHeight="1">
      <c r="A66" s="71" t="str">
        <f t="shared" si="21"/>
        <v>PA-JF2YDEOW</v>
      </c>
      <c r="B66" s="72" t="s">
        <v>152</v>
      </c>
      <c r="C66" s="72" t="s">
        <v>153</v>
      </c>
      <c r="D66" s="73">
        <v>98.17</v>
      </c>
      <c r="E66" s="74">
        <v>35</v>
      </c>
      <c r="F66" s="67"/>
      <c r="G66" s="75">
        <v>981.7</v>
      </c>
      <c r="H66" s="75">
        <v>981.7</v>
      </c>
      <c r="I66" s="75">
        <v>932.61</v>
      </c>
      <c r="J66" s="75">
        <v>883.53</v>
      </c>
      <c r="K66" s="75">
        <v>883.53</v>
      </c>
      <c r="L66" s="75">
        <v>883.53</v>
      </c>
      <c r="M66" s="75">
        <v>932.61</v>
      </c>
      <c r="N66" s="75">
        <v>932.61</v>
      </c>
      <c r="O66" s="75">
        <v>883.53</v>
      </c>
      <c r="P66" s="75">
        <v>883.53</v>
      </c>
      <c r="Q66" s="75">
        <v>981.7</v>
      </c>
      <c r="R66" s="75">
        <v>981.7</v>
      </c>
      <c r="S66" s="75">
        <f t="shared" si="22"/>
        <v>11142.28</v>
      </c>
      <c r="T66" s="71">
        <v>33010</v>
      </c>
      <c r="V66" s="75">
        <f t="shared" si="23"/>
        <v>10</v>
      </c>
      <c r="W66" s="75">
        <f t="shared" si="23"/>
        <v>10</v>
      </c>
      <c r="X66" s="75">
        <f t="shared" si="23"/>
        <v>9.4999490679433638</v>
      </c>
      <c r="Y66" s="75">
        <f t="shared" si="23"/>
        <v>9</v>
      </c>
      <c r="Z66" s="75">
        <f t="shared" si="23"/>
        <v>9</v>
      </c>
      <c r="AA66" s="75">
        <f t="shared" si="23"/>
        <v>9</v>
      </c>
      <c r="AB66" s="75">
        <f t="shared" si="23"/>
        <v>9.4999490679433638</v>
      </c>
      <c r="AC66" s="75">
        <f t="shared" si="23"/>
        <v>9.4999490679433638</v>
      </c>
      <c r="AD66" s="75">
        <f t="shared" si="23"/>
        <v>9</v>
      </c>
      <c r="AE66" s="75">
        <f t="shared" si="23"/>
        <v>9</v>
      </c>
      <c r="AF66" s="75">
        <f t="shared" si="23"/>
        <v>10</v>
      </c>
      <c r="AG66" s="75">
        <f t="shared" si="23"/>
        <v>10</v>
      </c>
      <c r="AH66" s="75">
        <f t="shared" si="24"/>
        <v>9.4583206003191744</v>
      </c>
      <c r="AI66" s="49"/>
      <c r="AJ66" s="76"/>
      <c r="AK66" s="43" t="s">
        <v>151</v>
      </c>
      <c r="AL66" s="5"/>
      <c r="AM66" s="5"/>
      <c r="AN66" s="1">
        <v>1</v>
      </c>
      <c r="AO66" s="133">
        <f t="shared" si="30"/>
        <v>9.4583206003191744</v>
      </c>
      <c r="AP66" s="5"/>
      <c r="AQ66" s="5"/>
      <c r="AR66" s="135"/>
      <c r="AS66" s="8"/>
      <c r="AT66" s="78">
        <v>99.342600000000004</v>
      </c>
      <c r="AU66" s="79">
        <f t="shared" ca="1" si="25"/>
        <v>112.06424776391401</v>
      </c>
      <c r="AV66" s="80">
        <f t="shared" ca="1" si="26"/>
        <v>12719.274998216399</v>
      </c>
      <c r="AW66" s="80">
        <f t="shared" ca="1" si="27"/>
        <v>1576.994998216398</v>
      </c>
      <c r="AX66" s="81"/>
      <c r="AZ66" s="134"/>
      <c r="BA66" s="134"/>
      <c r="BB66" s="134"/>
      <c r="BD66" s="512">
        <f t="shared" ca="1" si="28"/>
        <v>48.682690308969825</v>
      </c>
      <c r="BE66" s="499">
        <f t="shared" ca="1" si="29"/>
        <v>12767.957688525368</v>
      </c>
    </row>
    <row r="67" spans="1:57" s="19" customFormat="1" ht="12" customHeight="1">
      <c r="A67" s="71" t="str">
        <f t="shared" si="21"/>
        <v>PA-JF4YD1W</v>
      </c>
      <c r="B67" s="72" t="s">
        <v>154</v>
      </c>
      <c r="C67" s="72" t="s">
        <v>155</v>
      </c>
      <c r="D67" s="73">
        <v>350.73</v>
      </c>
      <c r="E67" s="74">
        <v>36</v>
      </c>
      <c r="F67" s="67"/>
      <c r="G67" s="75">
        <v>7716.06</v>
      </c>
      <c r="H67" s="75">
        <v>7803.74</v>
      </c>
      <c r="I67" s="75">
        <v>7803.74</v>
      </c>
      <c r="J67" s="75">
        <v>7716.06</v>
      </c>
      <c r="K67" s="75">
        <v>7540.69</v>
      </c>
      <c r="L67" s="75">
        <v>7365.33</v>
      </c>
      <c r="M67" s="75">
        <v>7365.33</v>
      </c>
      <c r="N67" s="75">
        <v>7540.69</v>
      </c>
      <c r="O67" s="75">
        <v>7716.06</v>
      </c>
      <c r="P67" s="75">
        <v>7716.06</v>
      </c>
      <c r="Q67" s="75">
        <v>7716.06</v>
      </c>
      <c r="R67" s="75">
        <v>7716.06</v>
      </c>
      <c r="S67" s="75">
        <f t="shared" si="22"/>
        <v>91715.88</v>
      </c>
      <c r="T67" s="71">
        <v>33010</v>
      </c>
      <c r="V67" s="75">
        <f t="shared" si="23"/>
        <v>22</v>
      </c>
      <c r="W67" s="75">
        <f t="shared" si="23"/>
        <v>22.249992872009805</v>
      </c>
      <c r="X67" s="75">
        <f t="shared" si="23"/>
        <v>22.249992872009805</v>
      </c>
      <c r="Y67" s="75">
        <f t="shared" si="23"/>
        <v>22</v>
      </c>
      <c r="Z67" s="75">
        <f t="shared" si="23"/>
        <v>21.499985744019614</v>
      </c>
      <c r="AA67" s="75">
        <f t="shared" si="23"/>
        <v>21</v>
      </c>
      <c r="AB67" s="75">
        <f t="shared" si="23"/>
        <v>21</v>
      </c>
      <c r="AC67" s="75">
        <f t="shared" si="23"/>
        <v>21.499985744019614</v>
      </c>
      <c r="AD67" s="75">
        <f t="shared" si="23"/>
        <v>22</v>
      </c>
      <c r="AE67" s="75">
        <f t="shared" si="23"/>
        <v>22</v>
      </c>
      <c r="AF67" s="75">
        <f t="shared" si="23"/>
        <v>22</v>
      </c>
      <c r="AG67" s="75">
        <f t="shared" si="23"/>
        <v>22</v>
      </c>
      <c r="AH67" s="75">
        <f t="shared" si="24"/>
        <v>21.791663102671567</v>
      </c>
      <c r="AI67" s="49"/>
      <c r="AJ67" s="76"/>
      <c r="AK67" s="43" t="s">
        <v>156</v>
      </c>
      <c r="AL67" s="5"/>
      <c r="AM67" s="5"/>
      <c r="AN67" s="1">
        <v>1</v>
      </c>
      <c r="AO67" s="133">
        <f t="shared" si="30"/>
        <v>21.791663102671567</v>
      </c>
      <c r="AP67" s="5"/>
      <c r="AQ67" s="5"/>
      <c r="AR67" s="135"/>
      <c r="AS67" s="8"/>
      <c r="AT67" s="78">
        <v>355.14659999999998</v>
      </c>
      <c r="AU67" s="79">
        <f t="shared" ca="1" si="25"/>
        <v>400.62608160961821</v>
      </c>
      <c r="AV67" s="80">
        <f t="shared" ca="1" si="26"/>
        <v>104763.70320696247</v>
      </c>
      <c r="AW67" s="80">
        <f t="shared" ca="1" si="27"/>
        <v>13047.823206962465</v>
      </c>
      <c r="AX67" s="81"/>
      <c r="AZ67" s="134"/>
      <c r="BA67" s="134"/>
      <c r="BB67" s="134"/>
      <c r="BD67" s="512">
        <f t="shared" ca="1" si="28"/>
        <v>400.9803168467206</v>
      </c>
      <c r="BE67" s="499">
        <f t="shared" ca="1" si="29"/>
        <v>105164.68352380919</v>
      </c>
    </row>
    <row r="68" spans="1:57" s="19" customFormat="1" ht="12" customHeight="1">
      <c r="A68" s="71" t="str">
        <f t="shared" si="21"/>
        <v>PA-JF6YD1W</v>
      </c>
      <c r="B68" s="72" t="s">
        <v>157</v>
      </c>
      <c r="C68" s="72" t="s">
        <v>158</v>
      </c>
      <c r="D68" s="73">
        <v>529.39</v>
      </c>
      <c r="E68" s="74">
        <v>35</v>
      </c>
      <c r="F68" s="67"/>
      <c r="G68" s="75">
        <v>2117.56</v>
      </c>
      <c r="H68" s="75">
        <v>2117.56</v>
      </c>
      <c r="I68" s="75">
        <v>2117.56</v>
      </c>
      <c r="J68" s="75">
        <v>2117.56</v>
      </c>
      <c r="K68" s="75">
        <v>2117.56</v>
      </c>
      <c r="L68" s="75">
        <v>2117.56</v>
      </c>
      <c r="M68" s="75">
        <v>2117.56</v>
      </c>
      <c r="N68" s="75">
        <v>2117.56</v>
      </c>
      <c r="O68" s="75">
        <v>2117.56</v>
      </c>
      <c r="P68" s="75">
        <v>2117.56</v>
      </c>
      <c r="Q68" s="75">
        <v>2117.56</v>
      </c>
      <c r="R68" s="75">
        <v>2117.56</v>
      </c>
      <c r="S68" s="75">
        <f t="shared" si="22"/>
        <v>25410.720000000005</v>
      </c>
      <c r="T68" s="71">
        <v>33010</v>
      </c>
      <c r="V68" s="75">
        <f t="shared" si="23"/>
        <v>4</v>
      </c>
      <c r="W68" s="75">
        <f t="shared" si="23"/>
        <v>4</v>
      </c>
      <c r="X68" s="75">
        <f t="shared" si="23"/>
        <v>4</v>
      </c>
      <c r="Y68" s="75">
        <f t="shared" si="23"/>
        <v>4</v>
      </c>
      <c r="Z68" s="75">
        <f t="shared" si="23"/>
        <v>4</v>
      </c>
      <c r="AA68" s="75">
        <f t="shared" si="23"/>
        <v>4</v>
      </c>
      <c r="AB68" s="75">
        <f t="shared" si="23"/>
        <v>4</v>
      </c>
      <c r="AC68" s="75">
        <f t="shared" si="23"/>
        <v>4</v>
      </c>
      <c r="AD68" s="75">
        <f t="shared" si="23"/>
        <v>4</v>
      </c>
      <c r="AE68" s="75">
        <f t="shared" si="23"/>
        <v>4</v>
      </c>
      <c r="AF68" s="75">
        <f t="shared" si="23"/>
        <v>4</v>
      </c>
      <c r="AG68" s="75">
        <f t="shared" si="23"/>
        <v>4</v>
      </c>
      <c r="AH68" s="75">
        <f t="shared" si="24"/>
        <v>4</v>
      </c>
      <c r="AI68" s="49"/>
      <c r="AJ68" s="76"/>
      <c r="AK68" s="43" t="s">
        <v>159</v>
      </c>
      <c r="AL68" s="5"/>
      <c r="AM68" s="5"/>
      <c r="AN68" s="1">
        <v>1</v>
      </c>
      <c r="AO68" s="133">
        <f t="shared" si="30"/>
        <v>4</v>
      </c>
      <c r="AP68" s="5"/>
      <c r="AQ68" s="5"/>
      <c r="AR68" s="135"/>
      <c r="AS68" s="8"/>
      <c r="AT68" s="78">
        <v>535.40449999999998</v>
      </c>
      <c r="AU68" s="79">
        <f t="shared" ca="1" si="25"/>
        <v>603.96750781552419</v>
      </c>
      <c r="AV68" s="80">
        <f t="shared" ca="1" si="26"/>
        <v>28990.440375145161</v>
      </c>
      <c r="AW68" s="80">
        <f t="shared" ca="1" si="27"/>
        <v>3579.7203751451561</v>
      </c>
      <c r="AX68" s="81"/>
      <c r="BD68" s="512">
        <f t="shared" ca="1" si="28"/>
        <v>110.96014756358012</v>
      </c>
      <c r="BE68" s="499">
        <f t="shared" ca="1" si="29"/>
        <v>29101.40052270874</v>
      </c>
    </row>
    <row r="69" spans="1:57" s="19" customFormat="1" ht="12" customHeight="1">
      <c r="A69" s="71" t="str">
        <f t="shared" si="21"/>
        <v>PA-JF1.5YD1W</v>
      </c>
      <c r="B69" s="72" t="s">
        <v>160</v>
      </c>
      <c r="C69" s="72" t="s">
        <v>161</v>
      </c>
      <c r="D69" s="73">
        <v>140.12</v>
      </c>
      <c r="E69" s="74">
        <v>35</v>
      </c>
      <c r="F69" s="67"/>
      <c r="G69" s="75">
        <v>280.24</v>
      </c>
      <c r="H69" s="75">
        <v>280.24</v>
      </c>
      <c r="I69" s="75">
        <v>280.24</v>
      </c>
      <c r="J69" s="75">
        <v>420.36</v>
      </c>
      <c r="K69" s="75">
        <v>420.36</v>
      </c>
      <c r="L69" s="75">
        <v>420.36</v>
      </c>
      <c r="M69" s="75">
        <v>420.36</v>
      </c>
      <c r="N69" s="75">
        <v>280.24</v>
      </c>
      <c r="O69" s="75">
        <v>280.24</v>
      </c>
      <c r="P69" s="75">
        <v>280.24</v>
      </c>
      <c r="Q69" s="75">
        <v>280.24</v>
      </c>
      <c r="R69" s="75">
        <v>280.24</v>
      </c>
      <c r="S69" s="75">
        <f t="shared" si="22"/>
        <v>3923.3599999999997</v>
      </c>
      <c r="T69" s="71">
        <v>33010</v>
      </c>
      <c r="V69" s="75">
        <f t="shared" si="23"/>
        <v>2</v>
      </c>
      <c r="W69" s="75">
        <f t="shared" si="23"/>
        <v>2</v>
      </c>
      <c r="X69" s="75">
        <f t="shared" si="23"/>
        <v>2</v>
      </c>
      <c r="Y69" s="75">
        <f t="shared" si="23"/>
        <v>3</v>
      </c>
      <c r="Z69" s="75">
        <f t="shared" si="23"/>
        <v>3</v>
      </c>
      <c r="AA69" s="75">
        <f t="shared" si="23"/>
        <v>3</v>
      </c>
      <c r="AB69" s="75">
        <f t="shared" si="23"/>
        <v>3</v>
      </c>
      <c r="AC69" s="75">
        <f t="shared" si="23"/>
        <v>2</v>
      </c>
      <c r="AD69" s="75">
        <f t="shared" si="23"/>
        <v>2</v>
      </c>
      <c r="AE69" s="75">
        <f t="shared" si="23"/>
        <v>2</v>
      </c>
      <c r="AF69" s="75">
        <f t="shared" si="23"/>
        <v>2</v>
      </c>
      <c r="AG69" s="75">
        <f t="shared" si="23"/>
        <v>2</v>
      </c>
      <c r="AH69" s="75">
        <f t="shared" si="24"/>
        <v>2.3333333333333335</v>
      </c>
      <c r="AI69" s="49"/>
      <c r="AJ69" s="76"/>
      <c r="AK69" s="43" t="s">
        <v>162</v>
      </c>
      <c r="AL69" s="5"/>
      <c r="AM69" s="5"/>
      <c r="AN69" s="1">
        <v>1</v>
      </c>
      <c r="AO69" s="133">
        <f t="shared" si="30"/>
        <v>2.3333333333333335</v>
      </c>
      <c r="AP69" s="5"/>
      <c r="AQ69" s="5"/>
      <c r="AR69" s="135"/>
      <c r="AS69" s="8"/>
      <c r="AT69" s="78">
        <v>141.9374</v>
      </c>
      <c r="AU69" s="79">
        <f t="shared" ca="1" si="25"/>
        <v>160.1136668515397</v>
      </c>
      <c r="AV69" s="80">
        <f t="shared" ca="1" si="26"/>
        <v>4483.1826718431121</v>
      </c>
      <c r="AW69" s="80">
        <f t="shared" ca="1" si="27"/>
        <v>559.8226718431124</v>
      </c>
      <c r="AX69" s="81"/>
      <c r="BD69" s="512">
        <f t="shared" ca="1" si="28"/>
        <v>17.159263687787504</v>
      </c>
      <c r="BE69" s="499">
        <f t="shared" ca="1" si="29"/>
        <v>4500.3419355308997</v>
      </c>
    </row>
    <row r="70" spans="1:57" s="19" customFormat="1" ht="12" customHeight="1">
      <c r="A70" s="71" t="str">
        <f t="shared" si="21"/>
        <v>PA-JF1.5YDEOW</v>
      </c>
      <c r="B70" s="72" t="s">
        <v>163</v>
      </c>
      <c r="C70" s="72" t="s">
        <v>164</v>
      </c>
      <c r="D70" s="73">
        <v>70.22</v>
      </c>
      <c r="E70" s="74">
        <v>35</v>
      </c>
      <c r="F70" s="67"/>
      <c r="G70" s="75">
        <v>140.44</v>
      </c>
      <c r="H70" s="75">
        <v>140.44</v>
      </c>
      <c r="I70" s="75">
        <v>140.44</v>
      </c>
      <c r="J70" s="75">
        <v>140.44</v>
      </c>
      <c r="K70" s="75">
        <v>140.44</v>
      </c>
      <c r="L70" s="75">
        <v>140.44</v>
      </c>
      <c r="M70" s="75">
        <v>140.44</v>
      </c>
      <c r="N70" s="75">
        <v>210.66</v>
      </c>
      <c r="O70" s="75">
        <v>210.66</v>
      </c>
      <c r="P70" s="75">
        <v>210.66</v>
      </c>
      <c r="Q70" s="75">
        <v>210.66</v>
      </c>
      <c r="R70" s="75">
        <v>210.66</v>
      </c>
      <c r="S70" s="75">
        <f t="shared" si="22"/>
        <v>2036.3800000000006</v>
      </c>
      <c r="T70" s="71">
        <v>33010</v>
      </c>
      <c r="V70" s="75">
        <f t="shared" si="23"/>
        <v>2</v>
      </c>
      <c r="W70" s="75">
        <f t="shared" si="23"/>
        <v>2</v>
      </c>
      <c r="X70" s="75">
        <f t="shared" si="23"/>
        <v>2</v>
      </c>
      <c r="Y70" s="75">
        <f t="shared" si="23"/>
        <v>2</v>
      </c>
      <c r="Z70" s="75">
        <f t="shared" si="23"/>
        <v>2</v>
      </c>
      <c r="AA70" s="75">
        <f t="shared" si="23"/>
        <v>2</v>
      </c>
      <c r="AB70" s="75">
        <f t="shared" si="23"/>
        <v>2</v>
      </c>
      <c r="AC70" s="75">
        <f t="shared" si="23"/>
        <v>3</v>
      </c>
      <c r="AD70" s="75">
        <f t="shared" si="23"/>
        <v>3</v>
      </c>
      <c r="AE70" s="75">
        <f t="shared" si="23"/>
        <v>3</v>
      </c>
      <c r="AF70" s="75">
        <f t="shared" si="23"/>
        <v>3</v>
      </c>
      <c r="AG70" s="75">
        <f t="shared" si="23"/>
        <v>3</v>
      </c>
      <c r="AH70" s="75">
        <f t="shared" si="24"/>
        <v>2.4166666666666665</v>
      </c>
      <c r="AI70" s="49"/>
      <c r="AJ70" s="76"/>
      <c r="AK70" s="43" t="s">
        <v>162</v>
      </c>
      <c r="AL70" s="5"/>
      <c r="AM70" s="5"/>
      <c r="AN70" s="1">
        <v>1</v>
      </c>
      <c r="AO70" s="133">
        <f t="shared" si="30"/>
        <v>2.4166666666666665</v>
      </c>
      <c r="AP70" s="5"/>
      <c r="AQ70" s="5"/>
      <c r="AR70" s="135"/>
      <c r="AS70" s="8"/>
      <c r="AT70" s="78">
        <v>71.132599999999996</v>
      </c>
      <c r="AU70" s="79">
        <f t="shared" ca="1" si="25"/>
        <v>80.241722186568396</v>
      </c>
      <c r="AV70" s="80">
        <f t="shared" ca="1" si="26"/>
        <v>2327.0099434104832</v>
      </c>
      <c r="AW70" s="80">
        <f t="shared" ca="1" si="27"/>
        <v>290.62994341048261</v>
      </c>
      <c r="AX70" s="81"/>
      <c r="BD70" s="512">
        <f t="shared" ca="1" si="28"/>
        <v>8.9065693160051751</v>
      </c>
      <c r="BE70" s="499">
        <f t="shared" ca="1" si="29"/>
        <v>2335.9165127264882</v>
      </c>
    </row>
    <row r="71" spans="1:57" s="19" customFormat="1" ht="12" customHeight="1">
      <c r="A71" s="71" t="str">
        <f t="shared" si="21"/>
        <v>PA-JF1YD1M</v>
      </c>
      <c r="B71" s="72" t="s">
        <v>165</v>
      </c>
      <c r="C71" s="72" t="s">
        <v>166</v>
      </c>
      <c r="D71" s="73">
        <v>23.08</v>
      </c>
      <c r="E71" s="74">
        <v>35</v>
      </c>
      <c r="F71" s="67"/>
      <c r="G71" s="75">
        <v>115.4</v>
      </c>
      <c r="H71" s="75">
        <v>115.4</v>
      </c>
      <c r="I71" s="75">
        <v>92.32</v>
      </c>
      <c r="J71" s="75">
        <v>92.32</v>
      </c>
      <c r="K71" s="75">
        <v>92.32</v>
      </c>
      <c r="L71" s="75">
        <v>92.32</v>
      </c>
      <c r="M71" s="75">
        <v>69.239999999999995</v>
      </c>
      <c r="N71" s="75">
        <v>92.32</v>
      </c>
      <c r="O71" s="75">
        <v>92.32</v>
      </c>
      <c r="P71" s="75">
        <v>92.32</v>
      </c>
      <c r="Q71" s="75">
        <v>92.32</v>
      </c>
      <c r="R71" s="75">
        <v>115.4</v>
      </c>
      <c r="S71" s="75">
        <f t="shared" si="22"/>
        <v>1153.9999999999998</v>
      </c>
      <c r="T71" s="71">
        <v>33010</v>
      </c>
      <c r="V71" s="75">
        <f t="shared" si="23"/>
        <v>5.0000000000000009</v>
      </c>
      <c r="W71" s="75">
        <f t="shared" si="23"/>
        <v>5.0000000000000009</v>
      </c>
      <c r="X71" s="75">
        <f t="shared" si="23"/>
        <v>4</v>
      </c>
      <c r="Y71" s="75">
        <f t="shared" si="23"/>
        <v>4</v>
      </c>
      <c r="Z71" s="75">
        <f t="shared" si="23"/>
        <v>4</v>
      </c>
      <c r="AA71" s="75">
        <f t="shared" si="23"/>
        <v>4</v>
      </c>
      <c r="AB71" s="75">
        <f t="shared" si="23"/>
        <v>3</v>
      </c>
      <c r="AC71" s="75">
        <f t="shared" si="23"/>
        <v>4</v>
      </c>
      <c r="AD71" s="75">
        <f t="shared" si="23"/>
        <v>4</v>
      </c>
      <c r="AE71" s="75">
        <f t="shared" si="23"/>
        <v>4</v>
      </c>
      <c r="AF71" s="75">
        <f t="shared" si="23"/>
        <v>4</v>
      </c>
      <c r="AG71" s="75">
        <f t="shared" si="23"/>
        <v>5.0000000000000009</v>
      </c>
      <c r="AH71" s="75">
        <f t="shared" si="24"/>
        <v>4.166666666666667</v>
      </c>
      <c r="AI71" s="49"/>
      <c r="AJ71" s="76"/>
      <c r="AK71" s="43" t="s">
        <v>167</v>
      </c>
      <c r="AL71" s="5"/>
      <c r="AM71" s="5"/>
      <c r="AN71" s="1">
        <v>1</v>
      </c>
      <c r="AO71" s="133">
        <f t="shared" si="30"/>
        <v>4.166666666666667</v>
      </c>
      <c r="AP71" s="5"/>
      <c r="AQ71" s="5"/>
      <c r="AR71" s="135"/>
      <c r="AS71" s="8"/>
      <c r="AT71" s="78">
        <v>23.37</v>
      </c>
      <c r="AU71" s="79">
        <f t="shared" ca="1" si="25"/>
        <v>26.362723245039597</v>
      </c>
      <c r="AV71" s="80">
        <f t="shared" ca="1" si="26"/>
        <v>1318.1361622519798</v>
      </c>
      <c r="AW71" s="80">
        <f t="shared" ca="1" si="27"/>
        <v>164.13616225198007</v>
      </c>
      <c r="AX71" s="81"/>
      <c r="BD71" s="512">
        <f t="shared" ca="1" si="28"/>
        <v>5.0451314702265373</v>
      </c>
      <c r="BE71" s="499">
        <f t="shared" ca="1" si="29"/>
        <v>1323.1812937222064</v>
      </c>
    </row>
    <row r="72" spans="1:57" s="19" customFormat="1" ht="12" customHeight="1">
      <c r="A72" s="71" t="str">
        <f t="shared" si="21"/>
        <v>PA-JF1YD1W</v>
      </c>
      <c r="B72" s="72" t="s">
        <v>168</v>
      </c>
      <c r="C72" s="72" t="s">
        <v>169</v>
      </c>
      <c r="D72" s="73">
        <v>99.94</v>
      </c>
      <c r="E72" s="74">
        <v>35</v>
      </c>
      <c r="F72" s="67"/>
      <c r="G72" s="75">
        <v>524.67999999999995</v>
      </c>
      <c r="H72" s="75">
        <v>499.7</v>
      </c>
      <c r="I72" s="75">
        <v>574.65</v>
      </c>
      <c r="J72" s="75">
        <v>549.66999999999996</v>
      </c>
      <c r="K72" s="75">
        <v>499.7</v>
      </c>
      <c r="L72" s="75">
        <v>474.71</v>
      </c>
      <c r="M72" s="75">
        <v>499.7</v>
      </c>
      <c r="N72" s="75">
        <v>399.76</v>
      </c>
      <c r="O72" s="75">
        <v>399.76</v>
      </c>
      <c r="P72" s="75">
        <v>399.76</v>
      </c>
      <c r="Q72" s="75">
        <v>399.76</v>
      </c>
      <c r="R72" s="75">
        <v>299.82</v>
      </c>
      <c r="S72" s="75">
        <f t="shared" si="22"/>
        <v>5521.67</v>
      </c>
      <c r="T72" s="71">
        <v>33010</v>
      </c>
      <c r="V72" s="75">
        <f t="shared" si="23"/>
        <v>5.2499499699819889</v>
      </c>
      <c r="W72" s="75">
        <f t="shared" si="23"/>
        <v>5</v>
      </c>
      <c r="X72" s="75">
        <f t="shared" si="23"/>
        <v>5.7499499699819889</v>
      </c>
      <c r="Y72" s="75">
        <f t="shared" si="23"/>
        <v>5.5</v>
      </c>
      <c r="Z72" s="75">
        <f t="shared" si="23"/>
        <v>5</v>
      </c>
      <c r="AA72" s="75">
        <f t="shared" si="23"/>
        <v>4.7499499699819889</v>
      </c>
      <c r="AB72" s="75">
        <f t="shared" si="23"/>
        <v>5</v>
      </c>
      <c r="AC72" s="75">
        <f t="shared" si="23"/>
        <v>4</v>
      </c>
      <c r="AD72" s="75">
        <f t="shared" si="23"/>
        <v>4</v>
      </c>
      <c r="AE72" s="75">
        <f t="shared" si="23"/>
        <v>4</v>
      </c>
      <c r="AF72" s="75">
        <f t="shared" si="23"/>
        <v>4</v>
      </c>
      <c r="AG72" s="75">
        <f t="shared" si="23"/>
        <v>3</v>
      </c>
      <c r="AH72" s="75">
        <f t="shared" si="24"/>
        <v>4.6041541591621638</v>
      </c>
      <c r="AI72" s="49"/>
      <c r="AJ72" s="76"/>
      <c r="AK72" s="43" t="s">
        <v>167</v>
      </c>
      <c r="AL72" s="5"/>
      <c r="AM72" s="5"/>
      <c r="AN72" s="1">
        <v>1</v>
      </c>
      <c r="AO72" s="133">
        <f t="shared" si="30"/>
        <v>4.6041541591621638</v>
      </c>
      <c r="AP72" s="5"/>
      <c r="AQ72" s="5"/>
      <c r="AR72" s="135"/>
      <c r="AS72" s="8"/>
      <c r="AT72" s="78">
        <v>101.19210000000001</v>
      </c>
      <c r="AU72" s="79">
        <f t="shared" ca="1" si="25"/>
        <v>114.15059165102146</v>
      </c>
      <c r="AV72" s="80">
        <f t="shared" ca="1" si="26"/>
        <v>6306.803055850467</v>
      </c>
      <c r="AW72" s="80">
        <f t="shared" ca="1" si="27"/>
        <v>785.13305585046692</v>
      </c>
      <c r="AX72" s="81"/>
      <c r="BD72" s="512">
        <f t="shared" ca="1" si="28"/>
        <v>24.139122713416246</v>
      </c>
      <c r="BE72" s="499">
        <f t="shared" ca="1" si="29"/>
        <v>6330.9421785638833</v>
      </c>
    </row>
    <row r="73" spans="1:57" s="19" customFormat="1" ht="12" customHeight="1">
      <c r="A73" s="71" t="str">
        <f t="shared" si="21"/>
        <v>PA-JF1YDEOW</v>
      </c>
      <c r="B73" s="72" t="s">
        <v>170</v>
      </c>
      <c r="C73" s="72" t="s">
        <v>171</v>
      </c>
      <c r="D73" s="73">
        <v>50.08</v>
      </c>
      <c r="E73" s="74">
        <v>35</v>
      </c>
      <c r="F73" s="67"/>
      <c r="G73" s="75">
        <v>550.88</v>
      </c>
      <c r="H73" s="75">
        <v>550.88</v>
      </c>
      <c r="I73" s="75">
        <v>600.96</v>
      </c>
      <c r="J73" s="75">
        <v>600.96</v>
      </c>
      <c r="K73" s="75">
        <v>600.96</v>
      </c>
      <c r="L73" s="75">
        <v>600.96</v>
      </c>
      <c r="M73" s="75">
        <v>575.91999999999996</v>
      </c>
      <c r="N73" s="75">
        <v>500.8</v>
      </c>
      <c r="O73" s="75">
        <v>500.8</v>
      </c>
      <c r="P73" s="75">
        <v>500.8</v>
      </c>
      <c r="Q73" s="75">
        <v>500.8</v>
      </c>
      <c r="R73" s="75">
        <v>500.8</v>
      </c>
      <c r="S73" s="75">
        <f t="shared" si="22"/>
        <v>6585.5200000000013</v>
      </c>
      <c r="T73" s="71">
        <v>33010</v>
      </c>
      <c r="V73" s="75">
        <f t="shared" si="23"/>
        <v>11</v>
      </c>
      <c r="W73" s="75">
        <f t="shared" si="23"/>
        <v>11</v>
      </c>
      <c r="X73" s="75">
        <f t="shared" si="23"/>
        <v>12.000000000000002</v>
      </c>
      <c r="Y73" s="75">
        <f t="shared" si="23"/>
        <v>12.000000000000002</v>
      </c>
      <c r="Z73" s="75">
        <f t="shared" si="23"/>
        <v>12.000000000000002</v>
      </c>
      <c r="AA73" s="75">
        <f t="shared" si="23"/>
        <v>12.000000000000002</v>
      </c>
      <c r="AB73" s="75">
        <f t="shared" si="23"/>
        <v>11.5</v>
      </c>
      <c r="AC73" s="75">
        <f t="shared" si="23"/>
        <v>10</v>
      </c>
      <c r="AD73" s="75">
        <f t="shared" si="23"/>
        <v>10</v>
      </c>
      <c r="AE73" s="75">
        <f t="shared" si="23"/>
        <v>10</v>
      </c>
      <c r="AF73" s="75">
        <f t="shared" si="23"/>
        <v>10</v>
      </c>
      <c r="AG73" s="75">
        <f t="shared" si="23"/>
        <v>10</v>
      </c>
      <c r="AH73" s="75">
        <f t="shared" si="24"/>
        <v>10.958333333333334</v>
      </c>
      <c r="AI73" s="49"/>
      <c r="AJ73" s="76"/>
      <c r="AK73" s="43" t="s">
        <v>167</v>
      </c>
      <c r="AL73" s="5"/>
      <c r="AM73" s="5"/>
      <c r="AN73" s="1">
        <v>1</v>
      </c>
      <c r="AO73" s="133">
        <f t="shared" si="30"/>
        <v>10.958333333333334</v>
      </c>
      <c r="AP73" s="5"/>
      <c r="AQ73" s="5"/>
      <c r="AR73" s="135"/>
      <c r="AS73" s="8"/>
      <c r="AT73" s="78">
        <v>50.712899999999998</v>
      </c>
      <c r="AU73" s="79">
        <f t="shared" ca="1" si="25"/>
        <v>57.207109441735916</v>
      </c>
      <c r="AV73" s="80">
        <f t="shared" ca="1" si="26"/>
        <v>7522.734891588274</v>
      </c>
      <c r="AW73" s="80">
        <f t="shared" ca="1" si="27"/>
        <v>937.21489158827262</v>
      </c>
      <c r="AX73" s="81"/>
      <c r="BD73" s="512">
        <f t="shared" ca="1" si="28"/>
        <v>28.793069813729872</v>
      </c>
      <c r="BE73" s="499">
        <f t="shared" ca="1" si="29"/>
        <v>7551.5279614020037</v>
      </c>
    </row>
    <row r="74" spans="1:57" s="19" customFormat="1" ht="12" customHeight="1">
      <c r="A74" s="71" t="str">
        <f t="shared" si="21"/>
        <v>PA-JF2YD2W</v>
      </c>
      <c r="B74" s="72" t="s">
        <v>172</v>
      </c>
      <c r="C74" s="72" t="s">
        <v>173</v>
      </c>
      <c r="D74" s="73">
        <v>391.78</v>
      </c>
      <c r="E74" s="74">
        <v>35</v>
      </c>
      <c r="F74" s="67"/>
      <c r="G74" s="75">
        <v>7052.04</v>
      </c>
      <c r="H74" s="75">
        <v>7052.04</v>
      </c>
      <c r="I74" s="75">
        <v>5142</v>
      </c>
      <c r="J74" s="75">
        <v>783.56</v>
      </c>
      <c r="K74" s="75">
        <v>783.56</v>
      </c>
      <c r="L74" s="75">
        <v>783.56</v>
      </c>
      <c r="M74" s="75">
        <v>783.56</v>
      </c>
      <c r="N74" s="75">
        <v>783.56</v>
      </c>
      <c r="O74" s="75">
        <v>783.56</v>
      </c>
      <c r="P74" s="75">
        <v>2840.3</v>
      </c>
      <c r="Q74" s="75">
        <v>6660.26</v>
      </c>
      <c r="R74" s="75">
        <v>7052.04</v>
      </c>
      <c r="S74" s="75">
        <f t="shared" si="22"/>
        <v>40500.040000000008</v>
      </c>
      <c r="T74" s="71">
        <v>33010</v>
      </c>
      <c r="V74" s="75">
        <f t="shared" si="23"/>
        <v>18</v>
      </c>
      <c r="W74" s="75">
        <f t="shared" si="23"/>
        <v>18</v>
      </c>
      <c r="X74" s="75">
        <f t="shared" si="23"/>
        <v>13.124712849047937</v>
      </c>
      <c r="Y74" s="75">
        <f t="shared" si="23"/>
        <v>2</v>
      </c>
      <c r="Z74" s="75">
        <f t="shared" si="23"/>
        <v>2</v>
      </c>
      <c r="AA74" s="75">
        <f t="shared" si="23"/>
        <v>2</v>
      </c>
      <c r="AB74" s="75">
        <f t="shared" si="23"/>
        <v>2</v>
      </c>
      <c r="AC74" s="75">
        <f t="shared" si="23"/>
        <v>2</v>
      </c>
      <c r="AD74" s="75">
        <f t="shared" si="23"/>
        <v>2</v>
      </c>
      <c r="AE74" s="75">
        <f t="shared" si="23"/>
        <v>7.2497319924447403</v>
      </c>
      <c r="AF74" s="75">
        <f t="shared" si="23"/>
        <v>17</v>
      </c>
      <c r="AG74" s="75">
        <f t="shared" si="23"/>
        <v>18</v>
      </c>
      <c r="AH74" s="75">
        <f t="shared" si="24"/>
        <v>8.6145370701243902</v>
      </c>
      <c r="AI74" s="49"/>
      <c r="AJ74" s="76"/>
      <c r="AK74" s="43" t="s">
        <v>151</v>
      </c>
      <c r="AL74" s="5"/>
      <c r="AM74" s="5"/>
      <c r="AN74" s="1">
        <v>1</v>
      </c>
      <c r="AO74" s="133">
        <f t="shared" si="30"/>
        <v>8.6145370701243902</v>
      </c>
      <c r="AP74" s="5"/>
      <c r="AQ74" s="5"/>
      <c r="AR74" s="135"/>
      <c r="AS74" s="8"/>
      <c r="AT74" s="78">
        <v>396.45480000000003</v>
      </c>
      <c r="AU74" s="79">
        <f t="shared" ca="1" si="25"/>
        <v>447.2241408458504</v>
      </c>
      <c r="AV74" s="80">
        <f t="shared" ca="1" si="26"/>
        <v>46231.547279653314</v>
      </c>
      <c r="AW74" s="80">
        <f t="shared" ca="1" si="27"/>
        <v>5731.5072796533059</v>
      </c>
      <c r="AX74" s="81"/>
      <c r="BD74" s="512">
        <f t="shared" ca="1" si="28"/>
        <v>176.95003048801658</v>
      </c>
      <c r="BE74" s="499">
        <f t="shared" ca="1" si="29"/>
        <v>46408.497310141327</v>
      </c>
    </row>
    <row r="75" spans="1:57" s="19" customFormat="1" ht="12" customHeight="1">
      <c r="A75" s="71" t="str">
        <f t="shared" si="21"/>
        <v>PA-JF3YD1W</v>
      </c>
      <c r="B75" s="72" t="s">
        <v>174</v>
      </c>
      <c r="C75" s="72" t="s">
        <v>175</v>
      </c>
      <c r="D75" s="73">
        <v>257.12</v>
      </c>
      <c r="E75" s="74">
        <v>35</v>
      </c>
      <c r="F75" s="67"/>
      <c r="G75" s="75">
        <v>2314.08</v>
      </c>
      <c r="H75" s="75">
        <v>2314.08</v>
      </c>
      <c r="I75" s="75">
        <v>2314.08</v>
      </c>
      <c r="J75" s="75">
        <v>2314.08</v>
      </c>
      <c r="K75" s="75">
        <v>2314.08</v>
      </c>
      <c r="L75" s="75">
        <v>2249.8000000000002</v>
      </c>
      <c r="M75" s="75">
        <v>2056.96</v>
      </c>
      <c r="N75" s="75">
        <v>2056.96</v>
      </c>
      <c r="O75" s="75">
        <v>2056.96</v>
      </c>
      <c r="P75" s="75">
        <v>2314.08</v>
      </c>
      <c r="Q75" s="75">
        <v>2314.08</v>
      </c>
      <c r="R75" s="75">
        <v>2314.08</v>
      </c>
      <c r="S75" s="75">
        <f t="shared" si="22"/>
        <v>26933.32</v>
      </c>
      <c r="T75" s="71">
        <v>33010</v>
      </c>
      <c r="V75" s="75">
        <f t="shared" si="23"/>
        <v>9</v>
      </c>
      <c r="W75" s="75">
        <f t="shared" si="23"/>
        <v>9</v>
      </c>
      <c r="X75" s="75">
        <f t="shared" si="23"/>
        <v>9</v>
      </c>
      <c r="Y75" s="75">
        <f t="shared" si="23"/>
        <v>9</v>
      </c>
      <c r="Z75" s="75">
        <f t="shared" si="23"/>
        <v>9</v>
      </c>
      <c r="AA75" s="75">
        <f t="shared" si="23"/>
        <v>8.75</v>
      </c>
      <c r="AB75" s="75">
        <f t="shared" si="23"/>
        <v>8</v>
      </c>
      <c r="AC75" s="75">
        <f t="shared" si="23"/>
        <v>8</v>
      </c>
      <c r="AD75" s="75">
        <f t="shared" si="23"/>
        <v>8</v>
      </c>
      <c r="AE75" s="75">
        <f t="shared" si="23"/>
        <v>9</v>
      </c>
      <c r="AF75" s="75">
        <f t="shared" si="23"/>
        <v>9</v>
      </c>
      <c r="AG75" s="75">
        <f t="shared" si="23"/>
        <v>9</v>
      </c>
      <c r="AH75" s="75">
        <f t="shared" si="24"/>
        <v>8.7291666666666661</v>
      </c>
      <c r="AI75" s="49"/>
      <c r="AJ75" s="76"/>
      <c r="AK75" s="43" t="s">
        <v>176</v>
      </c>
      <c r="AL75" s="5"/>
      <c r="AM75" s="5"/>
      <c r="AN75" s="1">
        <v>1</v>
      </c>
      <c r="AO75" s="133">
        <f t="shared" si="30"/>
        <v>8.7291666666666661</v>
      </c>
      <c r="AP75" s="5"/>
      <c r="AQ75" s="5"/>
      <c r="AR75" s="135"/>
      <c r="AS75" s="8"/>
      <c r="AT75" s="78">
        <v>260.53610000000003</v>
      </c>
      <c r="AU75" s="79">
        <f t="shared" ca="1" si="25"/>
        <v>293.89991868386653</v>
      </c>
      <c r="AV75" s="80">
        <f t="shared" ca="1" si="26"/>
        <v>30786.016482135019</v>
      </c>
      <c r="AW75" s="80">
        <f t="shared" ca="1" si="27"/>
        <v>3852.6964821350193</v>
      </c>
      <c r="AX75" s="81"/>
      <c r="BD75" s="512">
        <f t="shared" ca="1" si="28"/>
        <v>117.8326678569955</v>
      </c>
      <c r="BE75" s="499">
        <f t="shared" ca="1" si="29"/>
        <v>30903.849149992013</v>
      </c>
    </row>
    <row r="76" spans="1:57" s="19" customFormat="1" ht="12" customHeight="1">
      <c r="A76" s="71" t="str">
        <f t="shared" si="21"/>
        <v>PA-JF3YDEOW</v>
      </c>
      <c r="B76" s="72" t="s">
        <v>177</v>
      </c>
      <c r="C76" s="72" t="s">
        <v>178</v>
      </c>
      <c r="D76" s="73">
        <v>128.85</v>
      </c>
      <c r="E76" s="74">
        <v>35</v>
      </c>
      <c r="F76" s="67"/>
      <c r="G76" s="75">
        <v>128.85</v>
      </c>
      <c r="H76" s="75">
        <v>128.85</v>
      </c>
      <c r="I76" s="75">
        <v>128.85</v>
      </c>
      <c r="J76" s="75">
        <v>128.85</v>
      </c>
      <c r="K76" s="75">
        <v>128.85</v>
      </c>
      <c r="L76" s="75">
        <v>128.85</v>
      </c>
      <c r="M76" s="75">
        <v>257.7</v>
      </c>
      <c r="N76" s="75">
        <v>257.7</v>
      </c>
      <c r="O76" s="75">
        <v>257.7</v>
      </c>
      <c r="P76" s="75">
        <v>128.85</v>
      </c>
      <c r="Q76" s="75">
        <v>128.85</v>
      </c>
      <c r="R76" s="75">
        <v>128.85</v>
      </c>
      <c r="S76" s="75">
        <f t="shared" si="22"/>
        <v>1932.7499999999998</v>
      </c>
      <c r="T76" s="71">
        <v>33010</v>
      </c>
      <c r="V76" s="75">
        <f t="shared" si="23"/>
        <v>1</v>
      </c>
      <c r="W76" s="75">
        <f t="shared" si="23"/>
        <v>1</v>
      </c>
      <c r="X76" s="75">
        <f t="shared" si="23"/>
        <v>1</v>
      </c>
      <c r="Y76" s="75">
        <f t="shared" si="23"/>
        <v>1</v>
      </c>
      <c r="Z76" s="75">
        <f t="shared" si="23"/>
        <v>1</v>
      </c>
      <c r="AA76" s="75">
        <f t="shared" si="23"/>
        <v>1</v>
      </c>
      <c r="AB76" s="75">
        <f t="shared" si="23"/>
        <v>2</v>
      </c>
      <c r="AC76" s="75">
        <f t="shared" si="23"/>
        <v>2</v>
      </c>
      <c r="AD76" s="75">
        <f t="shared" si="23"/>
        <v>2</v>
      </c>
      <c r="AE76" s="75">
        <f t="shared" si="23"/>
        <v>1</v>
      </c>
      <c r="AF76" s="75">
        <f t="shared" si="23"/>
        <v>1</v>
      </c>
      <c r="AG76" s="75">
        <f t="shared" si="23"/>
        <v>1</v>
      </c>
      <c r="AH76" s="75">
        <f t="shared" si="24"/>
        <v>1.25</v>
      </c>
      <c r="AI76" s="49"/>
      <c r="AJ76" s="76"/>
      <c r="AK76" s="43" t="s">
        <v>176</v>
      </c>
      <c r="AL76" s="5"/>
      <c r="AM76" s="5"/>
      <c r="AN76" s="1">
        <v>1</v>
      </c>
      <c r="AO76" s="133">
        <f t="shared" si="30"/>
        <v>1.25</v>
      </c>
      <c r="AP76" s="5"/>
      <c r="AQ76" s="5"/>
      <c r="AR76" s="135"/>
      <c r="AS76" s="8"/>
      <c r="AT76" s="78">
        <v>130.56890000000001</v>
      </c>
      <c r="AU76" s="79">
        <f t="shared" ca="1" si="25"/>
        <v>147.28933569145275</v>
      </c>
      <c r="AV76" s="80">
        <f t="shared" ca="1" si="26"/>
        <v>2209.3400353717911</v>
      </c>
      <c r="AW76" s="80">
        <f t="shared" ca="1" si="27"/>
        <v>276.59003537179137</v>
      </c>
      <c r="AX76" s="81"/>
      <c r="BD76" s="512">
        <f t="shared" ca="1" si="28"/>
        <v>8.4561908398313452</v>
      </c>
      <c r="BE76" s="499">
        <f t="shared" ca="1" si="29"/>
        <v>2217.7962262116225</v>
      </c>
    </row>
    <row r="77" spans="1:57" s="19" customFormat="1" ht="12" customHeight="1">
      <c r="A77" s="71" t="str">
        <f t="shared" si="21"/>
        <v>PA-JF4YDEOW</v>
      </c>
      <c r="B77" s="72" t="s">
        <v>179</v>
      </c>
      <c r="C77" s="72" t="s">
        <v>180</v>
      </c>
      <c r="D77" s="73">
        <v>175.77</v>
      </c>
      <c r="E77" s="74">
        <v>36</v>
      </c>
      <c r="F77" s="67"/>
      <c r="G77" s="75">
        <v>351.54</v>
      </c>
      <c r="H77" s="75">
        <v>527.30999999999995</v>
      </c>
      <c r="I77" s="75">
        <v>527.30999999999995</v>
      </c>
      <c r="J77" s="75">
        <v>527.30999999999995</v>
      </c>
      <c r="K77" s="75">
        <v>527.30999999999995</v>
      </c>
      <c r="L77" s="75">
        <v>527.30999999999995</v>
      </c>
      <c r="M77" s="75">
        <v>527.30999999999995</v>
      </c>
      <c r="N77" s="75">
        <v>527.30999999999995</v>
      </c>
      <c r="O77" s="75">
        <v>527.30999999999995</v>
      </c>
      <c r="P77" s="75">
        <v>527.30999999999995</v>
      </c>
      <c r="Q77" s="75">
        <v>527.30999999999995</v>
      </c>
      <c r="R77" s="75">
        <v>527.30999999999995</v>
      </c>
      <c r="S77" s="75">
        <f t="shared" si="22"/>
        <v>6151.9499999999989</v>
      </c>
      <c r="T77" s="71">
        <v>33010</v>
      </c>
      <c r="V77" s="75">
        <f t="shared" si="23"/>
        <v>2</v>
      </c>
      <c r="W77" s="75">
        <f t="shared" si="23"/>
        <v>2.9999999999999996</v>
      </c>
      <c r="X77" s="75">
        <f t="shared" si="23"/>
        <v>2.9999999999999996</v>
      </c>
      <c r="Y77" s="75">
        <f t="shared" si="23"/>
        <v>2.9999999999999996</v>
      </c>
      <c r="Z77" s="75">
        <f t="shared" si="23"/>
        <v>2.9999999999999996</v>
      </c>
      <c r="AA77" s="75">
        <f t="shared" si="23"/>
        <v>2.9999999999999996</v>
      </c>
      <c r="AB77" s="75">
        <f t="shared" si="23"/>
        <v>2.9999999999999996</v>
      </c>
      <c r="AC77" s="75">
        <f t="shared" si="23"/>
        <v>2.9999999999999996</v>
      </c>
      <c r="AD77" s="75">
        <f t="shared" si="23"/>
        <v>2.9999999999999996</v>
      </c>
      <c r="AE77" s="75">
        <f t="shared" si="23"/>
        <v>2.9999999999999996</v>
      </c>
      <c r="AF77" s="75">
        <f t="shared" si="23"/>
        <v>2.9999999999999996</v>
      </c>
      <c r="AG77" s="75">
        <f t="shared" si="23"/>
        <v>2.9999999999999996</v>
      </c>
      <c r="AH77" s="75">
        <f t="shared" si="24"/>
        <v>2.9166666666666665</v>
      </c>
      <c r="AI77" s="49"/>
      <c r="AJ77" s="76"/>
      <c r="AK77" s="43" t="s">
        <v>156</v>
      </c>
      <c r="AL77" s="5"/>
      <c r="AM77" s="5"/>
      <c r="AN77" s="1">
        <v>1</v>
      </c>
      <c r="AO77" s="133">
        <f t="shared" si="30"/>
        <v>2.9166666666666665</v>
      </c>
      <c r="AP77" s="5"/>
      <c r="AQ77" s="5"/>
      <c r="AR77" s="135"/>
      <c r="AS77" s="8"/>
      <c r="AT77" s="78">
        <v>177.98339999999999</v>
      </c>
      <c r="AU77" s="79">
        <f t="shared" ca="1" si="25"/>
        <v>200.77565752722208</v>
      </c>
      <c r="AV77" s="80">
        <f t="shared" ca="1" si="26"/>
        <v>7027.1480134527719</v>
      </c>
      <c r="AW77" s="80">
        <f t="shared" ca="1" si="27"/>
        <v>875.19801345277301</v>
      </c>
      <c r="AX77" s="81"/>
      <c r="BD77" s="512">
        <f t="shared" ca="1" si="28"/>
        <v>26.896224080553804</v>
      </c>
      <c r="BE77" s="499">
        <f t="shared" ca="1" si="29"/>
        <v>7054.0442375333259</v>
      </c>
    </row>
    <row r="78" spans="1:57" s="134" customFormat="1" ht="12" customHeight="1">
      <c r="A78" s="5" t="str">
        <f t="shared" si="21"/>
        <v>PA-JSP1.5-COM</v>
      </c>
      <c r="B78" s="48" t="s">
        <v>181</v>
      </c>
      <c r="C78" s="48" t="s">
        <v>182</v>
      </c>
      <c r="D78" s="132">
        <v>35.36</v>
      </c>
      <c r="E78" s="74">
        <v>35</v>
      </c>
      <c r="F78" s="67"/>
      <c r="G78" s="68">
        <v>35.36</v>
      </c>
      <c r="H78" s="68">
        <v>0</v>
      </c>
      <c r="I78" s="68">
        <v>35.36</v>
      </c>
      <c r="J78" s="68">
        <v>0</v>
      </c>
      <c r="K78" s="68">
        <v>35.36</v>
      </c>
      <c r="L78" s="68">
        <v>70.72</v>
      </c>
      <c r="M78" s="68">
        <v>0</v>
      </c>
      <c r="N78" s="68">
        <v>35.36</v>
      </c>
      <c r="O78" s="68">
        <v>0</v>
      </c>
      <c r="P78" s="68">
        <v>0</v>
      </c>
      <c r="Q78" s="68">
        <v>35.36</v>
      </c>
      <c r="R78" s="68">
        <v>106.08</v>
      </c>
      <c r="S78" s="68">
        <f t="shared" si="22"/>
        <v>353.6</v>
      </c>
      <c r="T78" s="19">
        <v>33010</v>
      </c>
      <c r="U78" s="19"/>
      <c r="V78" s="127">
        <f t="shared" si="23"/>
        <v>1</v>
      </c>
      <c r="W78" s="127">
        <f t="shared" si="23"/>
        <v>0</v>
      </c>
      <c r="X78" s="127">
        <f t="shared" si="23"/>
        <v>1</v>
      </c>
      <c r="Y78" s="127">
        <f t="shared" si="23"/>
        <v>0</v>
      </c>
      <c r="Z78" s="127">
        <f t="shared" si="23"/>
        <v>1</v>
      </c>
      <c r="AA78" s="127">
        <f t="shared" si="23"/>
        <v>2</v>
      </c>
      <c r="AB78" s="127">
        <f t="shared" si="23"/>
        <v>0</v>
      </c>
      <c r="AC78" s="127">
        <f t="shared" si="23"/>
        <v>1</v>
      </c>
      <c r="AD78" s="127">
        <f t="shared" si="23"/>
        <v>0</v>
      </c>
      <c r="AE78" s="127">
        <f t="shared" si="23"/>
        <v>0</v>
      </c>
      <c r="AF78" s="127">
        <f t="shared" si="23"/>
        <v>1</v>
      </c>
      <c r="AG78" s="127">
        <f t="shared" si="23"/>
        <v>3</v>
      </c>
      <c r="AH78" s="68">
        <f t="shared" si="24"/>
        <v>1.4285714285714286</v>
      </c>
      <c r="AI78" s="49"/>
      <c r="AJ78" s="76"/>
      <c r="AK78" s="43"/>
      <c r="AL78" s="5"/>
      <c r="AM78" s="5"/>
      <c r="AN78" s="1"/>
      <c r="AO78" s="133"/>
      <c r="AP78" s="5"/>
      <c r="AQ78" s="5"/>
      <c r="AR78" s="135"/>
      <c r="AS78" s="8"/>
      <c r="AT78" s="78">
        <v>35.78</v>
      </c>
      <c r="AU78" s="79">
        <f t="shared" ca="1" si="25"/>
        <v>40.361927159072174</v>
      </c>
      <c r="AV78" s="80">
        <f t="shared" ca="1" si="26"/>
        <v>403.61927159072178</v>
      </c>
      <c r="AW78" s="80">
        <f t="shared" ca="1" si="27"/>
        <v>50.019271590721758</v>
      </c>
      <c r="AX78" s="81"/>
      <c r="AY78" s="19"/>
      <c r="AZ78" s="19"/>
      <c r="BA78" s="19"/>
      <c r="BB78" s="19"/>
      <c r="BC78" s="19"/>
      <c r="BD78" s="512">
        <f t="shared" ca="1" si="28"/>
        <v>1.5448421395353489</v>
      </c>
      <c r="BE78" s="499">
        <f t="shared" ca="1" si="29"/>
        <v>405.16411373025716</v>
      </c>
    </row>
    <row r="79" spans="1:57" s="134" customFormat="1" ht="12" customHeight="1">
      <c r="A79" s="5" t="str">
        <f t="shared" si="21"/>
        <v>PA-JSP2-COM</v>
      </c>
      <c r="B79" s="48" t="s">
        <v>183</v>
      </c>
      <c r="C79" s="48" t="s">
        <v>184</v>
      </c>
      <c r="D79" s="132">
        <v>50.24</v>
      </c>
      <c r="E79" s="74">
        <v>35</v>
      </c>
      <c r="F79" s="67"/>
      <c r="G79" s="68">
        <v>251.2</v>
      </c>
      <c r="H79" s="68">
        <v>50.24</v>
      </c>
      <c r="I79" s="68">
        <v>100.48</v>
      </c>
      <c r="J79" s="68">
        <v>50.24</v>
      </c>
      <c r="K79" s="68">
        <v>0</v>
      </c>
      <c r="L79" s="68">
        <v>150.72</v>
      </c>
      <c r="M79" s="68">
        <v>150.72</v>
      </c>
      <c r="N79" s="68">
        <v>50.24</v>
      </c>
      <c r="O79" s="68">
        <v>50.24</v>
      </c>
      <c r="P79" s="68">
        <v>200.96</v>
      </c>
      <c r="Q79" s="68">
        <v>251.2</v>
      </c>
      <c r="R79" s="68">
        <v>0</v>
      </c>
      <c r="S79" s="68">
        <f t="shared" si="22"/>
        <v>1306.24</v>
      </c>
      <c r="T79" s="19">
        <v>33010</v>
      </c>
      <c r="U79" s="19"/>
      <c r="V79" s="127">
        <f t="shared" si="23"/>
        <v>5</v>
      </c>
      <c r="W79" s="127">
        <f t="shared" si="23"/>
        <v>1</v>
      </c>
      <c r="X79" s="127">
        <f t="shared" si="23"/>
        <v>2</v>
      </c>
      <c r="Y79" s="127">
        <f t="shared" si="23"/>
        <v>1</v>
      </c>
      <c r="Z79" s="127">
        <f t="shared" si="23"/>
        <v>0</v>
      </c>
      <c r="AA79" s="127">
        <f t="shared" si="23"/>
        <v>3</v>
      </c>
      <c r="AB79" s="127">
        <f t="shared" si="23"/>
        <v>3</v>
      </c>
      <c r="AC79" s="127">
        <f t="shared" si="23"/>
        <v>1</v>
      </c>
      <c r="AD79" s="127">
        <f t="shared" si="23"/>
        <v>1</v>
      </c>
      <c r="AE79" s="127">
        <f t="shared" si="23"/>
        <v>4</v>
      </c>
      <c r="AF79" s="127">
        <f t="shared" si="23"/>
        <v>5</v>
      </c>
      <c r="AG79" s="127">
        <f t="shared" si="23"/>
        <v>0</v>
      </c>
      <c r="AH79" s="68">
        <f t="shared" si="24"/>
        <v>2.6</v>
      </c>
      <c r="AI79" s="49"/>
      <c r="AJ79" s="76"/>
      <c r="AK79" s="43"/>
      <c r="AL79" s="5"/>
      <c r="AM79" s="5"/>
      <c r="AN79" s="1"/>
      <c r="AO79" s="133"/>
      <c r="AP79" s="5"/>
      <c r="AQ79" s="5"/>
      <c r="AR79" s="135"/>
      <c r="AS79" s="8"/>
      <c r="AT79" s="78">
        <v>50.78</v>
      </c>
      <c r="AU79" s="79">
        <f t="shared" ca="1" si="25"/>
        <v>57.282802155888348</v>
      </c>
      <c r="AV79" s="80">
        <f t="shared" ca="1" si="26"/>
        <v>1489.352856053097</v>
      </c>
      <c r="AW79" s="80">
        <f t="shared" ca="1" si="27"/>
        <v>183.11285605309695</v>
      </c>
      <c r="AX79" s="81"/>
      <c r="AY79" s="19"/>
      <c r="AZ79" s="19"/>
      <c r="BA79" s="19"/>
      <c r="BB79" s="19"/>
      <c r="BD79" s="512">
        <f t="shared" ca="1" si="28"/>
        <v>5.7004588596582737</v>
      </c>
      <c r="BE79" s="499">
        <f t="shared" ca="1" si="29"/>
        <v>1495.0533149127552</v>
      </c>
    </row>
    <row r="80" spans="1:57" s="134" customFormat="1" ht="12" customHeight="1">
      <c r="A80" s="5" t="str">
        <f t="shared" si="21"/>
        <v>PA-JDEL1TEMP-COM</v>
      </c>
      <c r="B80" s="48" t="s">
        <v>185</v>
      </c>
      <c r="C80" s="48" t="s">
        <v>186</v>
      </c>
      <c r="D80" s="132">
        <v>24.07</v>
      </c>
      <c r="E80" s="74">
        <v>35</v>
      </c>
      <c r="F80" s="67"/>
      <c r="G80" s="68">
        <v>24.07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68">
        <v>0</v>
      </c>
      <c r="R80" s="68">
        <v>24.07</v>
      </c>
      <c r="S80" s="68">
        <f t="shared" si="22"/>
        <v>48.14</v>
      </c>
      <c r="T80" s="19">
        <v>33010</v>
      </c>
      <c r="U80" s="19"/>
      <c r="V80" s="127">
        <f t="shared" si="23"/>
        <v>1</v>
      </c>
      <c r="W80" s="127">
        <f t="shared" si="23"/>
        <v>0</v>
      </c>
      <c r="X80" s="127">
        <f t="shared" si="23"/>
        <v>0</v>
      </c>
      <c r="Y80" s="127">
        <f t="shared" si="23"/>
        <v>0</v>
      </c>
      <c r="Z80" s="127">
        <f t="shared" si="23"/>
        <v>0</v>
      </c>
      <c r="AA80" s="127">
        <f t="shared" si="23"/>
        <v>0</v>
      </c>
      <c r="AB80" s="127">
        <f t="shared" si="23"/>
        <v>0</v>
      </c>
      <c r="AC80" s="127">
        <f t="shared" si="23"/>
        <v>0</v>
      </c>
      <c r="AD80" s="127">
        <f t="shared" si="23"/>
        <v>0</v>
      </c>
      <c r="AE80" s="127">
        <f t="shared" si="23"/>
        <v>0</v>
      </c>
      <c r="AF80" s="127">
        <f t="shared" si="23"/>
        <v>0</v>
      </c>
      <c r="AG80" s="127">
        <f t="shared" si="23"/>
        <v>1</v>
      </c>
      <c r="AH80" s="68">
        <f t="shared" si="24"/>
        <v>1</v>
      </c>
      <c r="AI80" s="49"/>
      <c r="AJ80" s="76"/>
      <c r="AK80" s="43"/>
      <c r="AL80" s="5"/>
      <c r="AM80" s="5"/>
      <c r="AN80" s="1"/>
      <c r="AO80" s="136"/>
      <c r="AP80" s="5"/>
      <c r="AQ80" s="5"/>
      <c r="AR80"/>
      <c r="AS80" s="8"/>
      <c r="AT80" s="78">
        <v>24.07</v>
      </c>
      <c r="AU80" s="79">
        <f t="shared" ca="1" si="25"/>
        <v>27.152364078224348</v>
      </c>
      <c r="AV80" s="80">
        <f t="shared" ca="1" si="26"/>
        <v>54.304728156448689</v>
      </c>
      <c r="AW80" s="80">
        <f t="shared" ca="1" si="27"/>
        <v>6.1647281564486889</v>
      </c>
      <c r="AX80" s="81"/>
      <c r="AY80" s="19"/>
      <c r="AZ80" s="19"/>
      <c r="BA80" s="19"/>
      <c r="BB80" s="19"/>
      <c r="BD80" s="512">
        <f t="shared" ca="1" si="28"/>
        <v>0.20784991782345352</v>
      </c>
      <c r="BE80" s="499">
        <f t="shared" ca="1" si="29"/>
        <v>54.512578074272142</v>
      </c>
    </row>
    <row r="81" spans="1:57" s="134" customFormat="1" ht="12" customHeight="1">
      <c r="A81" s="5" t="str">
        <f t="shared" si="21"/>
        <v>PA-JSP1-COM</v>
      </c>
      <c r="B81" s="48" t="s">
        <v>187</v>
      </c>
      <c r="C81" s="48" t="s">
        <v>188</v>
      </c>
      <c r="D81" s="132">
        <v>26.08</v>
      </c>
      <c r="E81" s="74">
        <v>35</v>
      </c>
      <c r="F81" s="67"/>
      <c r="G81" s="68">
        <v>130.4</v>
      </c>
      <c r="H81" s="68">
        <v>78.239999999999995</v>
      </c>
      <c r="I81" s="68">
        <v>104.32</v>
      </c>
      <c r="J81" s="68">
        <v>0</v>
      </c>
      <c r="K81" s="68">
        <v>0</v>
      </c>
      <c r="L81" s="68">
        <v>52.16</v>
      </c>
      <c r="M81" s="68">
        <v>130.4</v>
      </c>
      <c r="N81" s="68">
        <v>78.239999999999995</v>
      </c>
      <c r="O81" s="68">
        <v>104.32</v>
      </c>
      <c r="P81" s="68">
        <v>182.56</v>
      </c>
      <c r="Q81" s="68">
        <v>130.4</v>
      </c>
      <c r="R81" s="68">
        <v>208.64</v>
      </c>
      <c r="S81" s="68">
        <f t="shared" si="22"/>
        <v>1199.6799999999998</v>
      </c>
      <c r="T81" s="19">
        <v>33010</v>
      </c>
      <c r="U81" s="19"/>
      <c r="V81" s="127">
        <f t="shared" si="23"/>
        <v>5.0000000000000009</v>
      </c>
      <c r="W81" s="127">
        <f t="shared" si="23"/>
        <v>3</v>
      </c>
      <c r="X81" s="127">
        <f t="shared" si="23"/>
        <v>4</v>
      </c>
      <c r="Y81" s="127">
        <f t="shared" si="23"/>
        <v>0</v>
      </c>
      <c r="Z81" s="127">
        <f t="shared" si="23"/>
        <v>0</v>
      </c>
      <c r="AA81" s="127">
        <f t="shared" si="23"/>
        <v>2</v>
      </c>
      <c r="AB81" s="127">
        <f t="shared" si="23"/>
        <v>5.0000000000000009</v>
      </c>
      <c r="AC81" s="127">
        <f t="shared" si="23"/>
        <v>3</v>
      </c>
      <c r="AD81" s="127">
        <f t="shared" si="23"/>
        <v>4</v>
      </c>
      <c r="AE81" s="127">
        <f t="shared" si="23"/>
        <v>7.0000000000000009</v>
      </c>
      <c r="AF81" s="127">
        <f t="shared" si="23"/>
        <v>5.0000000000000009</v>
      </c>
      <c r="AG81" s="127">
        <f t="shared" si="23"/>
        <v>8</v>
      </c>
      <c r="AH81" s="68">
        <f t="shared" si="24"/>
        <v>4.5999999999999996</v>
      </c>
      <c r="AI81" s="49"/>
      <c r="AJ81" s="76"/>
      <c r="AK81" s="43"/>
      <c r="AL81" s="5"/>
      <c r="AM81" s="5"/>
      <c r="AN81" s="1"/>
      <c r="AO81" s="133"/>
      <c r="AP81" s="5"/>
      <c r="AQ81" s="5"/>
      <c r="AR81" s="135"/>
      <c r="AS81" s="8"/>
      <c r="AT81" s="78">
        <v>26.37</v>
      </c>
      <c r="AU81" s="79">
        <f t="shared" ca="1" si="25"/>
        <v>29.746898244402828</v>
      </c>
      <c r="AV81" s="80">
        <f t="shared" ca="1" si="26"/>
        <v>1368.3573192425301</v>
      </c>
      <c r="AW81" s="80">
        <f t="shared" ca="1" si="27"/>
        <v>168.6773192425303</v>
      </c>
      <c r="AX81" s="81"/>
      <c r="AY81" s="19"/>
      <c r="BD81" s="512">
        <f t="shared" ca="1" si="28"/>
        <v>5.2373516268842053</v>
      </c>
      <c r="BE81" s="499">
        <f t="shared" ca="1" si="29"/>
        <v>1373.5946708694144</v>
      </c>
    </row>
    <row r="82" spans="1:57" s="134" customFormat="1" ht="12" customHeight="1">
      <c r="A82" s="5" t="str">
        <f t="shared" si="21"/>
        <v>PA-JF2YDEXCO</v>
      </c>
      <c r="B82" s="48" t="s">
        <v>189</v>
      </c>
      <c r="C82" s="48" t="s">
        <v>190</v>
      </c>
      <c r="D82" s="132">
        <v>50.24</v>
      </c>
      <c r="E82" s="74">
        <v>36</v>
      </c>
      <c r="F82" s="67"/>
      <c r="G82" s="68">
        <v>753.6</v>
      </c>
      <c r="H82" s="68">
        <v>401.92</v>
      </c>
      <c r="I82" s="68">
        <v>200.96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351.68</v>
      </c>
      <c r="P82" s="68">
        <v>753.6</v>
      </c>
      <c r="Q82" s="68">
        <v>1356.48</v>
      </c>
      <c r="R82" s="68">
        <v>1205.76</v>
      </c>
      <c r="S82" s="68">
        <f t="shared" si="22"/>
        <v>5024</v>
      </c>
      <c r="T82" s="19">
        <v>33011</v>
      </c>
      <c r="U82" s="19"/>
      <c r="V82" s="127">
        <f t="shared" si="23"/>
        <v>15</v>
      </c>
      <c r="W82" s="127">
        <f t="shared" si="23"/>
        <v>8</v>
      </c>
      <c r="X82" s="127">
        <f t="shared" si="23"/>
        <v>4</v>
      </c>
      <c r="Y82" s="127">
        <f t="shared" si="23"/>
        <v>0</v>
      </c>
      <c r="Z82" s="127">
        <f t="shared" si="23"/>
        <v>0</v>
      </c>
      <c r="AA82" s="127">
        <f t="shared" si="23"/>
        <v>0</v>
      </c>
      <c r="AB82" s="127">
        <f t="shared" si="23"/>
        <v>0</v>
      </c>
      <c r="AC82" s="127">
        <f t="shared" si="23"/>
        <v>0</v>
      </c>
      <c r="AD82" s="127">
        <f t="shared" si="23"/>
        <v>7</v>
      </c>
      <c r="AE82" s="127">
        <f t="shared" si="23"/>
        <v>15</v>
      </c>
      <c r="AF82" s="127">
        <f t="shared" si="23"/>
        <v>27</v>
      </c>
      <c r="AG82" s="127">
        <f t="shared" si="23"/>
        <v>24</v>
      </c>
      <c r="AH82" s="68">
        <f t="shared" si="24"/>
        <v>14.285714285714286</v>
      </c>
      <c r="AI82" s="49"/>
      <c r="AJ82" s="76"/>
      <c r="AK82" s="43"/>
      <c r="AL82" s="5"/>
      <c r="AM82" s="5"/>
      <c r="AN82" s="1"/>
      <c r="AO82" s="133"/>
      <c r="AP82" s="5"/>
      <c r="AQ82" s="5"/>
      <c r="AR82" s="135"/>
      <c r="AS82" s="8"/>
      <c r="AT82" s="78">
        <v>50.78</v>
      </c>
      <c r="AU82" s="79">
        <f t="shared" ca="1" si="25"/>
        <v>57.282802155888348</v>
      </c>
      <c r="AV82" s="80">
        <f t="shared" ca="1" si="26"/>
        <v>5728.2802155888357</v>
      </c>
      <c r="AW82" s="80">
        <f t="shared" ca="1" si="27"/>
        <v>704.28021558883574</v>
      </c>
      <c r="AX82" s="81"/>
      <c r="AY82" s="19"/>
      <c r="BD82" s="512">
        <f t="shared" ca="1" si="28"/>
        <v>21.92484176791644</v>
      </c>
      <c r="BE82" s="499">
        <f t="shared" ca="1" si="29"/>
        <v>5750.2050573567521</v>
      </c>
    </row>
    <row r="83" spans="1:57" s="19" customFormat="1" ht="12" customHeight="1">
      <c r="A83" s="71" t="str">
        <f t="shared" si="21"/>
        <v>PA-JF2YD1WCO</v>
      </c>
      <c r="B83" s="72" t="s">
        <v>191</v>
      </c>
      <c r="C83" s="72" t="s">
        <v>192</v>
      </c>
      <c r="D83" s="73">
        <v>195.89</v>
      </c>
      <c r="E83" s="74">
        <v>36</v>
      </c>
      <c r="F83" s="67"/>
      <c r="G83" s="75">
        <v>0</v>
      </c>
      <c r="H83" s="75">
        <v>0</v>
      </c>
      <c r="I83" s="75">
        <v>0</v>
      </c>
      <c r="J83" s="75">
        <v>0</v>
      </c>
      <c r="K83" s="75">
        <v>0</v>
      </c>
      <c r="L83" s="75">
        <v>0</v>
      </c>
      <c r="M83" s="75">
        <v>0</v>
      </c>
      <c r="N83" s="75">
        <v>97.94</v>
      </c>
      <c r="O83" s="75">
        <v>391.78</v>
      </c>
      <c r="P83" s="75">
        <v>391.78</v>
      </c>
      <c r="Q83" s="75">
        <v>391.78</v>
      </c>
      <c r="R83" s="75">
        <v>391.78</v>
      </c>
      <c r="S83" s="75">
        <f t="shared" si="22"/>
        <v>1665.06</v>
      </c>
      <c r="T83" s="71">
        <v>33010</v>
      </c>
      <c r="V83" s="75">
        <f t="shared" si="23"/>
        <v>0</v>
      </c>
      <c r="W83" s="75">
        <f t="shared" si="23"/>
        <v>0</v>
      </c>
      <c r="X83" s="75">
        <f t="shared" si="23"/>
        <v>0</v>
      </c>
      <c r="Y83" s="75">
        <f t="shared" ref="Y83:AG111" si="31">IFERROR(J83/$D83,0)</f>
        <v>0</v>
      </c>
      <c r="Z83" s="75">
        <f t="shared" si="31"/>
        <v>0</v>
      </c>
      <c r="AA83" s="75">
        <f t="shared" si="31"/>
        <v>0</v>
      </c>
      <c r="AB83" s="75">
        <f t="shared" si="31"/>
        <v>0</v>
      </c>
      <c r="AC83" s="75">
        <f t="shared" si="31"/>
        <v>0.4999744754709276</v>
      </c>
      <c r="AD83" s="75">
        <f t="shared" si="31"/>
        <v>2</v>
      </c>
      <c r="AE83" s="75">
        <f t="shared" si="31"/>
        <v>2</v>
      </c>
      <c r="AF83" s="75">
        <f t="shared" si="31"/>
        <v>2</v>
      </c>
      <c r="AG83" s="75">
        <f t="shared" si="31"/>
        <v>2</v>
      </c>
      <c r="AH83" s="75">
        <f t="shared" si="24"/>
        <v>1.6999948950941857</v>
      </c>
      <c r="AI83" s="49"/>
      <c r="AJ83" s="76"/>
      <c r="AK83" s="43" t="s">
        <v>151</v>
      </c>
      <c r="AL83" s="5"/>
      <c r="AM83" s="5"/>
      <c r="AN83" s="1">
        <v>0</v>
      </c>
      <c r="AO83" s="137">
        <f>+AH83*AN83</f>
        <v>0</v>
      </c>
      <c r="AP83" s="5"/>
      <c r="AQ83" s="5"/>
      <c r="AR83" s="135"/>
      <c r="AS83" s="8"/>
      <c r="AT83" s="78">
        <v>198.22740000000002</v>
      </c>
      <c r="AU83" s="79">
        <f t="shared" ca="1" si="25"/>
        <v>223.6120704229252</v>
      </c>
      <c r="AV83" s="80">
        <f t="shared" ca="1" si="26"/>
        <v>1900.6968910020721</v>
      </c>
      <c r="AW83" s="80">
        <f t="shared" ca="1" si="27"/>
        <v>235.63689100207216</v>
      </c>
      <c r="AX83" s="81"/>
      <c r="AZ83" s="134"/>
      <c r="BA83" s="134"/>
      <c r="BB83" s="134"/>
      <c r="BC83" s="134"/>
      <c r="BD83" s="512">
        <f t="shared" ca="1" si="28"/>
        <v>7.2748673276465148</v>
      </c>
      <c r="BE83" s="499">
        <f t="shared" ca="1" si="29"/>
        <v>1907.9717583297186</v>
      </c>
    </row>
    <row r="84" spans="1:57" s="134" customFormat="1" ht="12" customHeight="1">
      <c r="A84" s="5" t="str">
        <f t="shared" si="21"/>
        <v>PA-JCEXYD</v>
      </c>
      <c r="B84" s="48" t="s">
        <v>193</v>
      </c>
      <c r="C84" s="48" t="s">
        <v>194</v>
      </c>
      <c r="D84" s="73">
        <v>27.87</v>
      </c>
      <c r="E84" s="74">
        <v>35</v>
      </c>
      <c r="F84" s="67"/>
      <c r="G84" s="68">
        <v>1665.51</v>
      </c>
      <c r="H84" s="68">
        <v>1770.05</v>
      </c>
      <c r="I84" s="68">
        <v>940.83</v>
      </c>
      <c r="J84" s="68">
        <v>334.47</v>
      </c>
      <c r="K84" s="68">
        <v>76.650000000000006</v>
      </c>
      <c r="L84" s="68">
        <v>480.77</v>
      </c>
      <c r="M84" s="68">
        <v>627.11</v>
      </c>
      <c r="N84" s="68">
        <v>710.72</v>
      </c>
      <c r="O84" s="68">
        <v>383.25</v>
      </c>
      <c r="P84" s="68">
        <v>766.48</v>
      </c>
      <c r="Q84" s="68">
        <v>543.5</v>
      </c>
      <c r="R84" s="68">
        <v>1024.28</v>
      </c>
      <c r="S84" s="68">
        <f t="shared" si="22"/>
        <v>9323.6200000000008</v>
      </c>
      <c r="T84" s="19">
        <v>33011</v>
      </c>
      <c r="U84" s="19"/>
      <c r="V84" s="127">
        <f t="shared" ref="V84:AA115" si="32">IFERROR(G84/$D84,0)</f>
        <v>59.759956942949408</v>
      </c>
      <c r="W84" s="127">
        <f t="shared" si="32"/>
        <v>63.510943667025472</v>
      </c>
      <c r="X84" s="127">
        <f t="shared" si="32"/>
        <v>33.757804090419803</v>
      </c>
      <c r="Y84" s="127">
        <f t="shared" si="31"/>
        <v>12.001076426264801</v>
      </c>
      <c r="Z84" s="127">
        <f t="shared" si="31"/>
        <v>2.7502691065662002</v>
      </c>
      <c r="AA84" s="127">
        <f t="shared" si="31"/>
        <v>17.250448510943666</v>
      </c>
      <c r="AB84" s="127">
        <f t="shared" si="31"/>
        <v>22.501255830642268</v>
      </c>
      <c r="AC84" s="127">
        <f t="shared" si="31"/>
        <v>25.501255830642268</v>
      </c>
      <c r="AD84" s="127">
        <f t="shared" si="31"/>
        <v>13.751345532831001</v>
      </c>
      <c r="AE84" s="127">
        <f t="shared" si="31"/>
        <v>27.501973448152135</v>
      </c>
      <c r="AF84" s="127">
        <f t="shared" si="31"/>
        <v>19.501255830642268</v>
      </c>
      <c r="AG84" s="127">
        <f t="shared" si="31"/>
        <v>36.752063150340867</v>
      </c>
      <c r="AH84" s="68">
        <f t="shared" si="24"/>
        <v>27.878304030618349</v>
      </c>
      <c r="AI84" s="49"/>
      <c r="AJ84" s="76"/>
      <c r="AK84" s="43"/>
      <c r="AL84" s="5"/>
      <c r="AM84" s="5"/>
      <c r="AN84" s="1"/>
      <c r="AO84" s="137"/>
      <c r="AP84" s="5"/>
      <c r="AQ84" s="5"/>
      <c r="AR84" s="135"/>
      <c r="AS84" s="8"/>
      <c r="AT84" s="78">
        <v>28.08</v>
      </c>
      <c r="AU84" s="79">
        <f t="shared" ca="1" si="25"/>
        <v>31.675877994039869</v>
      </c>
      <c r="AV84" s="80">
        <f t="shared" ca="1" si="26"/>
        <v>10596.837085855401</v>
      </c>
      <c r="AW84" s="80">
        <f t="shared" ca="1" si="27"/>
        <v>1273.2170858554</v>
      </c>
      <c r="AX84" s="81"/>
      <c r="AY84" s="19"/>
      <c r="BC84" s="19"/>
      <c r="BD84" s="512">
        <f t="shared" ca="1" si="28"/>
        <v>40.559115057866592</v>
      </c>
      <c r="BE84" s="499">
        <f t="shared" ca="1" si="29"/>
        <v>10637.396200913267</v>
      </c>
    </row>
    <row r="85" spans="1:57" s="134" customFormat="1" ht="13.15" customHeight="1">
      <c r="A85" s="5" t="str">
        <f t="shared" si="21"/>
        <v>PA-JCLOCKWKLY</v>
      </c>
      <c r="B85" s="48" t="s">
        <v>195</v>
      </c>
      <c r="C85" s="48" t="s">
        <v>196</v>
      </c>
      <c r="D85" s="73">
        <v>4.8499999999999996</v>
      </c>
      <c r="E85" s="74">
        <v>35</v>
      </c>
      <c r="F85" s="67"/>
      <c r="G85" s="68">
        <v>126.1</v>
      </c>
      <c r="H85" s="68">
        <v>128.51999999999998</v>
      </c>
      <c r="I85" s="68">
        <v>128.53</v>
      </c>
      <c r="J85" s="68">
        <v>128.51999999999998</v>
      </c>
      <c r="K85" s="68">
        <v>128.53</v>
      </c>
      <c r="L85" s="68">
        <v>128.51999999999998</v>
      </c>
      <c r="M85" s="68">
        <v>128.53</v>
      </c>
      <c r="N85" s="68">
        <v>128.51999999999998</v>
      </c>
      <c r="O85" s="68">
        <v>128.53</v>
      </c>
      <c r="P85" s="68">
        <v>133.36999999999998</v>
      </c>
      <c r="Q85" s="68">
        <v>132.16</v>
      </c>
      <c r="R85" s="68">
        <v>133.36999999999998</v>
      </c>
      <c r="S85" s="68">
        <f t="shared" si="22"/>
        <v>1553.1999999999998</v>
      </c>
      <c r="T85" s="19">
        <v>33011</v>
      </c>
      <c r="U85" s="19"/>
      <c r="V85" s="127">
        <f t="shared" si="32"/>
        <v>26</v>
      </c>
      <c r="W85" s="127">
        <f t="shared" si="32"/>
        <v>26.498969072164947</v>
      </c>
      <c r="X85" s="127">
        <f t="shared" si="32"/>
        <v>26.501030927835053</v>
      </c>
      <c r="Y85" s="127">
        <f t="shared" si="31"/>
        <v>26.498969072164947</v>
      </c>
      <c r="Z85" s="127">
        <f t="shared" si="31"/>
        <v>26.501030927835053</v>
      </c>
      <c r="AA85" s="127">
        <f t="shared" si="31"/>
        <v>26.498969072164947</v>
      </c>
      <c r="AB85" s="127">
        <f t="shared" si="31"/>
        <v>26.501030927835053</v>
      </c>
      <c r="AC85" s="127">
        <f t="shared" si="31"/>
        <v>26.498969072164947</v>
      </c>
      <c r="AD85" s="127">
        <f t="shared" si="31"/>
        <v>26.501030927835053</v>
      </c>
      <c r="AE85" s="127">
        <f t="shared" si="31"/>
        <v>27.498969072164947</v>
      </c>
      <c r="AF85" s="127">
        <f t="shared" si="31"/>
        <v>27.249484536082477</v>
      </c>
      <c r="AG85" s="127">
        <f t="shared" si="31"/>
        <v>27.498969072164947</v>
      </c>
      <c r="AH85" s="68">
        <f t="shared" si="24"/>
        <v>26.687285223367695</v>
      </c>
      <c r="AI85" s="49"/>
      <c r="AJ85" s="76"/>
      <c r="AK85" s="43"/>
      <c r="AL85" s="5"/>
      <c r="AM85" s="5"/>
      <c r="AN85" s="1"/>
      <c r="AO85" s="137"/>
      <c r="AP85" s="5"/>
      <c r="AQ85" s="5"/>
      <c r="AR85"/>
      <c r="AS85" s="8"/>
      <c r="AT85" s="78">
        <v>4.8499999999999996</v>
      </c>
      <c r="AU85" s="79">
        <f t="shared" ca="1" si="25"/>
        <v>5.4710829156372283</v>
      </c>
      <c r="AV85" s="80">
        <f t="shared" ca="1" si="26"/>
        <v>1752.1002030036584</v>
      </c>
      <c r="AW85" s="80">
        <f t="shared" ca="1" si="27"/>
        <v>198.90020300365859</v>
      </c>
      <c r="AX85" s="81"/>
      <c r="AY85" s="19"/>
      <c r="BD85" s="512">
        <f t="shared" ca="1" si="28"/>
        <v>6.7061174151098477</v>
      </c>
      <c r="BE85" s="499">
        <f t="shared" ca="1" si="29"/>
        <v>1758.8063204187683</v>
      </c>
    </row>
    <row r="86" spans="1:57" s="19" customFormat="1" ht="12" customHeight="1">
      <c r="A86" s="71" t="str">
        <f t="shared" si="21"/>
        <v>PA-JR1.5YD1W</v>
      </c>
      <c r="B86" s="72" t="s">
        <v>197</v>
      </c>
      <c r="C86" s="72" t="s">
        <v>198</v>
      </c>
      <c r="D86" s="73">
        <v>140.12</v>
      </c>
      <c r="E86" s="74">
        <v>35</v>
      </c>
      <c r="F86" s="67"/>
      <c r="G86" s="75">
        <v>5920.07</v>
      </c>
      <c r="H86" s="75">
        <v>5709.89</v>
      </c>
      <c r="I86" s="75">
        <v>5604.8</v>
      </c>
      <c r="J86" s="75">
        <v>5394.62</v>
      </c>
      <c r="K86" s="75">
        <v>5324.56</v>
      </c>
      <c r="L86" s="75">
        <v>5324.56</v>
      </c>
      <c r="M86" s="75">
        <v>5254.5</v>
      </c>
      <c r="N86" s="75">
        <v>5044.32</v>
      </c>
      <c r="O86" s="75">
        <v>5149.41</v>
      </c>
      <c r="P86" s="75">
        <v>5149.41</v>
      </c>
      <c r="Q86" s="75">
        <v>5289.53</v>
      </c>
      <c r="R86" s="75">
        <v>5499.71</v>
      </c>
      <c r="S86" s="75">
        <f t="shared" si="22"/>
        <v>64665.38</v>
      </c>
      <c r="T86" s="71">
        <v>33010</v>
      </c>
      <c r="V86" s="75">
        <f t="shared" si="32"/>
        <v>42.25</v>
      </c>
      <c r="W86" s="75">
        <f t="shared" si="32"/>
        <v>40.75</v>
      </c>
      <c r="X86" s="75">
        <f t="shared" si="32"/>
        <v>40</v>
      </c>
      <c r="Y86" s="75">
        <f t="shared" si="31"/>
        <v>38.5</v>
      </c>
      <c r="Z86" s="75">
        <f t="shared" si="31"/>
        <v>38</v>
      </c>
      <c r="AA86" s="75">
        <f t="shared" si="31"/>
        <v>38</v>
      </c>
      <c r="AB86" s="75">
        <f t="shared" si="31"/>
        <v>37.5</v>
      </c>
      <c r="AC86" s="75">
        <f t="shared" si="31"/>
        <v>36</v>
      </c>
      <c r="AD86" s="75">
        <f t="shared" si="31"/>
        <v>36.75</v>
      </c>
      <c r="AE86" s="75">
        <f t="shared" si="31"/>
        <v>36.75</v>
      </c>
      <c r="AF86" s="75">
        <f t="shared" si="31"/>
        <v>37.75</v>
      </c>
      <c r="AG86" s="75">
        <f t="shared" si="31"/>
        <v>39.25</v>
      </c>
      <c r="AH86" s="75">
        <f t="shared" si="24"/>
        <v>38.458333333333336</v>
      </c>
      <c r="AI86" s="49"/>
      <c r="AJ86" s="76"/>
      <c r="AK86" s="43" t="s">
        <v>162</v>
      </c>
      <c r="AL86" s="5"/>
      <c r="AM86" s="5"/>
      <c r="AN86" s="1">
        <v>1</v>
      </c>
      <c r="AO86" s="137">
        <f>+AH86*AN86</f>
        <v>38.458333333333336</v>
      </c>
      <c r="AP86" s="5"/>
      <c r="AQ86" s="5"/>
      <c r="AR86" s="135"/>
      <c r="AS86" s="8"/>
      <c r="AT86" s="78">
        <f>32.788*4.33</f>
        <v>141.97203999999999</v>
      </c>
      <c r="AU86" s="79">
        <f t="shared" ca="1" si="25"/>
        <v>160.15274279219901</v>
      </c>
      <c r="AV86" s="80">
        <f t="shared" ca="1" si="26"/>
        <v>73910.490798599843</v>
      </c>
      <c r="AW86" s="80">
        <f t="shared" ca="1" si="27"/>
        <v>9245.110798599846</v>
      </c>
      <c r="AX86" s="81"/>
      <c r="BC86" s="134"/>
      <c r="BD86" s="512">
        <f t="shared" ca="1" si="28"/>
        <v>282.89045835055566</v>
      </c>
      <c r="BE86" s="499">
        <f t="shared" ca="1" si="29"/>
        <v>74193.381256950393</v>
      </c>
    </row>
    <row r="87" spans="1:57" s="19" customFormat="1" ht="12" customHeight="1">
      <c r="A87" s="71" t="str">
        <f t="shared" si="21"/>
        <v>PA-JR1.5YD2W</v>
      </c>
      <c r="B87" s="72" t="s">
        <v>199</v>
      </c>
      <c r="C87" s="72" t="s">
        <v>200</v>
      </c>
      <c r="D87" s="73">
        <v>280.24</v>
      </c>
      <c r="E87" s="74">
        <v>35</v>
      </c>
      <c r="F87" s="67"/>
      <c r="G87" s="75">
        <v>280.24</v>
      </c>
      <c r="H87" s="75">
        <v>280.24</v>
      </c>
      <c r="I87" s="75">
        <v>280.24</v>
      </c>
      <c r="J87" s="75">
        <v>280.24</v>
      </c>
      <c r="K87" s="75">
        <v>280.24</v>
      </c>
      <c r="L87" s="75">
        <v>280.24</v>
      </c>
      <c r="M87" s="75">
        <v>280.24</v>
      </c>
      <c r="N87" s="75">
        <v>280.24</v>
      </c>
      <c r="O87" s="75">
        <v>280.24</v>
      </c>
      <c r="P87" s="75">
        <v>280.24</v>
      </c>
      <c r="Q87" s="75">
        <v>280.24</v>
      </c>
      <c r="R87" s="75">
        <v>280.24</v>
      </c>
      <c r="S87" s="75">
        <f t="shared" si="22"/>
        <v>3362.8799999999992</v>
      </c>
      <c r="T87" s="71">
        <v>33010</v>
      </c>
      <c r="V87" s="75">
        <f t="shared" si="32"/>
        <v>1</v>
      </c>
      <c r="W87" s="75">
        <f t="shared" si="32"/>
        <v>1</v>
      </c>
      <c r="X87" s="75">
        <f t="shared" si="32"/>
        <v>1</v>
      </c>
      <c r="Y87" s="75">
        <f t="shared" si="31"/>
        <v>1</v>
      </c>
      <c r="Z87" s="75">
        <f t="shared" si="31"/>
        <v>1</v>
      </c>
      <c r="AA87" s="75">
        <f t="shared" si="31"/>
        <v>1</v>
      </c>
      <c r="AB87" s="75">
        <f t="shared" si="31"/>
        <v>1</v>
      </c>
      <c r="AC87" s="75">
        <f t="shared" si="31"/>
        <v>1</v>
      </c>
      <c r="AD87" s="75">
        <f t="shared" si="31"/>
        <v>1</v>
      </c>
      <c r="AE87" s="75">
        <f t="shared" si="31"/>
        <v>1</v>
      </c>
      <c r="AF87" s="75">
        <f t="shared" si="31"/>
        <v>1</v>
      </c>
      <c r="AG87" s="75">
        <f t="shared" si="31"/>
        <v>1</v>
      </c>
      <c r="AH87" s="75">
        <f t="shared" si="24"/>
        <v>1</v>
      </c>
      <c r="AI87" s="49"/>
      <c r="AJ87" s="76"/>
      <c r="AK87" s="43" t="s">
        <v>162</v>
      </c>
      <c r="AL87" s="5"/>
      <c r="AM87" s="5"/>
      <c r="AN87" s="1">
        <v>1</v>
      </c>
      <c r="AO87" s="137">
        <f>+AH87*AN87</f>
        <v>1</v>
      </c>
      <c r="AP87" s="5"/>
      <c r="AQ87" s="5"/>
      <c r="AR87" s="135"/>
      <c r="AS87" s="8"/>
      <c r="AT87" s="78">
        <f>32.78*8.66</f>
        <v>283.87479999999999</v>
      </c>
      <c r="AU87" s="79">
        <f t="shared" ca="1" si="25"/>
        <v>320.22733370307941</v>
      </c>
      <c r="AV87" s="80">
        <f t="shared" ca="1" si="26"/>
        <v>3842.7280044369527</v>
      </c>
      <c r="AW87" s="80">
        <f t="shared" ca="1" si="27"/>
        <v>479.84800443695349</v>
      </c>
      <c r="AX87" s="81"/>
      <c r="AZ87" s="134"/>
      <c r="BA87" s="134"/>
      <c r="BB87" s="134"/>
      <c r="BD87" s="512">
        <f t="shared" ca="1" si="28"/>
        <v>14.707940303817859</v>
      </c>
      <c r="BE87" s="499">
        <f t="shared" ca="1" si="29"/>
        <v>3857.4359447407705</v>
      </c>
    </row>
    <row r="88" spans="1:57" s="5" customFormat="1" ht="12" customHeight="1">
      <c r="A88" s="5" t="str">
        <f t="shared" si="21"/>
        <v>PA-JR1.5YDEX</v>
      </c>
      <c r="B88" s="48" t="s">
        <v>201</v>
      </c>
      <c r="C88" s="48" t="s">
        <v>202</v>
      </c>
      <c r="D88" s="73">
        <v>35.36</v>
      </c>
      <c r="E88" s="74">
        <v>35</v>
      </c>
      <c r="F88" s="67"/>
      <c r="G88" s="68">
        <v>0</v>
      </c>
      <c r="H88" s="68">
        <v>0</v>
      </c>
      <c r="I88" s="68">
        <v>0</v>
      </c>
      <c r="J88" s="68">
        <v>0</v>
      </c>
      <c r="K88" s="68">
        <v>0</v>
      </c>
      <c r="L88" s="68">
        <v>0</v>
      </c>
      <c r="M88" s="68">
        <v>0</v>
      </c>
      <c r="N88" s="68">
        <v>0</v>
      </c>
      <c r="O88" s="68">
        <v>0</v>
      </c>
      <c r="P88" s="68">
        <v>35.36</v>
      </c>
      <c r="Q88" s="68">
        <v>0</v>
      </c>
      <c r="R88" s="68">
        <v>0</v>
      </c>
      <c r="S88" s="68">
        <f t="shared" si="22"/>
        <v>35.36</v>
      </c>
      <c r="T88" s="19">
        <v>33011</v>
      </c>
      <c r="U88" s="19"/>
      <c r="V88" s="127">
        <f t="shared" si="32"/>
        <v>0</v>
      </c>
      <c r="W88" s="127">
        <f t="shared" si="32"/>
        <v>0</v>
      </c>
      <c r="X88" s="127">
        <f t="shared" si="32"/>
        <v>0</v>
      </c>
      <c r="Y88" s="127">
        <f t="shared" si="31"/>
        <v>0</v>
      </c>
      <c r="Z88" s="127">
        <f t="shared" si="31"/>
        <v>0</v>
      </c>
      <c r="AA88" s="127">
        <f t="shared" si="31"/>
        <v>0</v>
      </c>
      <c r="AB88" s="127">
        <f t="shared" si="31"/>
        <v>0</v>
      </c>
      <c r="AC88" s="127">
        <f t="shared" si="31"/>
        <v>0</v>
      </c>
      <c r="AD88" s="127">
        <f t="shared" si="31"/>
        <v>0</v>
      </c>
      <c r="AE88" s="127">
        <f t="shared" si="31"/>
        <v>1</v>
      </c>
      <c r="AF88" s="127">
        <f t="shared" si="31"/>
        <v>0</v>
      </c>
      <c r="AG88" s="127">
        <f t="shared" si="31"/>
        <v>0</v>
      </c>
      <c r="AH88" s="68">
        <f t="shared" si="24"/>
        <v>1</v>
      </c>
      <c r="AI88" s="49"/>
      <c r="AJ88" s="76"/>
      <c r="AK88" s="43"/>
      <c r="AN88" s="1"/>
      <c r="AO88" s="138"/>
      <c r="AR88" s="135"/>
      <c r="AS88" s="8"/>
      <c r="AT88" s="78">
        <v>32.78</v>
      </c>
      <c r="AU88" s="79">
        <f t="shared" ca="1" si="25"/>
        <v>36.977752159708942</v>
      </c>
      <c r="AV88" s="80">
        <f t="shared" ca="1" si="26"/>
        <v>36.977752159708942</v>
      </c>
      <c r="AW88" s="80">
        <f t="shared" ca="1" si="27"/>
        <v>1.6177521597089424</v>
      </c>
      <c r="AX88" s="81"/>
      <c r="AY88" s="19"/>
      <c r="AZ88" s="134"/>
      <c r="BA88" s="134"/>
      <c r="BB88" s="134"/>
      <c r="BC88" s="19"/>
      <c r="BD88" s="512">
        <f t="shared" ca="1" si="28"/>
        <v>0.14153137320840897</v>
      </c>
      <c r="BE88" s="499">
        <f t="shared" ca="1" si="29"/>
        <v>37.11928353291735</v>
      </c>
    </row>
    <row r="89" spans="1:57" s="5" customFormat="1" ht="12" customHeight="1">
      <c r="A89" s="5" t="str">
        <f t="shared" si="21"/>
        <v>PA-JR1.5YDRENTM</v>
      </c>
      <c r="B89" s="48" t="s">
        <v>203</v>
      </c>
      <c r="C89" s="48" t="s">
        <v>204</v>
      </c>
      <c r="D89" s="73">
        <v>6.75</v>
      </c>
      <c r="E89" s="74">
        <v>35</v>
      </c>
      <c r="F89" s="67"/>
      <c r="G89" s="68">
        <v>94.5</v>
      </c>
      <c r="H89" s="68">
        <v>94.5</v>
      </c>
      <c r="I89" s="68">
        <v>103.2</v>
      </c>
      <c r="J89" s="68">
        <v>-90.04</v>
      </c>
      <c r="K89" s="68">
        <v>128.25</v>
      </c>
      <c r="L89" s="68">
        <v>128.25</v>
      </c>
      <c r="M89" s="68">
        <v>135</v>
      </c>
      <c r="N89" s="68">
        <v>135</v>
      </c>
      <c r="O89" s="68">
        <v>135</v>
      </c>
      <c r="P89" s="68">
        <v>135</v>
      </c>
      <c r="Q89" s="68">
        <v>135</v>
      </c>
      <c r="R89" s="68">
        <v>141.09</v>
      </c>
      <c r="S89" s="68">
        <f t="shared" si="22"/>
        <v>1274.7499999999998</v>
      </c>
      <c r="T89" s="19">
        <v>33010</v>
      </c>
      <c r="U89" s="19"/>
      <c r="V89" s="127">
        <f t="shared" si="32"/>
        <v>14</v>
      </c>
      <c r="W89" s="127">
        <f t="shared" si="32"/>
        <v>14</v>
      </c>
      <c r="X89" s="127">
        <f t="shared" si="32"/>
        <v>15.28888888888889</v>
      </c>
      <c r="Y89" s="127">
        <f t="shared" si="31"/>
        <v>-13.33925925925926</v>
      </c>
      <c r="Z89" s="127">
        <f t="shared" si="31"/>
        <v>19</v>
      </c>
      <c r="AA89" s="127">
        <f t="shared" si="31"/>
        <v>19</v>
      </c>
      <c r="AB89" s="127">
        <f t="shared" si="31"/>
        <v>20</v>
      </c>
      <c r="AC89" s="127">
        <f t="shared" si="31"/>
        <v>20</v>
      </c>
      <c r="AD89" s="127">
        <f t="shared" si="31"/>
        <v>20</v>
      </c>
      <c r="AE89" s="127">
        <f t="shared" si="31"/>
        <v>20</v>
      </c>
      <c r="AF89" s="127">
        <f t="shared" si="31"/>
        <v>20</v>
      </c>
      <c r="AG89" s="127">
        <f t="shared" si="31"/>
        <v>20.902222222222221</v>
      </c>
      <c r="AH89" s="68">
        <f t="shared" si="24"/>
        <v>18.381010101010101</v>
      </c>
      <c r="AI89" s="49"/>
      <c r="AJ89" s="76"/>
      <c r="AK89" s="43"/>
      <c r="AN89" s="1"/>
      <c r="AO89" s="137"/>
      <c r="AR89"/>
      <c r="AS89" s="8"/>
      <c r="AT89" s="78">
        <v>6.75</v>
      </c>
      <c r="AU89" s="79">
        <f t="shared" ca="1" si="25"/>
        <v>7.6143937485672772</v>
      </c>
      <c r="AV89" s="80">
        <f t="shared" ca="1" si="26"/>
        <v>1437.9923601460941</v>
      </c>
      <c r="AW89" s="80">
        <f t="shared" ca="1" si="27"/>
        <v>163.24236014609437</v>
      </c>
      <c r="AX89" s="81"/>
      <c r="AY89" s="19"/>
      <c r="AZ89" s="19"/>
      <c r="BA89" s="19"/>
      <c r="BB89" s="19"/>
      <c r="BD89" s="512">
        <f t="shared" ca="1" si="28"/>
        <v>5.5038779132830786</v>
      </c>
      <c r="BE89" s="499">
        <f t="shared" ca="1" si="29"/>
        <v>1443.4962380593772</v>
      </c>
    </row>
    <row r="90" spans="1:57" s="5" customFormat="1" ht="12" customHeight="1">
      <c r="A90" s="5" t="str">
        <f t="shared" si="21"/>
        <v>PA-JR1.5YDRENTTD</v>
      </c>
      <c r="B90" s="48" t="s">
        <v>205</v>
      </c>
      <c r="C90" s="48" t="s">
        <v>206</v>
      </c>
      <c r="D90" s="73">
        <v>0.77</v>
      </c>
      <c r="E90" s="74">
        <v>35</v>
      </c>
      <c r="F90" s="67"/>
      <c r="G90" s="68">
        <v>23.87</v>
      </c>
      <c r="H90" s="68">
        <v>23.1</v>
      </c>
      <c r="I90" s="68">
        <v>23.87</v>
      </c>
      <c r="J90" s="68">
        <v>13.86</v>
      </c>
      <c r="K90" s="68">
        <v>0</v>
      </c>
      <c r="L90" s="68">
        <v>0</v>
      </c>
      <c r="M90" s="68">
        <v>0</v>
      </c>
      <c r="N90" s="68">
        <v>23.1</v>
      </c>
      <c r="O90" s="68">
        <v>23.1</v>
      </c>
      <c r="P90" s="68">
        <v>23.87</v>
      </c>
      <c r="Q90" s="68">
        <v>0</v>
      </c>
      <c r="R90" s="68">
        <v>0</v>
      </c>
      <c r="S90" s="68">
        <f t="shared" si="22"/>
        <v>154.77000000000001</v>
      </c>
      <c r="T90" s="19">
        <v>33010</v>
      </c>
      <c r="U90" s="19"/>
      <c r="V90" s="127">
        <f t="shared" si="32"/>
        <v>31</v>
      </c>
      <c r="W90" s="127">
        <f t="shared" si="32"/>
        <v>30</v>
      </c>
      <c r="X90" s="127">
        <f t="shared" si="32"/>
        <v>31</v>
      </c>
      <c r="Y90" s="127">
        <f t="shared" si="31"/>
        <v>18</v>
      </c>
      <c r="Z90" s="127">
        <f t="shared" si="31"/>
        <v>0</v>
      </c>
      <c r="AA90" s="127">
        <f t="shared" si="31"/>
        <v>0</v>
      </c>
      <c r="AB90" s="127">
        <f t="shared" si="31"/>
        <v>0</v>
      </c>
      <c r="AC90" s="127">
        <f t="shared" si="31"/>
        <v>30</v>
      </c>
      <c r="AD90" s="127">
        <f t="shared" si="31"/>
        <v>30</v>
      </c>
      <c r="AE90" s="127">
        <f t="shared" si="31"/>
        <v>31</v>
      </c>
      <c r="AF90" s="127">
        <f t="shared" si="31"/>
        <v>0</v>
      </c>
      <c r="AG90" s="127">
        <f t="shared" si="31"/>
        <v>0</v>
      </c>
      <c r="AH90" s="68">
        <f t="shared" si="24"/>
        <v>28.714285714285715</v>
      </c>
      <c r="AI90" s="49"/>
      <c r="AJ90" s="76"/>
      <c r="AK90" s="43"/>
      <c r="AN90" s="1"/>
      <c r="AO90" s="138"/>
      <c r="AR90"/>
      <c r="AS90" s="8"/>
      <c r="AT90" s="78">
        <v>0.77</v>
      </c>
      <c r="AU90" s="79">
        <f t="shared" ca="1" si="25"/>
        <v>0.86860491650323013</v>
      </c>
      <c r="AV90" s="80">
        <f t="shared" ca="1" si="26"/>
        <v>174.58958821714924</v>
      </c>
      <c r="AW90" s="80">
        <f t="shared" ca="1" si="27"/>
        <v>19.819588217149231</v>
      </c>
      <c r="AX90" s="81"/>
      <c r="AY90" s="19"/>
      <c r="AZ90" s="19"/>
      <c r="BA90" s="19"/>
      <c r="BB90" s="19"/>
      <c r="BD90" s="512">
        <f t="shared" ca="1" si="28"/>
        <v>0.66823705404104505</v>
      </c>
      <c r="BE90" s="499">
        <f t="shared" ca="1" si="29"/>
        <v>175.25782527119028</v>
      </c>
    </row>
    <row r="91" spans="1:57" s="5" customFormat="1" ht="12" customHeight="1">
      <c r="A91" s="5" t="str">
        <f t="shared" si="21"/>
        <v>PA-JR1.5YDTPU</v>
      </c>
      <c r="B91" s="139" t="s">
        <v>207</v>
      </c>
      <c r="C91" s="139" t="s">
        <v>208</v>
      </c>
      <c r="D91" s="73">
        <v>36.619999999999997</v>
      </c>
      <c r="E91" s="74">
        <v>35</v>
      </c>
      <c r="F91" s="67"/>
      <c r="G91" s="68">
        <v>0</v>
      </c>
      <c r="H91" s="68">
        <v>0</v>
      </c>
      <c r="I91" s="68">
        <v>0</v>
      </c>
      <c r="J91" s="68">
        <v>36.619999999999997</v>
      </c>
      <c r="K91" s="68">
        <v>0</v>
      </c>
      <c r="L91" s="68">
        <v>0</v>
      </c>
      <c r="M91" s="68">
        <v>0</v>
      </c>
      <c r="N91" s="68">
        <v>36.619999999999997</v>
      </c>
      <c r="O91" s="68">
        <v>36.619999999999997</v>
      </c>
      <c r="P91" s="68">
        <v>73.239999999999995</v>
      </c>
      <c r="Q91" s="68">
        <v>0</v>
      </c>
      <c r="R91" s="68">
        <v>0</v>
      </c>
      <c r="S91" s="140">
        <f t="shared" si="22"/>
        <v>183.09999999999997</v>
      </c>
      <c r="T91" s="141">
        <v>33010</v>
      </c>
      <c r="U91" s="141"/>
      <c r="V91" s="142">
        <f t="shared" si="32"/>
        <v>0</v>
      </c>
      <c r="W91" s="142">
        <f t="shared" si="32"/>
        <v>0</v>
      </c>
      <c r="X91" s="142">
        <f t="shared" si="32"/>
        <v>0</v>
      </c>
      <c r="Y91" s="142">
        <f t="shared" si="31"/>
        <v>1</v>
      </c>
      <c r="Z91" s="142">
        <f t="shared" si="31"/>
        <v>0</v>
      </c>
      <c r="AA91" s="142">
        <f t="shared" si="31"/>
        <v>0</v>
      </c>
      <c r="AB91" s="142">
        <f t="shared" si="31"/>
        <v>0</v>
      </c>
      <c r="AC91" s="142">
        <f t="shared" si="31"/>
        <v>1</v>
      </c>
      <c r="AD91" s="142">
        <f t="shared" si="31"/>
        <v>1</v>
      </c>
      <c r="AE91" s="142">
        <f t="shared" si="31"/>
        <v>2</v>
      </c>
      <c r="AF91" s="142">
        <f t="shared" si="31"/>
        <v>0</v>
      </c>
      <c r="AG91" s="142">
        <f t="shared" si="31"/>
        <v>0</v>
      </c>
      <c r="AH91" s="140">
        <f t="shared" si="24"/>
        <v>1.25</v>
      </c>
      <c r="AI91" s="49"/>
      <c r="AJ91" s="76"/>
      <c r="AK91" s="43" t="s">
        <v>162</v>
      </c>
      <c r="AN91" s="1">
        <v>1</v>
      </c>
      <c r="AO91" s="137">
        <f>+AH91*AN91</f>
        <v>1.25</v>
      </c>
      <c r="AR91" s="135"/>
      <c r="AS91" s="8"/>
      <c r="AT91" s="78">
        <v>37.035162011307413</v>
      </c>
      <c r="AU91" s="79">
        <f t="shared" ca="1" si="25"/>
        <v>41.777823125344511</v>
      </c>
      <c r="AV91" s="80">
        <f t="shared" ca="1" si="26"/>
        <v>208.88911562672257</v>
      </c>
      <c r="AW91" s="80">
        <f t="shared" ca="1" si="27"/>
        <v>25.789115626722605</v>
      </c>
      <c r="AX91" s="81"/>
      <c r="AY91" s="19"/>
      <c r="BD91" s="512">
        <f t="shared" ca="1" si="28"/>
        <v>0.79951759250400245</v>
      </c>
      <c r="BE91" s="499">
        <f t="shared" ca="1" si="29"/>
        <v>209.68863321922657</v>
      </c>
    </row>
    <row r="92" spans="1:57" s="19" customFormat="1" ht="12" customHeight="1">
      <c r="A92" s="71" t="str">
        <f t="shared" si="21"/>
        <v>PA-JR1YD1W</v>
      </c>
      <c r="B92" s="72" t="s">
        <v>209</v>
      </c>
      <c r="C92" s="72" t="s">
        <v>210</v>
      </c>
      <c r="D92" s="73">
        <v>99.94</v>
      </c>
      <c r="E92" s="74">
        <v>35</v>
      </c>
      <c r="F92" s="67"/>
      <c r="G92" s="75">
        <v>8045.16</v>
      </c>
      <c r="H92" s="75">
        <v>8270.0300000000007</v>
      </c>
      <c r="I92" s="75">
        <v>8245.0499999999993</v>
      </c>
      <c r="J92" s="75">
        <v>8220.0499999999993</v>
      </c>
      <c r="K92" s="75">
        <v>8145.11</v>
      </c>
      <c r="L92" s="75">
        <v>7995.2</v>
      </c>
      <c r="M92" s="75">
        <v>7845.29</v>
      </c>
      <c r="N92" s="75">
        <v>8095.13</v>
      </c>
      <c r="O92" s="75">
        <v>8369.9500000000007</v>
      </c>
      <c r="P92" s="75">
        <v>8669.7900000000009</v>
      </c>
      <c r="Q92" s="75">
        <v>8569.83</v>
      </c>
      <c r="R92" s="75">
        <v>8344.98</v>
      </c>
      <c r="S92" s="75">
        <f t="shared" si="22"/>
        <v>98815.569999999978</v>
      </c>
      <c r="T92" s="71">
        <v>33010</v>
      </c>
      <c r="V92" s="75">
        <f t="shared" si="32"/>
        <v>80.499899939963981</v>
      </c>
      <c r="W92" s="75">
        <f t="shared" si="32"/>
        <v>82.749949969981998</v>
      </c>
      <c r="X92" s="75">
        <f t="shared" si="32"/>
        <v>82.5</v>
      </c>
      <c r="Y92" s="75">
        <f t="shared" si="31"/>
        <v>82.249849909945965</v>
      </c>
      <c r="Z92" s="75">
        <f t="shared" si="31"/>
        <v>81.5</v>
      </c>
      <c r="AA92" s="75">
        <f t="shared" si="31"/>
        <v>80</v>
      </c>
      <c r="AB92" s="75">
        <f t="shared" si="31"/>
        <v>78.5</v>
      </c>
      <c r="AC92" s="75">
        <f t="shared" si="31"/>
        <v>80.999899939963981</v>
      </c>
      <c r="AD92" s="75">
        <f t="shared" si="31"/>
        <v>83.749749849909961</v>
      </c>
      <c r="AE92" s="75">
        <f t="shared" si="31"/>
        <v>86.749949969981998</v>
      </c>
      <c r="AF92" s="75">
        <f t="shared" si="31"/>
        <v>85.749749849909946</v>
      </c>
      <c r="AG92" s="75">
        <f t="shared" si="31"/>
        <v>83.499899939963981</v>
      </c>
      <c r="AH92" s="75">
        <f t="shared" si="24"/>
        <v>82.395745780801818</v>
      </c>
      <c r="AI92" s="49"/>
      <c r="AJ92" s="76"/>
      <c r="AK92" s="43" t="s">
        <v>167</v>
      </c>
      <c r="AL92" s="5"/>
      <c r="AM92" s="5"/>
      <c r="AN92" s="1">
        <v>1</v>
      </c>
      <c r="AO92" s="137">
        <f>+AH92*AN92</f>
        <v>82.395745780801818</v>
      </c>
      <c r="AP92" s="5"/>
      <c r="AQ92" s="5"/>
      <c r="AR92" s="135"/>
      <c r="AS92" s="8"/>
      <c r="AT92" s="78">
        <v>101.19475605627282</v>
      </c>
      <c r="AU92" s="79">
        <f t="shared" ca="1" si="25"/>
        <v>114.15358783743324</v>
      </c>
      <c r="AV92" s="80">
        <f t="shared" ca="1" si="26"/>
        <v>112869.24004103494</v>
      </c>
      <c r="AW92" s="80">
        <f t="shared" ca="1" si="27"/>
        <v>14053.670041034959</v>
      </c>
      <c r="AX92" s="81"/>
      <c r="AZ92" s="5"/>
      <c r="BA92" s="5"/>
      <c r="BB92" s="5"/>
      <c r="BC92" s="5"/>
      <c r="BD92" s="512">
        <f t="shared" ca="1" si="28"/>
        <v>432.00404575708944</v>
      </c>
      <c r="BE92" s="499">
        <f t="shared" ca="1" si="29"/>
        <v>113301.24408679202</v>
      </c>
    </row>
    <row r="93" spans="1:57" s="19" customFormat="1" ht="12" customHeight="1">
      <c r="A93" s="71" t="str">
        <f t="shared" si="21"/>
        <v>PA-JR1YD2W</v>
      </c>
      <c r="B93" s="72" t="s">
        <v>211</v>
      </c>
      <c r="C93" s="72" t="s">
        <v>212</v>
      </c>
      <c r="D93" s="73">
        <v>199.87</v>
      </c>
      <c r="E93" s="74">
        <v>35</v>
      </c>
      <c r="F93" s="67"/>
      <c r="G93" s="75">
        <v>1399.09</v>
      </c>
      <c r="H93" s="75">
        <v>1399.09</v>
      </c>
      <c r="I93" s="75">
        <v>1399.09</v>
      </c>
      <c r="J93" s="75">
        <v>1399.09</v>
      </c>
      <c r="K93" s="75">
        <v>1399.09</v>
      </c>
      <c r="L93" s="75">
        <v>1399.09</v>
      </c>
      <c r="M93" s="75">
        <v>1399.09</v>
      </c>
      <c r="N93" s="75">
        <v>1399.09</v>
      </c>
      <c r="O93" s="75">
        <v>1399.09</v>
      </c>
      <c r="P93" s="75">
        <v>1399.09</v>
      </c>
      <c r="Q93" s="75">
        <v>1399.09</v>
      </c>
      <c r="R93" s="75">
        <v>1399.09</v>
      </c>
      <c r="S93" s="75">
        <f t="shared" si="22"/>
        <v>16789.079999999998</v>
      </c>
      <c r="T93" s="71">
        <v>33010</v>
      </c>
      <c r="V93" s="75">
        <f t="shared" si="32"/>
        <v>6.9999999999999991</v>
      </c>
      <c r="W93" s="75">
        <f t="shared" si="32"/>
        <v>6.9999999999999991</v>
      </c>
      <c r="X93" s="75">
        <f t="shared" si="32"/>
        <v>6.9999999999999991</v>
      </c>
      <c r="Y93" s="75">
        <f t="shared" si="31"/>
        <v>6.9999999999999991</v>
      </c>
      <c r="Z93" s="75">
        <f t="shared" si="31"/>
        <v>6.9999999999999991</v>
      </c>
      <c r="AA93" s="75">
        <f t="shared" si="31"/>
        <v>6.9999999999999991</v>
      </c>
      <c r="AB93" s="75">
        <f t="shared" si="31"/>
        <v>6.9999999999999991</v>
      </c>
      <c r="AC93" s="75">
        <f t="shared" si="31"/>
        <v>6.9999999999999991</v>
      </c>
      <c r="AD93" s="75">
        <f t="shared" si="31"/>
        <v>6.9999999999999991</v>
      </c>
      <c r="AE93" s="75">
        <f t="shared" si="31"/>
        <v>6.9999999999999991</v>
      </c>
      <c r="AF93" s="75">
        <f t="shared" si="31"/>
        <v>6.9999999999999991</v>
      </c>
      <c r="AG93" s="75">
        <f t="shared" si="31"/>
        <v>6.9999999999999991</v>
      </c>
      <c r="AH93" s="75">
        <f t="shared" si="24"/>
        <v>6.9999999999999991</v>
      </c>
      <c r="AI93" s="49"/>
      <c r="AJ93" s="76"/>
      <c r="AK93" s="43" t="s">
        <v>167</v>
      </c>
      <c r="AL93" s="5"/>
      <c r="AM93" s="5"/>
      <c r="AN93" s="1">
        <v>1</v>
      </c>
      <c r="AO93" s="137">
        <f>+AH93*AN93</f>
        <v>6.9999999999999991</v>
      </c>
      <c r="AP93" s="5"/>
      <c r="AQ93" s="5"/>
      <c r="AR93" s="135"/>
      <c r="AS93" s="8"/>
      <c r="AT93" s="78">
        <v>202.38951211254565</v>
      </c>
      <c r="AU93" s="79">
        <f t="shared" ca="1" si="25"/>
        <v>228.30717567486647</v>
      </c>
      <c r="AV93" s="80">
        <f t="shared" ca="1" si="26"/>
        <v>19177.802756688783</v>
      </c>
      <c r="AW93" s="80">
        <f t="shared" ca="1" si="27"/>
        <v>2388.722756688785</v>
      </c>
      <c r="AX93" s="81"/>
      <c r="AZ93" s="5"/>
      <c r="BA93" s="5"/>
      <c r="BB93" s="5"/>
      <c r="BD93" s="512">
        <f t="shared" ca="1" si="28"/>
        <v>73.402535328570906</v>
      </c>
      <c r="BE93" s="499">
        <f t="shared" ca="1" si="29"/>
        <v>19251.205292017356</v>
      </c>
    </row>
    <row r="94" spans="1:57" s="19" customFormat="1" ht="12" customHeight="1">
      <c r="A94" s="19" t="str">
        <f t="shared" si="21"/>
        <v>PA-JR1YDEX</v>
      </c>
      <c r="B94" s="139" t="s">
        <v>213</v>
      </c>
      <c r="C94" s="139" t="s">
        <v>214</v>
      </c>
      <c r="D94" s="73">
        <v>26.08</v>
      </c>
      <c r="E94" s="74">
        <v>35</v>
      </c>
      <c r="F94" s="67"/>
      <c r="G94" s="68">
        <v>0</v>
      </c>
      <c r="H94" s="68">
        <v>26.08</v>
      </c>
      <c r="I94" s="68">
        <v>0</v>
      </c>
      <c r="J94" s="68">
        <v>0</v>
      </c>
      <c r="K94" s="68">
        <v>0</v>
      </c>
      <c r="L94" s="68">
        <v>0</v>
      </c>
      <c r="M94" s="68">
        <v>0</v>
      </c>
      <c r="N94" s="68">
        <v>0</v>
      </c>
      <c r="O94" s="68">
        <v>0</v>
      </c>
      <c r="P94" s="68">
        <v>0</v>
      </c>
      <c r="Q94" s="68">
        <v>0</v>
      </c>
      <c r="R94" s="68">
        <v>26.08</v>
      </c>
      <c r="S94" s="140">
        <f t="shared" si="22"/>
        <v>52.16</v>
      </c>
      <c r="T94" s="141">
        <v>33011</v>
      </c>
      <c r="U94" s="141"/>
      <c r="V94" s="140">
        <f t="shared" si="32"/>
        <v>0</v>
      </c>
      <c r="W94" s="140">
        <f t="shared" si="32"/>
        <v>1</v>
      </c>
      <c r="X94" s="140">
        <f t="shared" si="32"/>
        <v>0</v>
      </c>
      <c r="Y94" s="140">
        <f t="shared" si="31"/>
        <v>0</v>
      </c>
      <c r="Z94" s="140">
        <f t="shared" si="31"/>
        <v>0</v>
      </c>
      <c r="AA94" s="140">
        <f t="shared" si="31"/>
        <v>0</v>
      </c>
      <c r="AB94" s="140">
        <f t="shared" si="31"/>
        <v>0</v>
      </c>
      <c r="AC94" s="140">
        <f t="shared" si="31"/>
        <v>0</v>
      </c>
      <c r="AD94" s="140">
        <f t="shared" si="31"/>
        <v>0</v>
      </c>
      <c r="AE94" s="140">
        <f t="shared" si="31"/>
        <v>0</v>
      </c>
      <c r="AF94" s="140">
        <f t="shared" si="31"/>
        <v>0</v>
      </c>
      <c r="AG94" s="140">
        <f t="shared" si="31"/>
        <v>1</v>
      </c>
      <c r="AH94" s="68">
        <f t="shared" si="24"/>
        <v>1</v>
      </c>
      <c r="AI94" s="49"/>
      <c r="AJ94" s="76"/>
      <c r="AK94" s="43" t="s">
        <v>167</v>
      </c>
      <c r="AL94" s="5"/>
      <c r="AM94" s="5"/>
      <c r="AN94" s="1">
        <v>0</v>
      </c>
      <c r="AO94" s="137">
        <f>+AH94*AN94</f>
        <v>0</v>
      </c>
      <c r="AP94" s="5"/>
      <c r="AQ94" s="5"/>
      <c r="AR94" s="135"/>
      <c r="AS94" s="8"/>
      <c r="AT94" s="78">
        <v>26.37</v>
      </c>
      <c r="AU94" s="79">
        <f t="shared" ca="1" si="25"/>
        <v>29.746898244402828</v>
      </c>
      <c r="AV94" s="80">
        <f t="shared" ca="1" si="26"/>
        <v>59.49379648880565</v>
      </c>
      <c r="AW94" s="80">
        <f t="shared" ca="1" si="27"/>
        <v>7.3337964888056533</v>
      </c>
      <c r="AX94" s="81"/>
      <c r="AZ94" s="5"/>
      <c r="BA94" s="5"/>
      <c r="BB94" s="5"/>
      <c r="BD94" s="512">
        <f t="shared" ca="1" si="28"/>
        <v>0.22771094029931324</v>
      </c>
      <c r="BE94" s="499">
        <f t="shared" ca="1" si="29"/>
        <v>59.72150742910496</v>
      </c>
    </row>
    <row r="95" spans="1:57" s="5" customFormat="1" ht="12" customHeight="1">
      <c r="A95" s="5" t="str">
        <f t="shared" si="21"/>
        <v>PA-JR1YDRENTM</v>
      </c>
      <c r="B95" s="48" t="s">
        <v>215</v>
      </c>
      <c r="C95" s="48" t="s">
        <v>216</v>
      </c>
      <c r="D95" s="73">
        <v>5.0599999999999996</v>
      </c>
      <c r="E95" s="74">
        <v>35</v>
      </c>
      <c r="F95" s="67"/>
      <c r="G95" s="68">
        <v>101.2</v>
      </c>
      <c r="H95" s="68">
        <v>94.11</v>
      </c>
      <c r="I95" s="68">
        <v>92.38</v>
      </c>
      <c r="J95" s="68">
        <v>123.12</v>
      </c>
      <c r="K95" s="68">
        <v>131.22</v>
      </c>
      <c r="L95" s="68">
        <v>140.86000000000001</v>
      </c>
      <c r="M95" s="68">
        <v>133.18</v>
      </c>
      <c r="N95" s="68">
        <v>144.10999999999999</v>
      </c>
      <c r="O95" s="68">
        <v>151.80000000000001</v>
      </c>
      <c r="P95" s="68">
        <v>160.77000000000001</v>
      </c>
      <c r="Q95" s="68">
        <v>164.95</v>
      </c>
      <c r="R95" s="68">
        <v>167.95</v>
      </c>
      <c r="S95" s="68">
        <f t="shared" si="22"/>
        <v>1605.65</v>
      </c>
      <c r="T95" s="19">
        <v>33010</v>
      </c>
      <c r="U95" s="19"/>
      <c r="V95" s="127">
        <f t="shared" si="32"/>
        <v>20.000000000000004</v>
      </c>
      <c r="W95" s="127">
        <f t="shared" si="32"/>
        <v>18.598814229249012</v>
      </c>
      <c r="X95" s="127">
        <f t="shared" si="32"/>
        <v>18.25691699604743</v>
      </c>
      <c r="Y95" s="127">
        <f t="shared" si="31"/>
        <v>24.332015810276683</v>
      </c>
      <c r="Z95" s="127">
        <f t="shared" si="31"/>
        <v>25.932806324110675</v>
      </c>
      <c r="AA95" s="127">
        <f t="shared" si="31"/>
        <v>27.837944664031625</v>
      </c>
      <c r="AB95" s="127">
        <f t="shared" si="31"/>
        <v>26.320158102766801</v>
      </c>
      <c r="AC95" s="127">
        <f t="shared" si="31"/>
        <v>28.480237154150196</v>
      </c>
      <c r="AD95" s="127">
        <f t="shared" si="31"/>
        <v>30.000000000000004</v>
      </c>
      <c r="AE95" s="127">
        <f t="shared" si="31"/>
        <v>31.772727272727277</v>
      </c>
      <c r="AF95" s="127">
        <f t="shared" si="31"/>
        <v>32.598814229249015</v>
      </c>
      <c r="AG95" s="127">
        <f t="shared" si="31"/>
        <v>33.191699604743086</v>
      </c>
      <c r="AH95" s="68">
        <f t="shared" si="24"/>
        <v>26.443511198945984</v>
      </c>
      <c r="AI95" s="49"/>
      <c r="AJ95" s="76"/>
      <c r="AK95" s="43"/>
      <c r="AN95" s="1"/>
      <c r="AO95" s="138"/>
      <c r="AR95"/>
      <c r="AS95" s="8"/>
      <c r="AT95" s="78">
        <v>5.0599999999999996</v>
      </c>
      <c r="AU95" s="79">
        <f t="shared" ca="1" si="25"/>
        <v>5.7079751655926545</v>
      </c>
      <c r="AV95" s="80">
        <f t="shared" ca="1" si="26"/>
        <v>1811.2668625758588</v>
      </c>
      <c r="AW95" s="80">
        <f t="shared" ca="1" si="27"/>
        <v>205.6168625758587</v>
      </c>
      <c r="AX95" s="81"/>
      <c r="AY95" s="19"/>
      <c r="AZ95" s="19"/>
      <c r="BA95" s="19"/>
      <c r="BB95" s="19"/>
      <c r="BC95" s="19"/>
      <c r="BD95" s="512">
        <f t="shared" ca="1" si="28"/>
        <v>6.9325762474704646</v>
      </c>
      <c r="BE95" s="499">
        <f t="shared" ca="1" si="29"/>
        <v>1818.1994388233293</v>
      </c>
    </row>
    <row r="96" spans="1:57" s="19" customFormat="1" ht="12" customHeight="1">
      <c r="A96" s="71" t="str">
        <f t="shared" si="21"/>
        <v>PA-JR2YD1W</v>
      </c>
      <c r="B96" s="72" t="s">
        <v>217</v>
      </c>
      <c r="C96" s="72" t="s">
        <v>218</v>
      </c>
      <c r="D96" s="73">
        <v>195.89</v>
      </c>
      <c r="E96" s="74">
        <v>36</v>
      </c>
      <c r="F96" s="67"/>
      <c r="G96" s="75">
        <v>24388.27</v>
      </c>
      <c r="H96" s="75">
        <v>25220.799999999999</v>
      </c>
      <c r="I96" s="75">
        <v>24241.3</v>
      </c>
      <c r="J96" s="75">
        <v>21156.11</v>
      </c>
      <c r="K96" s="75">
        <v>22821.17</v>
      </c>
      <c r="L96" s="75">
        <v>22870.15</v>
      </c>
      <c r="M96" s="75">
        <v>22576.31</v>
      </c>
      <c r="N96" s="75">
        <v>22968.03</v>
      </c>
      <c r="O96" s="75">
        <v>24045.48</v>
      </c>
      <c r="P96" s="75">
        <v>25367.58</v>
      </c>
      <c r="Q96" s="75">
        <v>25906.43</v>
      </c>
      <c r="R96" s="75">
        <v>26249.21</v>
      </c>
      <c r="S96" s="75">
        <f t="shared" si="22"/>
        <v>287810.84000000003</v>
      </c>
      <c r="T96" s="71">
        <v>33010</v>
      </c>
      <c r="V96" s="75">
        <f t="shared" si="32"/>
        <v>124.49982132829651</v>
      </c>
      <c r="W96" s="75">
        <f t="shared" si="32"/>
        <v>128.74980856603196</v>
      </c>
      <c r="X96" s="75">
        <f t="shared" si="32"/>
        <v>123.74955332074124</v>
      </c>
      <c r="Y96" s="75">
        <f t="shared" si="31"/>
        <v>107.99994895094187</v>
      </c>
      <c r="Z96" s="75">
        <f t="shared" si="31"/>
        <v>116.49992342641278</v>
      </c>
      <c r="AA96" s="75">
        <f t="shared" si="31"/>
        <v>116.7499617132064</v>
      </c>
      <c r="AB96" s="75">
        <f t="shared" si="31"/>
        <v>115.24993618867734</v>
      </c>
      <c r="AC96" s="75">
        <f t="shared" si="31"/>
        <v>117.24962989432845</v>
      </c>
      <c r="AD96" s="75">
        <f t="shared" si="31"/>
        <v>122.74991066414826</v>
      </c>
      <c r="AE96" s="75">
        <f t="shared" si="31"/>
        <v>129.49910664148248</v>
      </c>
      <c r="AF96" s="75">
        <f t="shared" si="31"/>
        <v>132.24988513961918</v>
      </c>
      <c r="AG96" s="75">
        <f t="shared" si="31"/>
        <v>133.99974475470927</v>
      </c>
      <c r="AH96" s="75">
        <f t="shared" si="24"/>
        <v>122.43726921571631</v>
      </c>
      <c r="AI96" s="49"/>
      <c r="AJ96" s="76"/>
      <c r="AK96" s="43" t="s">
        <v>151</v>
      </c>
      <c r="AL96" s="5"/>
      <c r="AM96" s="5"/>
      <c r="AN96" s="1">
        <v>1</v>
      </c>
      <c r="AO96" s="137">
        <f>+AH96*AN96</f>
        <v>122.43726921571631</v>
      </c>
      <c r="AP96" s="5"/>
      <c r="AQ96" s="5"/>
      <c r="AR96" s="135"/>
      <c r="AS96" s="8"/>
      <c r="AT96" s="78">
        <v>198.21895635561356</v>
      </c>
      <c r="AU96" s="79">
        <f t="shared" ca="1" si="25"/>
        <v>223.60254549951316</v>
      </c>
      <c r="AV96" s="80">
        <f t="shared" ca="1" si="26"/>
        <v>328527.42072772019</v>
      </c>
      <c r="AW96" s="80">
        <f t="shared" ca="1" si="27"/>
        <v>40716.580727720167</v>
      </c>
      <c r="AX96" s="81"/>
      <c r="BC96" s="5"/>
      <c r="BD96" s="512">
        <f t="shared" ca="1" si="28"/>
        <v>1257.4300566294062</v>
      </c>
      <c r="BE96" s="499">
        <f t="shared" ca="1" si="29"/>
        <v>329784.8507843496</v>
      </c>
    </row>
    <row r="97" spans="1:57" s="19" customFormat="1" ht="12" customHeight="1">
      <c r="A97" s="71" t="str">
        <f t="shared" si="21"/>
        <v>PA-JR2YD2W</v>
      </c>
      <c r="B97" s="72" t="s">
        <v>219</v>
      </c>
      <c r="C97" s="72" t="s">
        <v>220</v>
      </c>
      <c r="D97" s="73">
        <v>391.78</v>
      </c>
      <c r="E97" s="74">
        <v>36</v>
      </c>
      <c r="F97" s="67"/>
      <c r="G97" s="75">
        <v>8619.16</v>
      </c>
      <c r="H97" s="75">
        <v>7639.7</v>
      </c>
      <c r="I97" s="75">
        <v>6562.31</v>
      </c>
      <c r="J97" s="75">
        <v>6268.48</v>
      </c>
      <c r="K97" s="75">
        <v>6268.48</v>
      </c>
      <c r="L97" s="75">
        <v>6464.37</v>
      </c>
      <c r="M97" s="75">
        <v>6317.43</v>
      </c>
      <c r="N97" s="75">
        <v>6219.5</v>
      </c>
      <c r="O97" s="75">
        <v>5876.7</v>
      </c>
      <c r="P97" s="75">
        <v>6366.4</v>
      </c>
      <c r="Q97" s="75">
        <v>7737.65</v>
      </c>
      <c r="R97" s="75">
        <v>8129.43</v>
      </c>
      <c r="S97" s="75">
        <f t="shared" si="22"/>
        <v>82469.609999999986</v>
      </c>
      <c r="T97" s="71">
        <v>33010</v>
      </c>
      <c r="V97" s="75">
        <f t="shared" si="32"/>
        <v>22</v>
      </c>
      <c r="W97" s="75">
        <f t="shared" si="32"/>
        <v>19.499974475470928</v>
      </c>
      <c r="X97" s="75">
        <f t="shared" si="32"/>
        <v>16.749987237735468</v>
      </c>
      <c r="Y97" s="75">
        <f t="shared" si="31"/>
        <v>16</v>
      </c>
      <c r="Z97" s="75">
        <f t="shared" si="31"/>
        <v>16</v>
      </c>
      <c r="AA97" s="75">
        <f t="shared" si="31"/>
        <v>16.5</v>
      </c>
      <c r="AB97" s="75">
        <f t="shared" si="31"/>
        <v>16.124942569809591</v>
      </c>
      <c r="AC97" s="75">
        <f t="shared" si="31"/>
        <v>15.874980856603196</v>
      </c>
      <c r="AD97" s="75">
        <f t="shared" si="31"/>
        <v>15</v>
      </c>
      <c r="AE97" s="75">
        <f t="shared" si="31"/>
        <v>16.249936188677321</v>
      </c>
      <c r="AF97" s="75">
        <f t="shared" si="31"/>
        <v>19.749987237735464</v>
      </c>
      <c r="AG97" s="75">
        <f t="shared" si="31"/>
        <v>20.749987237735468</v>
      </c>
      <c r="AH97" s="75">
        <f t="shared" si="24"/>
        <v>17.541649650313953</v>
      </c>
      <c r="AI97" s="49"/>
      <c r="AJ97" s="76"/>
      <c r="AK97" s="43" t="s">
        <v>151</v>
      </c>
      <c r="AL97" s="5"/>
      <c r="AM97" s="5"/>
      <c r="AN97" s="1">
        <v>1</v>
      </c>
      <c r="AO97" s="137">
        <f>+AH97*AN97</f>
        <v>17.541649650313953</v>
      </c>
      <c r="AP97" s="5"/>
      <c r="AQ97" s="5"/>
      <c r="AR97" s="135"/>
      <c r="AS97" s="8"/>
      <c r="AT97" s="78">
        <v>396.43791271122711</v>
      </c>
      <c r="AU97" s="79">
        <f t="shared" ca="1" si="25"/>
        <v>447.20509099902631</v>
      </c>
      <c r="AV97" s="80">
        <f t="shared" ca="1" si="26"/>
        <v>94136.580337700274</v>
      </c>
      <c r="AW97" s="80">
        <f t="shared" ca="1" si="27"/>
        <v>11666.970337700288</v>
      </c>
      <c r="AX97" s="81"/>
      <c r="BD97" s="512">
        <f t="shared" ca="1" si="28"/>
        <v>360.3052837499277</v>
      </c>
      <c r="BE97" s="499">
        <f t="shared" ca="1" si="29"/>
        <v>94496.885621450201</v>
      </c>
    </row>
    <row r="98" spans="1:57" s="5" customFormat="1" ht="12" customHeight="1">
      <c r="A98" s="5" t="str">
        <f t="shared" si="21"/>
        <v>PA-JR2YDEX</v>
      </c>
      <c r="B98" s="48" t="s">
        <v>221</v>
      </c>
      <c r="C98" s="48" t="s">
        <v>222</v>
      </c>
      <c r="D98" s="73">
        <v>50.24</v>
      </c>
      <c r="E98" s="74">
        <v>35</v>
      </c>
      <c r="F98" s="67"/>
      <c r="G98" s="68">
        <v>50.24</v>
      </c>
      <c r="H98" s="68">
        <v>0</v>
      </c>
      <c r="I98" s="68">
        <v>0</v>
      </c>
      <c r="J98" s="68">
        <v>0</v>
      </c>
      <c r="K98" s="68">
        <v>50.24</v>
      </c>
      <c r="L98" s="68">
        <v>0</v>
      </c>
      <c r="M98" s="68">
        <v>0</v>
      </c>
      <c r="N98" s="68">
        <v>0</v>
      </c>
      <c r="O98" s="68">
        <v>0</v>
      </c>
      <c r="P98" s="68">
        <v>0</v>
      </c>
      <c r="Q98" s="68">
        <v>0</v>
      </c>
      <c r="R98" s="68">
        <v>0</v>
      </c>
      <c r="S98" s="68">
        <f t="shared" si="22"/>
        <v>100.48</v>
      </c>
      <c r="T98" s="19">
        <v>33011</v>
      </c>
      <c r="U98" s="19"/>
      <c r="V98" s="127">
        <f t="shared" si="32"/>
        <v>1</v>
      </c>
      <c r="W98" s="127">
        <f t="shared" si="32"/>
        <v>0</v>
      </c>
      <c r="X98" s="127">
        <f t="shared" si="32"/>
        <v>0</v>
      </c>
      <c r="Y98" s="127">
        <f t="shared" si="31"/>
        <v>0</v>
      </c>
      <c r="Z98" s="127">
        <f t="shared" si="31"/>
        <v>1</v>
      </c>
      <c r="AA98" s="127">
        <f t="shared" si="31"/>
        <v>0</v>
      </c>
      <c r="AB98" s="127">
        <f t="shared" si="31"/>
        <v>0</v>
      </c>
      <c r="AC98" s="127">
        <f t="shared" si="31"/>
        <v>0</v>
      </c>
      <c r="AD98" s="127">
        <f t="shared" si="31"/>
        <v>0</v>
      </c>
      <c r="AE98" s="127">
        <f t="shared" si="31"/>
        <v>0</v>
      </c>
      <c r="AF98" s="127">
        <f t="shared" si="31"/>
        <v>0</v>
      </c>
      <c r="AG98" s="127">
        <f t="shared" si="31"/>
        <v>0</v>
      </c>
      <c r="AH98" s="68">
        <f t="shared" si="24"/>
        <v>1</v>
      </c>
      <c r="AI98" s="49"/>
      <c r="AJ98" s="76"/>
      <c r="AK98" s="43"/>
      <c r="AN98" s="1"/>
      <c r="AO98" s="137"/>
      <c r="AR98" s="135"/>
      <c r="AS98" s="8"/>
      <c r="AT98" s="78">
        <v>50.778049966654415</v>
      </c>
      <c r="AU98" s="79">
        <f t="shared" ca="1" si="25"/>
        <v>57.280602404522995</v>
      </c>
      <c r="AV98" s="80">
        <f t="shared" ca="1" si="26"/>
        <v>114.56120480904599</v>
      </c>
      <c r="AW98" s="80">
        <f t="shared" ca="1" si="27"/>
        <v>14.081204809045985</v>
      </c>
      <c r="AX98" s="81"/>
      <c r="AY98" s="19"/>
      <c r="BC98" s="19"/>
      <c r="BD98" s="512">
        <f t="shared" ca="1" si="28"/>
        <v>0.43847999637741336</v>
      </c>
      <c r="BE98" s="499">
        <f t="shared" ca="1" si="29"/>
        <v>114.9996848054234</v>
      </c>
    </row>
    <row r="99" spans="1:57" s="134" customFormat="1" ht="12" customHeight="1">
      <c r="A99" s="5" t="str">
        <f t="shared" si="21"/>
        <v>PA-JR2YDRENTM</v>
      </c>
      <c r="B99" s="48" t="s">
        <v>223</v>
      </c>
      <c r="C99" s="48" t="s">
        <v>224</v>
      </c>
      <c r="D99" s="73">
        <v>9.02</v>
      </c>
      <c r="E99" s="74">
        <v>35</v>
      </c>
      <c r="F99" s="67"/>
      <c r="G99" s="68">
        <v>190.29</v>
      </c>
      <c r="H99" s="68">
        <v>187.91</v>
      </c>
      <c r="I99" s="68">
        <v>186.5</v>
      </c>
      <c r="J99" s="68">
        <v>234.52</v>
      </c>
      <c r="K99" s="68">
        <v>234.52</v>
      </c>
      <c r="L99" s="68">
        <v>243.54</v>
      </c>
      <c r="M99" s="68">
        <v>261.25</v>
      </c>
      <c r="N99" s="68">
        <v>271.5</v>
      </c>
      <c r="O99" s="68">
        <v>276</v>
      </c>
      <c r="P99" s="68">
        <v>279.60000000000002</v>
      </c>
      <c r="Q99" s="68">
        <v>279.62</v>
      </c>
      <c r="R99" s="68">
        <v>279.89999999999998</v>
      </c>
      <c r="S99" s="68">
        <f t="shared" si="22"/>
        <v>2925.1499999999996</v>
      </c>
      <c r="T99" s="19">
        <v>33010</v>
      </c>
      <c r="U99" s="19"/>
      <c r="V99" s="127">
        <f t="shared" si="32"/>
        <v>21.096452328159646</v>
      </c>
      <c r="W99" s="127">
        <f t="shared" si="32"/>
        <v>20.832594235033259</v>
      </c>
      <c r="X99" s="127">
        <f t="shared" si="32"/>
        <v>20.676274944567627</v>
      </c>
      <c r="Y99" s="127">
        <f t="shared" si="31"/>
        <v>26.000000000000004</v>
      </c>
      <c r="Z99" s="127">
        <f t="shared" si="31"/>
        <v>26.000000000000004</v>
      </c>
      <c r="AA99" s="127">
        <f t="shared" si="31"/>
        <v>27</v>
      </c>
      <c r="AB99" s="127">
        <f t="shared" si="31"/>
        <v>28.963414634146343</v>
      </c>
      <c r="AC99" s="127">
        <f t="shared" si="31"/>
        <v>30.099778270509979</v>
      </c>
      <c r="AD99" s="127">
        <f t="shared" si="31"/>
        <v>30.59866962305987</v>
      </c>
      <c r="AE99" s="127">
        <f t="shared" si="31"/>
        <v>30.997782705099784</v>
      </c>
      <c r="AF99" s="127">
        <f t="shared" si="31"/>
        <v>31.000000000000004</v>
      </c>
      <c r="AG99" s="127">
        <f t="shared" si="31"/>
        <v>31.031042128603104</v>
      </c>
      <c r="AH99" s="68">
        <f t="shared" si="24"/>
        <v>27.024667405764973</v>
      </c>
      <c r="AI99" s="49"/>
      <c r="AJ99" s="76"/>
      <c r="AK99" s="43"/>
      <c r="AL99" s="5"/>
      <c r="AM99" s="5"/>
      <c r="AN99" s="1"/>
      <c r="AO99" s="137"/>
      <c r="AP99" s="5"/>
      <c r="AQ99" s="5"/>
      <c r="AR99"/>
      <c r="AS99" s="8"/>
      <c r="AT99" s="78">
        <v>9.02</v>
      </c>
      <c r="AU99" s="79">
        <f t="shared" ca="1" si="25"/>
        <v>10.175086164752123</v>
      </c>
      <c r="AV99" s="80">
        <f t="shared" ca="1" si="26"/>
        <v>3299.7398331291215</v>
      </c>
      <c r="AW99" s="80">
        <f t="shared" ca="1" si="27"/>
        <v>374.58983312912187</v>
      </c>
      <c r="AX99" s="81"/>
      <c r="AY99" s="19"/>
      <c r="AZ99" s="19"/>
      <c r="BA99" s="19"/>
      <c r="BB99" s="19"/>
      <c r="BC99" s="5"/>
      <c r="BD99" s="512">
        <f t="shared" ca="1" si="28"/>
        <v>12.629667368535006</v>
      </c>
      <c r="BE99" s="499">
        <f t="shared" ca="1" si="29"/>
        <v>3312.3695004976566</v>
      </c>
    </row>
    <row r="100" spans="1:57" s="19" customFormat="1" ht="12" customHeight="1">
      <c r="A100" s="71" t="str">
        <f t="shared" si="21"/>
        <v>PA-JR2YDTPU</v>
      </c>
      <c r="B100" s="72" t="s">
        <v>225</v>
      </c>
      <c r="C100" s="72" t="s">
        <v>226</v>
      </c>
      <c r="D100" s="73">
        <v>51.57</v>
      </c>
      <c r="E100" s="74">
        <v>35</v>
      </c>
      <c r="F100" s="67"/>
      <c r="G100" s="75">
        <v>928.26</v>
      </c>
      <c r="H100" s="75">
        <v>721.98</v>
      </c>
      <c r="I100" s="75">
        <v>773.55</v>
      </c>
      <c r="J100" s="75">
        <v>773.55</v>
      </c>
      <c r="K100" s="75">
        <v>309.42</v>
      </c>
      <c r="L100" s="75">
        <v>721.98</v>
      </c>
      <c r="M100" s="75">
        <v>464.13</v>
      </c>
      <c r="N100" s="75">
        <v>154.71</v>
      </c>
      <c r="O100" s="75">
        <v>257.85000000000002</v>
      </c>
      <c r="P100" s="75">
        <v>721.98</v>
      </c>
      <c r="Q100" s="75">
        <v>670.41</v>
      </c>
      <c r="R100" s="75">
        <v>257.85000000000002</v>
      </c>
      <c r="S100" s="75">
        <f t="shared" si="22"/>
        <v>6755.67</v>
      </c>
      <c r="T100" s="71">
        <v>33010</v>
      </c>
      <c r="V100" s="75">
        <f t="shared" si="32"/>
        <v>18</v>
      </c>
      <c r="W100" s="75">
        <f t="shared" si="32"/>
        <v>14</v>
      </c>
      <c r="X100" s="75">
        <f t="shared" si="32"/>
        <v>14.999999999999998</v>
      </c>
      <c r="Y100" s="75">
        <f t="shared" si="31"/>
        <v>14.999999999999998</v>
      </c>
      <c r="Z100" s="75">
        <f t="shared" si="31"/>
        <v>6</v>
      </c>
      <c r="AA100" s="75">
        <f t="shared" si="31"/>
        <v>14</v>
      </c>
      <c r="AB100" s="75">
        <f t="shared" si="31"/>
        <v>9</v>
      </c>
      <c r="AC100" s="75">
        <f t="shared" si="31"/>
        <v>3</v>
      </c>
      <c r="AD100" s="75">
        <f t="shared" si="31"/>
        <v>5</v>
      </c>
      <c r="AE100" s="75">
        <f t="shared" si="31"/>
        <v>14</v>
      </c>
      <c r="AF100" s="75">
        <f t="shared" si="31"/>
        <v>13</v>
      </c>
      <c r="AG100" s="75">
        <f t="shared" si="31"/>
        <v>5</v>
      </c>
      <c r="AH100" s="75">
        <f t="shared" si="24"/>
        <v>10.916666666666666</v>
      </c>
      <c r="AI100" s="49"/>
      <c r="AJ100" s="76"/>
      <c r="AK100" s="43" t="s">
        <v>151</v>
      </c>
      <c r="AL100" s="5"/>
      <c r="AM100" s="5"/>
      <c r="AN100" s="1">
        <v>1</v>
      </c>
      <c r="AO100" s="137">
        <f>+AH100*AN100</f>
        <v>10.916666666666666</v>
      </c>
      <c r="AP100" s="5"/>
      <c r="AQ100" s="5"/>
      <c r="AR100" s="135"/>
      <c r="AS100" s="8"/>
      <c r="AT100" s="78">
        <v>52.108049966654413</v>
      </c>
      <c r="AU100" s="79">
        <f t="shared" ca="1" si="25"/>
        <v>58.780919987574023</v>
      </c>
      <c r="AV100" s="80">
        <f t="shared" ca="1" si="26"/>
        <v>7700.3005183721962</v>
      </c>
      <c r="AW100" s="80">
        <f t="shared" ca="1" si="27"/>
        <v>944.63051837219609</v>
      </c>
      <c r="AX100" s="81"/>
      <c r="BC100" s="134"/>
      <c r="BD100" s="512">
        <f t="shared" ca="1" si="28"/>
        <v>29.472697577061663</v>
      </c>
      <c r="BE100" s="499">
        <f t="shared" ca="1" si="29"/>
        <v>7729.773215949258</v>
      </c>
    </row>
    <row r="101" spans="1:57" s="5" customFormat="1" ht="12" customHeight="1">
      <c r="A101" s="5" t="str">
        <f t="shared" si="21"/>
        <v>PA-JRDELTO8</v>
      </c>
      <c r="B101" s="48" t="s">
        <v>227</v>
      </c>
      <c r="C101" s="48" t="s">
        <v>228</v>
      </c>
      <c r="D101" s="73">
        <v>30.85</v>
      </c>
      <c r="E101" s="74">
        <v>15</v>
      </c>
      <c r="F101" s="67"/>
      <c r="G101" s="68">
        <v>30.85</v>
      </c>
      <c r="H101" s="68">
        <v>61.7</v>
      </c>
      <c r="I101" s="68">
        <v>61.7</v>
      </c>
      <c r="J101" s="68">
        <v>30.85</v>
      </c>
      <c r="K101" s="68">
        <v>0</v>
      </c>
      <c r="L101" s="68">
        <v>0</v>
      </c>
      <c r="M101" s="68">
        <v>0</v>
      </c>
      <c r="N101" s="68">
        <v>30.85</v>
      </c>
      <c r="O101" s="68">
        <v>185.1</v>
      </c>
      <c r="P101" s="68">
        <v>92.55</v>
      </c>
      <c r="Q101" s="68">
        <v>0</v>
      </c>
      <c r="R101" s="68">
        <v>30.85</v>
      </c>
      <c r="S101" s="68">
        <f t="shared" si="22"/>
        <v>524.44999999999993</v>
      </c>
      <c r="T101" s="19">
        <v>33010</v>
      </c>
      <c r="U101" s="19"/>
      <c r="V101" s="127">
        <f t="shared" si="32"/>
        <v>1</v>
      </c>
      <c r="W101" s="127">
        <f t="shared" si="32"/>
        <v>2</v>
      </c>
      <c r="X101" s="127">
        <f t="shared" si="32"/>
        <v>2</v>
      </c>
      <c r="Y101" s="127">
        <f t="shared" si="31"/>
        <v>1</v>
      </c>
      <c r="Z101" s="127">
        <f t="shared" si="31"/>
        <v>0</v>
      </c>
      <c r="AA101" s="127">
        <f t="shared" si="31"/>
        <v>0</v>
      </c>
      <c r="AB101" s="127">
        <f t="shared" si="31"/>
        <v>0</v>
      </c>
      <c r="AC101" s="127">
        <f t="shared" si="31"/>
        <v>1</v>
      </c>
      <c r="AD101" s="127">
        <f t="shared" si="31"/>
        <v>5.9999999999999991</v>
      </c>
      <c r="AE101" s="127">
        <f t="shared" si="31"/>
        <v>2.9999999999999996</v>
      </c>
      <c r="AF101" s="127">
        <f t="shared" si="31"/>
        <v>0</v>
      </c>
      <c r="AG101" s="127">
        <f t="shared" si="31"/>
        <v>1</v>
      </c>
      <c r="AH101" s="68">
        <f t="shared" si="24"/>
        <v>2.125</v>
      </c>
      <c r="AI101" s="49"/>
      <c r="AJ101" s="76"/>
      <c r="AK101" s="43"/>
      <c r="AN101" s="1"/>
      <c r="AO101" s="138"/>
      <c r="AR101"/>
      <c r="AS101" s="8"/>
      <c r="AT101" s="78">
        <v>30.85</v>
      </c>
      <c r="AU101" s="79">
        <f t="shared" ca="1" si="25"/>
        <v>34.80059957678526</v>
      </c>
      <c r="AV101" s="80">
        <f t="shared" ca="1" si="26"/>
        <v>591.61019280534947</v>
      </c>
      <c r="AW101" s="80">
        <f t="shared" ca="1" si="27"/>
        <v>67.160192805349539</v>
      </c>
      <c r="AX101" s="81"/>
      <c r="AY101" s="19"/>
      <c r="BC101" s="19"/>
      <c r="BD101" s="512">
        <f t="shared" ca="1" si="28"/>
        <v>2.2643724429270926</v>
      </c>
      <c r="BE101" s="499">
        <f t="shared" ca="1" si="29"/>
        <v>593.87456524827655</v>
      </c>
    </row>
    <row r="102" spans="1:57" s="5" customFormat="1" ht="12" customHeight="1">
      <c r="A102" s="5" t="str">
        <f t="shared" si="21"/>
        <v>PA-JCLOCKEOW</v>
      </c>
      <c r="B102" s="48" t="s">
        <v>229</v>
      </c>
      <c r="C102" s="48" t="s">
        <v>230</v>
      </c>
      <c r="D102" s="73">
        <v>2.4300000000000002</v>
      </c>
      <c r="E102" s="74">
        <v>36</v>
      </c>
      <c r="F102" s="67"/>
      <c r="G102" s="68">
        <v>48.6</v>
      </c>
      <c r="H102" s="68">
        <v>48.6</v>
      </c>
      <c r="I102" s="68">
        <v>46.17</v>
      </c>
      <c r="J102" s="68">
        <v>46.17</v>
      </c>
      <c r="K102" s="68">
        <v>48.6</v>
      </c>
      <c r="L102" s="68">
        <v>48.6</v>
      </c>
      <c r="M102" s="68">
        <v>48.6</v>
      </c>
      <c r="N102" s="68">
        <v>51.03</v>
      </c>
      <c r="O102" s="68">
        <v>54.67</v>
      </c>
      <c r="P102" s="68">
        <v>55.89</v>
      </c>
      <c r="Q102" s="68">
        <v>55.89</v>
      </c>
      <c r="R102" s="68">
        <v>55.89</v>
      </c>
      <c r="S102" s="68">
        <f t="shared" si="22"/>
        <v>608.71</v>
      </c>
      <c r="T102" s="19">
        <v>33011</v>
      </c>
      <c r="U102" s="19"/>
      <c r="V102" s="127">
        <f t="shared" si="32"/>
        <v>20</v>
      </c>
      <c r="W102" s="127">
        <f t="shared" si="32"/>
        <v>20</v>
      </c>
      <c r="X102" s="127">
        <f t="shared" si="32"/>
        <v>19</v>
      </c>
      <c r="Y102" s="127">
        <f t="shared" si="31"/>
        <v>19</v>
      </c>
      <c r="Z102" s="127">
        <f t="shared" si="31"/>
        <v>20</v>
      </c>
      <c r="AA102" s="127">
        <f t="shared" si="31"/>
        <v>20</v>
      </c>
      <c r="AB102" s="127">
        <f t="shared" si="31"/>
        <v>20</v>
      </c>
      <c r="AC102" s="127">
        <f t="shared" si="31"/>
        <v>21</v>
      </c>
      <c r="AD102" s="127">
        <f t="shared" si="31"/>
        <v>22.497942386831276</v>
      </c>
      <c r="AE102" s="127">
        <f t="shared" si="31"/>
        <v>23</v>
      </c>
      <c r="AF102" s="127">
        <f t="shared" si="31"/>
        <v>23</v>
      </c>
      <c r="AG102" s="127">
        <f t="shared" si="31"/>
        <v>23</v>
      </c>
      <c r="AH102" s="68">
        <f t="shared" si="24"/>
        <v>20.874828532235941</v>
      </c>
      <c r="AI102" s="49"/>
      <c r="AJ102" s="76"/>
      <c r="AK102" s="43"/>
      <c r="AN102" s="1"/>
      <c r="AO102" s="137"/>
      <c r="AR102"/>
      <c r="AS102" s="8"/>
      <c r="AT102" s="78">
        <v>2.4300000000000002</v>
      </c>
      <c r="AU102" s="79">
        <f t="shared" ca="1" si="25"/>
        <v>2.7411817494842197</v>
      </c>
      <c r="AV102" s="80">
        <f t="shared" ca="1" si="26"/>
        <v>686.66038795413147</v>
      </c>
      <c r="AW102" s="80">
        <f t="shared" ca="1" si="27"/>
        <v>77.950387954131429</v>
      </c>
      <c r="AX102" s="81"/>
      <c r="AY102" s="19"/>
      <c r="AZ102" s="134"/>
      <c r="BA102" s="134"/>
      <c r="BB102" s="134"/>
      <c r="BD102" s="512">
        <f t="shared" ca="1" si="28"/>
        <v>2.6281745633218616</v>
      </c>
      <c r="BE102" s="499">
        <f t="shared" ca="1" si="29"/>
        <v>689.28856251745333</v>
      </c>
    </row>
    <row r="103" spans="1:57" s="19" customFormat="1" ht="12" customHeight="1">
      <c r="A103" s="71" t="str">
        <f t="shared" si="21"/>
        <v>PA-J96CW1</v>
      </c>
      <c r="B103" s="72" t="s">
        <v>231</v>
      </c>
      <c r="C103" s="72" t="s">
        <v>232</v>
      </c>
      <c r="D103" s="73">
        <v>44.77</v>
      </c>
      <c r="E103" s="74">
        <v>35.5</v>
      </c>
      <c r="F103" s="67"/>
      <c r="G103" s="75">
        <v>615.58000000000004</v>
      </c>
      <c r="H103" s="75">
        <v>582.01</v>
      </c>
      <c r="I103" s="75">
        <v>637.97</v>
      </c>
      <c r="J103" s="75">
        <v>671.55</v>
      </c>
      <c r="K103" s="75">
        <v>671.55</v>
      </c>
      <c r="L103" s="75">
        <v>649.16</v>
      </c>
      <c r="M103" s="75">
        <v>626.78</v>
      </c>
      <c r="N103" s="75">
        <v>604.39</v>
      </c>
      <c r="O103" s="75">
        <v>582.01</v>
      </c>
      <c r="P103" s="75">
        <v>604.39</v>
      </c>
      <c r="Q103" s="75">
        <v>593.20000000000005</v>
      </c>
      <c r="R103" s="75">
        <v>660.34</v>
      </c>
      <c r="S103" s="75">
        <f t="shared" si="22"/>
        <v>7498.93</v>
      </c>
      <c r="T103" s="71">
        <v>33010</v>
      </c>
      <c r="V103" s="75">
        <f t="shared" si="32"/>
        <v>13.749832477105205</v>
      </c>
      <c r="W103" s="75">
        <f t="shared" si="32"/>
        <v>12.999999999999998</v>
      </c>
      <c r="X103" s="75">
        <f t="shared" si="32"/>
        <v>14.249944159035067</v>
      </c>
      <c r="Y103" s="75">
        <f t="shared" si="31"/>
        <v>14.999999999999998</v>
      </c>
      <c r="Z103" s="75">
        <f t="shared" si="31"/>
        <v>14.999999999999998</v>
      </c>
      <c r="AA103" s="75">
        <f t="shared" si="31"/>
        <v>14.499888318070134</v>
      </c>
      <c r="AB103" s="75">
        <f t="shared" si="31"/>
        <v>13.999999999999998</v>
      </c>
      <c r="AC103" s="75">
        <f t="shared" si="31"/>
        <v>13.499888318070134</v>
      </c>
      <c r="AD103" s="75">
        <f t="shared" si="31"/>
        <v>12.999999999999998</v>
      </c>
      <c r="AE103" s="75">
        <f t="shared" si="31"/>
        <v>13.499888318070134</v>
      </c>
      <c r="AF103" s="75">
        <f t="shared" si="31"/>
        <v>13.249944159035069</v>
      </c>
      <c r="AG103" s="75">
        <f t="shared" si="31"/>
        <v>14.749609113245477</v>
      </c>
      <c r="AH103" s="75">
        <f t="shared" si="24"/>
        <v>13.958249571885935</v>
      </c>
      <c r="AI103" s="49"/>
      <c r="AJ103" s="76"/>
      <c r="AK103" s="43">
        <v>96</v>
      </c>
      <c r="AL103" s="5">
        <v>1</v>
      </c>
      <c r="AM103" s="137">
        <f>+AH103*AL103</f>
        <v>13.958249571885935</v>
      </c>
      <c r="AN103" s="1"/>
      <c r="AO103" s="137"/>
      <c r="AP103" s="5"/>
      <c r="AQ103" s="5"/>
      <c r="AR103" s="135"/>
      <c r="AS103" s="8"/>
      <c r="AT103" s="78">
        <v>45.2485</v>
      </c>
      <c r="AU103" s="79">
        <f t="shared" ca="1" si="25"/>
        <v>51.042947486229103</v>
      </c>
      <c r="AV103" s="80">
        <f t="shared" ca="1" si="26"/>
        <v>8549.6423987694434</v>
      </c>
      <c r="AW103" s="80">
        <f t="shared" ca="1" si="27"/>
        <v>1050.7123987694431</v>
      </c>
      <c r="AX103" s="81"/>
      <c r="BC103" s="5"/>
      <c r="BD103" s="512">
        <f t="shared" ca="1" si="28"/>
        <v>32.723531271247495</v>
      </c>
      <c r="BE103" s="499">
        <f t="shared" ca="1" si="29"/>
        <v>8582.3659300406907</v>
      </c>
    </row>
    <row r="104" spans="1:57" s="5" customFormat="1" ht="12" customHeight="1">
      <c r="A104" s="5" t="str">
        <f t="shared" si="21"/>
        <v>PA-JCGATE</v>
      </c>
      <c r="B104" s="48" t="s">
        <v>233</v>
      </c>
      <c r="C104" s="48" t="s">
        <v>234</v>
      </c>
      <c r="D104" s="73">
        <f>1.12*4.33</f>
        <v>4.8496000000000006</v>
      </c>
      <c r="E104" s="74">
        <v>36</v>
      </c>
      <c r="F104" s="67"/>
      <c r="G104" s="68">
        <v>50.07</v>
      </c>
      <c r="H104" s="68">
        <v>48.85</v>
      </c>
      <c r="I104" s="68">
        <v>48.85</v>
      </c>
      <c r="J104" s="68">
        <v>48.85</v>
      </c>
      <c r="K104" s="68">
        <v>48.85</v>
      </c>
      <c r="L104" s="68">
        <v>48.85</v>
      </c>
      <c r="M104" s="68">
        <v>56.81</v>
      </c>
      <c r="N104" s="68">
        <v>63.55</v>
      </c>
      <c r="O104" s="68">
        <v>63.55</v>
      </c>
      <c r="P104" s="68">
        <v>63.55</v>
      </c>
      <c r="Q104" s="68">
        <v>61.1</v>
      </c>
      <c r="R104" s="68">
        <v>58.65</v>
      </c>
      <c r="S104" s="68">
        <f t="shared" si="22"/>
        <v>661.53</v>
      </c>
      <c r="T104" s="19">
        <v>33011</v>
      </c>
      <c r="U104" s="19"/>
      <c r="V104" s="127">
        <f t="shared" si="32"/>
        <v>10.324562850544373</v>
      </c>
      <c r="W104" s="127">
        <f t="shared" si="32"/>
        <v>10.072995710986472</v>
      </c>
      <c r="X104" s="127">
        <f t="shared" si="32"/>
        <v>10.072995710986472</v>
      </c>
      <c r="Y104" s="127">
        <f t="shared" si="31"/>
        <v>10.072995710986472</v>
      </c>
      <c r="Z104" s="127">
        <f t="shared" si="31"/>
        <v>10.072995710986472</v>
      </c>
      <c r="AA104" s="127">
        <f t="shared" si="31"/>
        <v>10.072995710986472</v>
      </c>
      <c r="AB104" s="127">
        <f t="shared" si="31"/>
        <v>11.714368195315076</v>
      </c>
      <c r="AC104" s="127">
        <f t="shared" si="31"/>
        <v>13.104173540085778</v>
      </c>
      <c r="AD104" s="127">
        <f t="shared" si="31"/>
        <v>13.104173540085778</v>
      </c>
      <c r="AE104" s="127">
        <f t="shared" si="31"/>
        <v>13.104173540085778</v>
      </c>
      <c r="AF104" s="127">
        <f t="shared" si="31"/>
        <v>12.598977235235894</v>
      </c>
      <c r="AG104" s="127">
        <f t="shared" si="31"/>
        <v>12.093780930386009</v>
      </c>
      <c r="AH104" s="68">
        <f t="shared" si="24"/>
        <v>11.367432365555921</v>
      </c>
      <c r="AI104" s="49"/>
      <c r="AJ104" s="76"/>
      <c r="AK104" s="43"/>
      <c r="AN104" s="1"/>
      <c r="AO104" s="138"/>
      <c r="AR104"/>
      <c r="AS104" s="8"/>
      <c r="AT104" s="78">
        <v>4.8496000000000006</v>
      </c>
      <c r="AU104" s="79">
        <f t="shared" ca="1" si="25"/>
        <v>5.4706316923039804</v>
      </c>
      <c r="AV104" s="80">
        <f t="shared" ca="1" si="26"/>
        <v>746.24442910958669</v>
      </c>
      <c r="AW104" s="80">
        <f t="shared" ca="1" si="27"/>
        <v>84.714429109586717</v>
      </c>
      <c r="AX104" s="81"/>
      <c r="AY104" s="19"/>
      <c r="BC104" s="19"/>
      <c r="BD104" s="512">
        <f t="shared" ca="1" si="28"/>
        <v>2.8562309127077112</v>
      </c>
      <c r="BE104" s="499">
        <f t="shared" ca="1" si="29"/>
        <v>749.10066002229439</v>
      </c>
    </row>
    <row r="105" spans="1:57" s="19" customFormat="1" ht="12" customHeight="1">
      <c r="A105" s="71" t="str">
        <f t="shared" si="21"/>
        <v>PA-J35CW1</v>
      </c>
      <c r="B105" s="72" t="s">
        <v>235</v>
      </c>
      <c r="C105" s="72" t="s">
        <v>236</v>
      </c>
      <c r="D105" s="73">
        <v>26.89</v>
      </c>
      <c r="E105" s="74">
        <v>35.5</v>
      </c>
      <c r="F105" s="67"/>
      <c r="G105" s="75">
        <v>1263.83</v>
      </c>
      <c r="H105" s="75">
        <v>1263.83</v>
      </c>
      <c r="I105" s="75">
        <v>1263.83</v>
      </c>
      <c r="J105" s="75">
        <v>1263.83</v>
      </c>
      <c r="K105" s="75">
        <v>1236.94</v>
      </c>
      <c r="L105" s="75">
        <v>1236.94</v>
      </c>
      <c r="M105" s="75">
        <v>1223.49</v>
      </c>
      <c r="N105" s="75">
        <v>1210.05</v>
      </c>
      <c r="O105" s="75">
        <v>1210.05</v>
      </c>
      <c r="P105" s="75">
        <v>1216.77</v>
      </c>
      <c r="Q105" s="75">
        <v>1236.94</v>
      </c>
      <c r="R105" s="75">
        <v>1236.93</v>
      </c>
      <c r="S105" s="75">
        <f t="shared" si="22"/>
        <v>14863.43</v>
      </c>
      <c r="T105" s="71">
        <v>33010</v>
      </c>
      <c r="V105" s="75">
        <f t="shared" si="32"/>
        <v>46.999999999999993</v>
      </c>
      <c r="W105" s="75">
        <f t="shared" si="32"/>
        <v>46.999999999999993</v>
      </c>
      <c r="X105" s="75">
        <f t="shared" si="32"/>
        <v>46.999999999999993</v>
      </c>
      <c r="Y105" s="75">
        <f t="shared" si="31"/>
        <v>46.999999999999993</v>
      </c>
      <c r="Z105" s="75">
        <f t="shared" si="31"/>
        <v>46</v>
      </c>
      <c r="AA105" s="75">
        <f t="shared" si="31"/>
        <v>46</v>
      </c>
      <c r="AB105" s="75">
        <f t="shared" si="31"/>
        <v>45.499814057270363</v>
      </c>
      <c r="AC105" s="75">
        <f t="shared" si="31"/>
        <v>45</v>
      </c>
      <c r="AD105" s="75">
        <f t="shared" si="31"/>
        <v>45</v>
      </c>
      <c r="AE105" s="75">
        <f t="shared" si="31"/>
        <v>45.249907028635178</v>
      </c>
      <c r="AF105" s="75">
        <f t="shared" si="31"/>
        <v>46</v>
      </c>
      <c r="AG105" s="75">
        <f t="shared" si="31"/>
        <v>45.99962811454072</v>
      </c>
      <c r="AH105" s="75">
        <f t="shared" si="24"/>
        <v>46.06244576670386</v>
      </c>
      <c r="AI105" s="49"/>
      <c r="AJ105" s="76"/>
      <c r="AK105" s="43">
        <v>35</v>
      </c>
      <c r="AL105" s="5">
        <v>1</v>
      </c>
      <c r="AM105" s="137">
        <f>+AH105*AL105</f>
        <v>46.06244576670386</v>
      </c>
      <c r="AN105" s="1"/>
      <c r="AO105" s="137"/>
      <c r="AP105" s="5"/>
      <c r="AQ105" s="5"/>
      <c r="AR105" s="135"/>
      <c r="AS105" s="8"/>
      <c r="AT105" s="78">
        <v>27.149099999999997</v>
      </c>
      <c r="AU105" s="79">
        <f t="shared" ca="1" si="25"/>
        <v>30.625768491737457</v>
      </c>
      <c r="AV105" s="80">
        <f t="shared" ca="1" si="26"/>
        <v>16928.373602571413</v>
      </c>
      <c r="AW105" s="80">
        <f t="shared" ca="1" si="27"/>
        <v>2064.9436025714131</v>
      </c>
      <c r="AX105" s="81"/>
      <c r="AZ105" s="5"/>
      <c r="BA105" s="5"/>
      <c r="BB105" s="5"/>
      <c r="BC105" s="5"/>
      <c r="BD105" s="512">
        <f t="shared" ca="1" si="28"/>
        <v>64.792904441808886</v>
      </c>
      <c r="BE105" s="499">
        <f t="shared" ca="1" si="29"/>
        <v>16993.166507013222</v>
      </c>
    </row>
    <row r="106" spans="1:57" s="19" customFormat="1" ht="12" customHeight="1">
      <c r="A106" s="71" t="str">
        <f t="shared" si="21"/>
        <v>PA-J60CW1</v>
      </c>
      <c r="B106" s="72" t="s">
        <v>237</v>
      </c>
      <c r="C106" s="72" t="s">
        <v>238</v>
      </c>
      <c r="D106" s="73">
        <v>34.21</v>
      </c>
      <c r="E106" s="74">
        <v>35.5</v>
      </c>
      <c r="F106" s="67"/>
      <c r="G106" s="75">
        <v>136.84</v>
      </c>
      <c r="H106" s="75">
        <v>171.05</v>
      </c>
      <c r="I106" s="75">
        <v>179.6</v>
      </c>
      <c r="J106" s="75">
        <v>205.26</v>
      </c>
      <c r="K106" s="75">
        <v>205.26</v>
      </c>
      <c r="L106" s="75">
        <v>205.26</v>
      </c>
      <c r="M106" s="75">
        <v>205.26</v>
      </c>
      <c r="N106" s="75">
        <v>205.26</v>
      </c>
      <c r="O106" s="75">
        <v>205.26</v>
      </c>
      <c r="P106" s="75">
        <v>188.15</v>
      </c>
      <c r="Q106" s="75">
        <v>171.05</v>
      </c>
      <c r="R106" s="75">
        <v>171.04</v>
      </c>
      <c r="S106" s="75">
        <f t="shared" si="22"/>
        <v>2249.29</v>
      </c>
      <c r="T106" s="71">
        <v>33010</v>
      </c>
      <c r="V106" s="75">
        <f t="shared" si="32"/>
        <v>4</v>
      </c>
      <c r="W106" s="75">
        <f t="shared" si="32"/>
        <v>5</v>
      </c>
      <c r="X106" s="75">
        <f t="shared" si="32"/>
        <v>5.2499269219526452</v>
      </c>
      <c r="Y106" s="75">
        <f t="shared" si="31"/>
        <v>6</v>
      </c>
      <c r="Z106" s="75">
        <f t="shared" si="31"/>
        <v>6</v>
      </c>
      <c r="AA106" s="75">
        <f t="shared" si="31"/>
        <v>6</v>
      </c>
      <c r="AB106" s="75">
        <f t="shared" si="31"/>
        <v>6</v>
      </c>
      <c r="AC106" s="75">
        <f t="shared" si="31"/>
        <v>6</v>
      </c>
      <c r="AD106" s="75">
        <f t="shared" si="31"/>
        <v>6</v>
      </c>
      <c r="AE106" s="75">
        <f t="shared" si="31"/>
        <v>5.4998538439052913</v>
      </c>
      <c r="AF106" s="75">
        <f t="shared" si="31"/>
        <v>5</v>
      </c>
      <c r="AG106" s="75">
        <f t="shared" si="31"/>
        <v>4.9997076878105817</v>
      </c>
      <c r="AH106" s="75">
        <f t="shared" si="24"/>
        <v>5.4791240378057102</v>
      </c>
      <c r="AI106" s="49"/>
      <c r="AJ106" s="76"/>
      <c r="AK106" s="43">
        <v>60</v>
      </c>
      <c r="AL106" s="5">
        <v>1</v>
      </c>
      <c r="AM106" s="137">
        <f>+AH106*AL106</f>
        <v>5.4791240378057102</v>
      </c>
      <c r="AN106" s="1"/>
      <c r="AO106" s="137"/>
      <c r="AP106" s="5"/>
      <c r="AQ106" s="5"/>
      <c r="AR106" s="135"/>
      <c r="AS106" s="8"/>
      <c r="AT106" s="78">
        <v>34.553400000000003</v>
      </c>
      <c r="AU106" s="79">
        <f t="shared" ca="1" si="25"/>
        <v>38.978250807665866</v>
      </c>
      <c r="AV106" s="80">
        <f t="shared" ca="1" si="26"/>
        <v>2562.8000514228229</v>
      </c>
      <c r="AW106" s="80">
        <f t="shared" ca="1" si="27"/>
        <v>313.51005142282293</v>
      </c>
      <c r="AX106" s="81"/>
      <c r="BD106" s="512">
        <f t="shared" ca="1" si="28"/>
        <v>9.8090497488830675</v>
      </c>
      <c r="BE106" s="499">
        <f t="shared" ca="1" si="29"/>
        <v>2572.6091011717058</v>
      </c>
    </row>
    <row r="107" spans="1:57" s="5" customFormat="1" ht="12" customHeight="1">
      <c r="A107" s="5" t="str">
        <f t="shared" si="21"/>
        <v>PA-JCGATEEOW</v>
      </c>
      <c r="B107" s="48" t="s">
        <v>239</v>
      </c>
      <c r="C107" s="48" t="s">
        <v>240</v>
      </c>
      <c r="D107" s="73">
        <f>1.12*2.17</f>
        <v>2.4304000000000001</v>
      </c>
      <c r="E107" s="74">
        <v>36</v>
      </c>
      <c r="F107" s="67"/>
      <c r="G107" s="68">
        <v>9.7200000000000006</v>
      </c>
      <c r="H107" s="68">
        <v>9.7200000000000006</v>
      </c>
      <c r="I107" s="68">
        <v>9.7200000000000006</v>
      </c>
      <c r="J107" s="68">
        <v>9.7200000000000006</v>
      </c>
      <c r="K107" s="68">
        <v>9.7200000000000006</v>
      </c>
      <c r="L107" s="68">
        <v>9.7200000000000006</v>
      </c>
      <c r="M107" s="68">
        <v>9.7200000000000006</v>
      </c>
      <c r="N107" s="68">
        <v>9.7200000000000006</v>
      </c>
      <c r="O107" s="68">
        <v>9.7200000000000006</v>
      </c>
      <c r="P107" s="68">
        <v>9.7200000000000006</v>
      </c>
      <c r="Q107" s="68">
        <v>9.7200000000000006</v>
      </c>
      <c r="R107" s="68">
        <v>9.7200000000000006</v>
      </c>
      <c r="S107" s="68">
        <f t="shared" si="22"/>
        <v>116.64</v>
      </c>
      <c r="T107" s="19">
        <v>33010</v>
      </c>
      <c r="U107" s="19"/>
      <c r="V107" s="127">
        <f t="shared" si="32"/>
        <v>3.999341672152732</v>
      </c>
      <c r="W107" s="127">
        <f t="shared" si="32"/>
        <v>3.999341672152732</v>
      </c>
      <c r="X107" s="127">
        <f t="shared" si="32"/>
        <v>3.999341672152732</v>
      </c>
      <c r="Y107" s="127">
        <f t="shared" si="31"/>
        <v>3.999341672152732</v>
      </c>
      <c r="Z107" s="127">
        <f t="shared" si="31"/>
        <v>3.999341672152732</v>
      </c>
      <c r="AA107" s="127">
        <f t="shared" si="31"/>
        <v>3.999341672152732</v>
      </c>
      <c r="AB107" s="127">
        <f t="shared" si="31"/>
        <v>3.999341672152732</v>
      </c>
      <c r="AC107" s="127">
        <f t="shared" si="31"/>
        <v>3.999341672152732</v>
      </c>
      <c r="AD107" s="127">
        <f t="shared" si="31"/>
        <v>3.999341672152732</v>
      </c>
      <c r="AE107" s="127">
        <f t="shared" si="31"/>
        <v>3.999341672152732</v>
      </c>
      <c r="AF107" s="127">
        <f t="shared" si="31"/>
        <v>3.999341672152732</v>
      </c>
      <c r="AG107" s="127">
        <f t="shared" si="31"/>
        <v>3.999341672152732</v>
      </c>
      <c r="AH107" s="68">
        <f t="shared" si="24"/>
        <v>3.9993416721527315</v>
      </c>
      <c r="AI107" s="49"/>
      <c r="AJ107" s="76"/>
      <c r="AK107" s="43"/>
      <c r="AN107" s="1"/>
      <c r="AO107" s="137"/>
      <c r="AR107"/>
      <c r="AS107" s="8"/>
      <c r="AT107" s="78">
        <v>2.4304000000000001</v>
      </c>
      <c r="AU107" s="79">
        <f t="shared" ca="1" si="25"/>
        <v>2.7416329728174684</v>
      </c>
      <c r="AV107" s="80">
        <f t="shared" ca="1" si="26"/>
        <v>131.57672397524254</v>
      </c>
      <c r="AW107" s="80">
        <f t="shared" ca="1" si="27"/>
        <v>14.936723975242543</v>
      </c>
      <c r="AX107" s="81"/>
      <c r="AY107" s="19"/>
      <c r="BC107" s="19"/>
      <c r="BD107" s="512">
        <f t="shared" ca="1" si="28"/>
        <v>0.50360644817049494</v>
      </c>
      <c r="BE107" s="499">
        <f t="shared" ca="1" si="29"/>
        <v>132.08033042341305</v>
      </c>
    </row>
    <row r="108" spans="1:57" s="19" customFormat="1" ht="12" customHeight="1">
      <c r="A108" s="71" t="str">
        <f t="shared" si="21"/>
        <v>PA-JR1.5YDEOW</v>
      </c>
      <c r="B108" s="72" t="s">
        <v>241</v>
      </c>
      <c r="C108" s="72" t="s">
        <v>242</v>
      </c>
      <c r="D108" s="73">
        <v>70.22</v>
      </c>
      <c r="E108" s="74">
        <v>35</v>
      </c>
      <c r="F108" s="67"/>
      <c r="G108" s="75">
        <v>2422.59</v>
      </c>
      <c r="H108" s="75">
        <v>2457.6999999999998</v>
      </c>
      <c r="I108" s="75">
        <v>2492.81</v>
      </c>
      <c r="J108" s="75">
        <v>2492.81</v>
      </c>
      <c r="K108" s="75">
        <v>2598.14</v>
      </c>
      <c r="L108" s="75">
        <v>2633.25</v>
      </c>
      <c r="M108" s="75">
        <v>2527.92</v>
      </c>
      <c r="N108" s="75">
        <v>2492.81</v>
      </c>
      <c r="O108" s="75">
        <v>2457.6999999999998</v>
      </c>
      <c r="P108" s="75">
        <v>2492.81</v>
      </c>
      <c r="Q108" s="75">
        <v>2527.92</v>
      </c>
      <c r="R108" s="75">
        <v>2527.92</v>
      </c>
      <c r="S108" s="75">
        <f t="shared" si="22"/>
        <v>30124.380000000005</v>
      </c>
      <c r="T108" s="71">
        <v>33010</v>
      </c>
      <c r="V108" s="75">
        <f t="shared" si="32"/>
        <v>34.5</v>
      </c>
      <c r="W108" s="75">
        <f t="shared" si="32"/>
        <v>35</v>
      </c>
      <c r="X108" s="75">
        <f t="shared" si="32"/>
        <v>35.5</v>
      </c>
      <c r="Y108" s="75">
        <f t="shared" si="31"/>
        <v>35.5</v>
      </c>
      <c r="Z108" s="75">
        <f t="shared" si="31"/>
        <v>37</v>
      </c>
      <c r="AA108" s="75">
        <f t="shared" si="31"/>
        <v>37.5</v>
      </c>
      <c r="AB108" s="75">
        <f t="shared" si="31"/>
        <v>36</v>
      </c>
      <c r="AC108" s="75">
        <f t="shared" si="31"/>
        <v>35.5</v>
      </c>
      <c r="AD108" s="75">
        <f t="shared" si="31"/>
        <v>35</v>
      </c>
      <c r="AE108" s="75">
        <f t="shared" si="31"/>
        <v>35.5</v>
      </c>
      <c r="AF108" s="75">
        <f t="shared" si="31"/>
        <v>36</v>
      </c>
      <c r="AG108" s="75">
        <f t="shared" si="31"/>
        <v>36</v>
      </c>
      <c r="AH108" s="75">
        <f t="shared" si="24"/>
        <v>35.75</v>
      </c>
      <c r="AI108" s="49"/>
      <c r="AJ108" s="76"/>
      <c r="AK108" s="43" t="s">
        <v>162</v>
      </c>
      <c r="AL108" s="5"/>
      <c r="AM108" s="5"/>
      <c r="AN108" s="1">
        <v>1</v>
      </c>
      <c r="AO108" s="137">
        <f>+AH108*AN108</f>
        <v>35.75</v>
      </c>
      <c r="AP108" s="5"/>
      <c r="AQ108" s="5"/>
      <c r="AR108" s="135"/>
      <c r="AS108" s="8"/>
      <c r="AT108" s="78">
        <v>71.132599999999996</v>
      </c>
      <c r="AU108" s="79">
        <f t="shared" ca="1" si="25"/>
        <v>80.241722186568396</v>
      </c>
      <c r="AV108" s="80">
        <f t="shared" ca="1" si="26"/>
        <v>34423.698818037839</v>
      </c>
      <c r="AW108" s="80">
        <f t="shared" ca="1" si="27"/>
        <v>4299.3188180378347</v>
      </c>
      <c r="AX108" s="81"/>
      <c r="BC108" s="5"/>
      <c r="BD108" s="512">
        <f t="shared" ca="1" si="28"/>
        <v>131.75580126090415</v>
      </c>
      <c r="BE108" s="499">
        <f t="shared" ca="1" si="29"/>
        <v>34555.45461929874</v>
      </c>
    </row>
    <row r="109" spans="1:57" s="19" customFormat="1" ht="12" customHeight="1">
      <c r="A109" s="71" t="str">
        <f t="shared" si="21"/>
        <v>PA-JR1YD1M</v>
      </c>
      <c r="B109" s="72" t="s">
        <v>243</v>
      </c>
      <c r="C109" s="72" t="s">
        <v>244</v>
      </c>
      <c r="D109" s="73">
        <v>23.08</v>
      </c>
      <c r="E109" s="74">
        <v>35</v>
      </c>
      <c r="F109" s="67"/>
      <c r="G109" s="75">
        <v>438.52</v>
      </c>
      <c r="H109" s="75">
        <v>438.52</v>
      </c>
      <c r="I109" s="75">
        <v>438.52</v>
      </c>
      <c r="J109" s="75">
        <v>461.6</v>
      </c>
      <c r="K109" s="75">
        <v>507.76</v>
      </c>
      <c r="L109" s="75">
        <v>553.91999999999996</v>
      </c>
      <c r="M109" s="75">
        <v>577</v>
      </c>
      <c r="N109" s="75">
        <v>623.16</v>
      </c>
      <c r="O109" s="75">
        <v>646.24</v>
      </c>
      <c r="P109" s="75">
        <v>646.24</v>
      </c>
      <c r="Q109" s="75">
        <v>646.24</v>
      </c>
      <c r="R109" s="75">
        <v>669.32</v>
      </c>
      <c r="S109" s="75">
        <f t="shared" si="22"/>
        <v>6647.0399999999991</v>
      </c>
      <c r="T109" s="71">
        <v>33010</v>
      </c>
      <c r="V109" s="75">
        <f t="shared" si="32"/>
        <v>19</v>
      </c>
      <c r="W109" s="75">
        <f t="shared" si="32"/>
        <v>19</v>
      </c>
      <c r="X109" s="75">
        <f t="shared" si="32"/>
        <v>19</v>
      </c>
      <c r="Y109" s="75">
        <f t="shared" si="31"/>
        <v>20.000000000000004</v>
      </c>
      <c r="Z109" s="75">
        <f t="shared" si="31"/>
        <v>22</v>
      </c>
      <c r="AA109" s="75">
        <f t="shared" si="31"/>
        <v>24</v>
      </c>
      <c r="AB109" s="75">
        <f t="shared" si="31"/>
        <v>25.000000000000004</v>
      </c>
      <c r="AC109" s="75">
        <f t="shared" si="31"/>
        <v>27</v>
      </c>
      <c r="AD109" s="75">
        <f t="shared" si="31"/>
        <v>28.000000000000004</v>
      </c>
      <c r="AE109" s="75">
        <f t="shared" si="31"/>
        <v>28.000000000000004</v>
      </c>
      <c r="AF109" s="75">
        <f t="shared" si="31"/>
        <v>28.000000000000004</v>
      </c>
      <c r="AG109" s="75">
        <f t="shared" si="31"/>
        <v>29.000000000000004</v>
      </c>
      <c r="AH109" s="75">
        <f t="shared" si="24"/>
        <v>24</v>
      </c>
      <c r="AI109" s="49"/>
      <c r="AJ109" s="76"/>
      <c r="AK109" s="43" t="s">
        <v>167</v>
      </c>
      <c r="AL109" s="5"/>
      <c r="AM109" s="5"/>
      <c r="AN109" s="1">
        <v>1</v>
      </c>
      <c r="AO109" s="137">
        <f>+AH109*AN109</f>
        <v>24</v>
      </c>
      <c r="AP109" s="5"/>
      <c r="AQ109" s="5"/>
      <c r="AR109" s="135"/>
      <c r="AS109" s="8"/>
      <c r="AT109" s="78">
        <v>23.37</v>
      </c>
      <c r="AU109" s="79">
        <f t="shared" ca="1" si="25"/>
        <v>26.362723245039597</v>
      </c>
      <c r="AV109" s="80">
        <f t="shared" ca="1" si="26"/>
        <v>7592.4642945714031</v>
      </c>
      <c r="AW109" s="80">
        <f t="shared" ca="1" si="27"/>
        <v>945.42429457140406</v>
      </c>
      <c r="AX109" s="81"/>
      <c r="BD109" s="512">
        <f t="shared" ca="1" si="28"/>
        <v>29.059957268504853</v>
      </c>
      <c r="BE109" s="499">
        <f t="shared" ca="1" si="29"/>
        <v>7621.5242518399082</v>
      </c>
    </row>
    <row r="110" spans="1:57" s="19" customFormat="1" ht="12" customHeight="1">
      <c r="A110" s="71" t="str">
        <f t="shared" si="21"/>
        <v>PA-JR1YDEOW</v>
      </c>
      <c r="B110" s="72" t="s">
        <v>245</v>
      </c>
      <c r="C110" s="72" t="s">
        <v>246</v>
      </c>
      <c r="D110" s="73">
        <v>50.08</v>
      </c>
      <c r="E110" s="74">
        <v>35</v>
      </c>
      <c r="F110" s="67"/>
      <c r="G110" s="75">
        <v>9490.0300000000007</v>
      </c>
      <c r="H110" s="75">
        <v>9464.99</v>
      </c>
      <c r="I110" s="75">
        <v>9490.16</v>
      </c>
      <c r="J110" s="75">
        <v>9590.32</v>
      </c>
      <c r="K110" s="75">
        <v>9690.48</v>
      </c>
      <c r="L110" s="75">
        <v>9665.44</v>
      </c>
      <c r="M110" s="75">
        <v>9765.6</v>
      </c>
      <c r="N110" s="75">
        <v>9715.52</v>
      </c>
      <c r="O110" s="75">
        <v>9640.4</v>
      </c>
      <c r="P110" s="75">
        <v>9740.56</v>
      </c>
      <c r="Q110" s="75">
        <v>9890.7999999999993</v>
      </c>
      <c r="R110" s="75">
        <v>9840.7199999999993</v>
      </c>
      <c r="S110" s="75">
        <f t="shared" si="22"/>
        <v>115985.02</v>
      </c>
      <c r="T110" s="71">
        <v>33010</v>
      </c>
      <c r="V110" s="75">
        <f t="shared" si="32"/>
        <v>189.49740415335467</v>
      </c>
      <c r="W110" s="75">
        <f t="shared" si="32"/>
        <v>188.99740415335464</v>
      </c>
      <c r="X110" s="75">
        <f t="shared" si="32"/>
        <v>189.5</v>
      </c>
      <c r="Y110" s="75">
        <f t="shared" si="31"/>
        <v>191.5</v>
      </c>
      <c r="Z110" s="75">
        <f t="shared" si="31"/>
        <v>193.5</v>
      </c>
      <c r="AA110" s="75">
        <f t="shared" si="31"/>
        <v>193.00000000000003</v>
      </c>
      <c r="AB110" s="75">
        <f t="shared" si="31"/>
        <v>195</v>
      </c>
      <c r="AC110" s="75">
        <f t="shared" si="31"/>
        <v>194.00000000000003</v>
      </c>
      <c r="AD110" s="75">
        <f t="shared" si="31"/>
        <v>192.5</v>
      </c>
      <c r="AE110" s="75">
        <f t="shared" si="31"/>
        <v>194.5</v>
      </c>
      <c r="AF110" s="75">
        <f t="shared" si="31"/>
        <v>197.5</v>
      </c>
      <c r="AG110" s="75">
        <f t="shared" si="31"/>
        <v>196.5</v>
      </c>
      <c r="AH110" s="75">
        <f t="shared" si="24"/>
        <v>192.99956735889245</v>
      </c>
      <c r="AI110" s="49"/>
      <c r="AJ110" s="76"/>
      <c r="AK110" s="43" t="s">
        <v>167</v>
      </c>
      <c r="AL110" s="5"/>
      <c r="AM110" s="5"/>
      <c r="AN110" s="1">
        <v>1</v>
      </c>
      <c r="AO110" s="137">
        <f>+AH110*AN110</f>
        <v>192.99956735889245</v>
      </c>
      <c r="AP110" s="5"/>
      <c r="AQ110" s="5"/>
      <c r="AR110" s="135"/>
      <c r="AS110" s="8"/>
      <c r="AT110" s="78">
        <v>50.712899999999998</v>
      </c>
      <c r="AU110" s="79">
        <f t="shared" ca="1" si="25"/>
        <v>57.207109441735916</v>
      </c>
      <c r="AV110" s="80">
        <f t="shared" ca="1" si="26"/>
        <v>132491.36846529413</v>
      </c>
      <c r="AW110" s="80">
        <f t="shared" ca="1" si="27"/>
        <v>16506.348465294126</v>
      </c>
      <c r="AX110" s="81"/>
      <c r="AZ110" s="5"/>
      <c r="BA110" s="5"/>
      <c r="BB110" s="5"/>
      <c r="BD110" s="512">
        <f t="shared" ca="1" si="28"/>
        <v>507.10722588449437</v>
      </c>
      <c r="BE110" s="499">
        <f t="shared" ca="1" si="29"/>
        <v>132998.47569117864</v>
      </c>
    </row>
    <row r="111" spans="1:57" s="19" customFormat="1" ht="12" customHeight="1">
      <c r="A111" s="71" t="str">
        <f t="shared" si="21"/>
        <v>PA-JR2YD1M</v>
      </c>
      <c r="B111" s="72" t="s">
        <v>247</v>
      </c>
      <c r="C111" s="72" t="s">
        <v>248</v>
      </c>
      <c r="D111" s="73">
        <v>45.24</v>
      </c>
      <c r="E111" s="74">
        <v>35</v>
      </c>
      <c r="F111" s="67"/>
      <c r="G111" s="75">
        <v>1176.24</v>
      </c>
      <c r="H111" s="75">
        <v>1131</v>
      </c>
      <c r="I111" s="75">
        <v>1131</v>
      </c>
      <c r="J111" s="75">
        <v>1131</v>
      </c>
      <c r="K111" s="75">
        <v>1131</v>
      </c>
      <c r="L111" s="75">
        <v>1176.24</v>
      </c>
      <c r="M111" s="75">
        <v>1221.48</v>
      </c>
      <c r="N111" s="75">
        <v>1357.2</v>
      </c>
      <c r="O111" s="75">
        <v>1311.96</v>
      </c>
      <c r="P111" s="75">
        <v>1311.96</v>
      </c>
      <c r="Q111" s="75">
        <v>1357.2</v>
      </c>
      <c r="R111" s="75">
        <v>1357.2</v>
      </c>
      <c r="S111" s="75">
        <f t="shared" si="22"/>
        <v>14793.48</v>
      </c>
      <c r="T111" s="71">
        <v>33010</v>
      </c>
      <c r="V111" s="75">
        <f t="shared" si="32"/>
        <v>26</v>
      </c>
      <c r="W111" s="75">
        <f t="shared" si="32"/>
        <v>25</v>
      </c>
      <c r="X111" s="75">
        <f t="shared" si="32"/>
        <v>25</v>
      </c>
      <c r="Y111" s="75">
        <f t="shared" si="31"/>
        <v>25</v>
      </c>
      <c r="Z111" s="75">
        <f t="shared" si="31"/>
        <v>25</v>
      </c>
      <c r="AA111" s="75">
        <f t="shared" si="31"/>
        <v>26</v>
      </c>
      <c r="AB111" s="75">
        <f t="shared" ref="AB111:AG123" si="33">IFERROR(M111/$D111,0)</f>
        <v>27</v>
      </c>
      <c r="AC111" s="75">
        <f t="shared" si="33"/>
        <v>30</v>
      </c>
      <c r="AD111" s="75">
        <f t="shared" si="33"/>
        <v>29</v>
      </c>
      <c r="AE111" s="75">
        <f t="shared" si="33"/>
        <v>29</v>
      </c>
      <c r="AF111" s="75">
        <f t="shared" si="33"/>
        <v>30</v>
      </c>
      <c r="AG111" s="75">
        <f t="shared" si="33"/>
        <v>30</v>
      </c>
      <c r="AH111" s="75">
        <f t="shared" si="24"/>
        <v>27.25</v>
      </c>
      <c r="AI111" s="49"/>
      <c r="AJ111" s="76"/>
      <c r="AK111" s="43" t="s">
        <v>151</v>
      </c>
      <c r="AL111" s="5"/>
      <c r="AM111" s="5"/>
      <c r="AN111" s="1">
        <v>1</v>
      </c>
      <c r="AO111" s="137">
        <f>+AH111*AN111</f>
        <v>27.25</v>
      </c>
      <c r="AP111" s="5"/>
      <c r="AQ111" s="5"/>
      <c r="AR111" s="135"/>
      <c r="AS111" s="8"/>
      <c r="AT111" s="78">
        <v>45.78</v>
      </c>
      <c r="AU111" s="79">
        <f t="shared" ca="1" si="25"/>
        <v>51.642510490282952</v>
      </c>
      <c r="AV111" s="80">
        <f t="shared" ca="1" si="26"/>
        <v>16887.100930322526</v>
      </c>
      <c r="AW111" s="80">
        <f t="shared" ca="1" si="27"/>
        <v>2093.620930322526</v>
      </c>
      <c r="AX111" s="81"/>
      <c r="BD111" s="512">
        <f t="shared" ca="1" si="28"/>
        <v>64.634934374993122</v>
      </c>
      <c r="BE111" s="499">
        <f t="shared" ca="1" si="29"/>
        <v>16951.735864697519</v>
      </c>
    </row>
    <row r="112" spans="1:57" s="19" customFormat="1" ht="12" customHeight="1">
      <c r="A112" s="71" t="str">
        <f t="shared" si="21"/>
        <v>PA-JR2YDEOW</v>
      </c>
      <c r="B112" s="72" t="s">
        <v>249</v>
      </c>
      <c r="C112" s="72" t="s">
        <v>250</v>
      </c>
      <c r="D112" s="73">
        <v>98.17</v>
      </c>
      <c r="E112" s="74">
        <v>35</v>
      </c>
      <c r="F112" s="67"/>
      <c r="G112" s="75">
        <v>6184.7</v>
      </c>
      <c r="H112" s="75">
        <v>5988.37</v>
      </c>
      <c r="I112" s="75">
        <v>6086.52</v>
      </c>
      <c r="J112" s="75">
        <v>5988.37</v>
      </c>
      <c r="K112" s="75">
        <v>5988.37</v>
      </c>
      <c r="L112" s="75">
        <v>5988.3499999999995</v>
      </c>
      <c r="M112" s="75">
        <v>6430.12</v>
      </c>
      <c r="N112" s="75">
        <v>6577.39</v>
      </c>
      <c r="O112" s="75">
        <v>6675.56</v>
      </c>
      <c r="P112" s="75">
        <v>6871.86</v>
      </c>
      <c r="Q112" s="75">
        <v>6724.64</v>
      </c>
      <c r="R112" s="75">
        <v>6626.46</v>
      </c>
      <c r="S112" s="75">
        <f t="shared" si="22"/>
        <v>76130.710000000006</v>
      </c>
      <c r="T112" s="71">
        <v>33010</v>
      </c>
      <c r="V112" s="75">
        <f t="shared" si="32"/>
        <v>62.999898135886724</v>
      </c>
      <c r="W112" s="75">
        <f t="shared" si="32"/>
        <v>61</v>
      </c>
      <c r="X112" s="75">
        <f t="shared" si="32"/>
        <v>61.999796271773455</v>
      </c>
      <c r="Y112" s="75">
        <f t="shared" si="32"/>
        <v>61</v>
      </c>
      <c r="Z112" s="75">
        <f t="shared" si="32"/>
        <v>61</v>
      </c>
      <c r="AA112" s="75">
        <f t="shared" si="32"/>
        <v>60.999796271773448</v>
      </c>
      <c r="AB112" s="75">
        <f t="shared" si="33"/>
        <v>65.499847203830086</v>
      </c>
      <c r="AC112" s="75">
        <f t="shared" si="33"/>
        <v>67</v>
      </c>
      <c r="AD112" s="75">
        <f t="shared" si="33"/>
        <v>68</v>
      </c>
      <c r="AE112" s="75">
        <f t="shared" si="33"/>
        <v>69.99959254354691</v>
      </c>
      <c r="AF112" s="75">
        <f t="shared" si="33"/>
        <v>68.499949067943362</v>
      </c>
      <c r="AG112" s="75">
        <f t="shared" si="33"/>
        <v>67.499847203830086</v>
      </c>
      <c r="AH112" s="75">
        <f t="shared" si="24"/>
        <v>64.624893891548666</v>
      </c>
      <c r="AI112" s="49"/>
      <c r="AJ112" s="76"/>
      <c r="AK112" s="43" t="s">
        <v>151</v>
      </c>
      <c r="AL112" s="5"/>
      <c r="AM112" s="5"/>
      <c r="AN112" s="1">
        <v>1</v>
      </c>
      <c r="AO112" s="137">
        <f>+AH112*AN112</f>
        <v>64.624893891548666</v>
      </c>
      <c r="AP112" s="5"/>
      <c r="AQ112" s="5"/>
      <c r="AR112" s="135"/>
      <c r="AS112" s="8"/>
      <c r="AT112" s="78">
        <v>99.338368427640049</v>
      </c>
      <c r="AU112" s="79">
        <f t="shared" ca="1" si="25"/>
        <v>112.05947430345117</v>
      </c>
      <c r="AV112" s="80">
        <f t="shared" ca="1" si="26"/>
        <v>86901.979636839067</v>
      </c>
      <c r="AW112" s="80">
        <f t="shared" ca="1" si="27"/>
        <v>10771.269636839061</v>
      </c>
      <c r="AX112" s="81"/>
      <c r="BD112" s="512">
        <f t="shared" ca="1" si="28"/>
        <v>332.61503996807141</v>
      </c>
      <c r="BE112" s="499">
        <f t="shared" ca="1" si="29"/>
        <v>87234.594676807144</v>
      </c>
    </row>
    <row r="113" spans="1:57" s="5" customFormat="1" ht="12" customHeight="1">
      <c r="A113" s="5" t="str">
        <f t="shared" si="21"/>
        <v>PA-JCTRIP</v>
      </c>
      <c r="B113" s="48" t="s">
        <v>251</v>
      </c>
      <c r="C113" s="48" t="s">
        <v>252</v>
      </c>
      <c r="D113" s="73">
        <v>9.91</v>
      </c>
      <c r="E113" s="74">
        <v>17</v>
      </c>
      <c r="F113" s="67"/>
      <c r="G113" s="68">
        <v>9.91</v>
      </c>
      <c r="H113" s="68">
        <v>0</v>
      </c>
      <c r="I113" s="68">
        <v>0</v>
      </c>
      <c r="J113" s="68">
        <v>9.91</v>
      </c>
      <c r="K113" s="68">
        <v>9.91</v>
      </c>
      <c r="L113" s="68">
        <v>0</v>
      </c>
      <c r="M113" s="68">
        <v>0</v>
      </c>
      <c r="N113" s="68">
        <v>0</v>
      </c>
      <c r="O113" s="68">
        <v>9.91</v>
      </c>
      <c r="P113" s="68">
        <v>0</v>
      </c>
      <c r="Q113" s="68">
        <v>9.91</v>
      </c>
      <c r="R113" s="68">
        <v>0</v>
      </c>
      <c r="S113" s="68">
        <f t="shared" si="22"/>
        <v>49.55</v>
      </c>
      <c r="T113" s="19">
        <v>33011</v>
      </c>
      <c r="U113" s="19"/>
      <c r="V113" s="127">
        <f t="shared" si="32"/>
        <v>1</v>
      </c>
      <c r="W113" s="127">
        <f t="shared" si="32"/>
        <v>0</v>
      </c>
      <c r="X113" s="127">
        <f t="shared" si="32"/>
        <v>0</v>
      </c>
      <c r="Y113" s="127">
        <f t="shared" si="32"/>
        <v>1</v>
      </c>
      <c r="Z113" s="127">
        <f t="shared" si="32"/>
        <v>1</v>
      </c>
      <c r="AA113" s="127">
        <f t="shared" si="32"/>
        <v>0</v>
      </c>
      <c r="AB113" s="127">
        <f t="shared" si="33"/>
        <v>0</v>
      </c>
      <c r="AC113" s="127">
        <f t="shared" si="33"/>
        <v>0</v>
      </c>
      <c r="AD113" s="127">
        <f t="shared" si="33"/>
        <v>1</v>
      </c>
      <c r="AE113" s="127">
        <f t="shared" si="33"/>
        <v>0</v>
      </c>
      <c r="AF113" s="127">
        <f t="shared" si="33"/>
        <v>1</v>
      </c>
      <c r="AG113" s="127">
        <f t="shared" si="33"/>
        <v>0</v>
      </c>
      <c r="AH113" s="68">
        <f t="shared" si="24"/>
        <v>1</v>
      </c>
      <c r="AI113" s="49"/>
      <c r="AJ113" s="76"/>
      <c r="AK113" s="43"/>
      <c r="AL113" s="1"/>
      <c r="AM113" s="137"/>
      <c r="AN113" s="1"/>
      <c r="AO113" s="137"/>
      <c r="AR113"/>
      <c r="AS113" s="8"/>
      <c r="AT113" s="104">
        <v>9.91</v>
      </c>
      <c r="AU113" s="79">
        <f t="shared" ca="1" si="25"/>
        <v>11.179058081229885</v>
      </c>
      <c r="AV113" s="80">
        <f t="shared" ca="1" si="26"/>
        <v>55.895290406149428</v>
      </c>
      <c r="AW113" s="80">
        <f t="shared" ca="1" si="27"/>
        <v>6.3452904061494309</v>
      </c>
      <c r="AX113" s="81"/>
      <c r="AY113" s="19"/>
      <c r="AZ113" s="19"/>
      <c r="BA113" s="19"/>
      <c r="BB113" s="19"/>
      <c r="BC113" s="19"/>
      <c r="BD113" s="512">
        <f t="shared" ca="1" si="28"/>
        <v>0.21393775297366277</v>
      </c>
      <c r="BE113" s="499">
        <f t="shared" ca="1" si="29"/>
        <v>56.109228159123091</v>
      </c>
    </row>
    <row r="114" spans="1:57" s="5" customFormat="1" ht="12" customHeight="1">
      <c r="A114" s="5" t="str">
        <f t="shared" si="21"/>
        <v>PA-JR2YDRENTTD</v>
      </c>
      <c r="B114" s="48" t="s">
        <v>253</v>
      </c>
      <c r="C114" s="48" t="s">
        <v>254</v>
      </c>
      <c r="D114" s="73">
        <v>0.82</v>
      </c>
      <c r="E114" s="74">
        <v>35</v>
      </c>
      <c r="F114" s="67"/>
      <c r="G114" s="68">
        <v>133.66</v>
      </c>
      <c r="H114" s="68">
        <v>213.2</v>
      </c>
      <c r="I114" s="68">
        <v>180.4</v>
      </c>
      <c r="J114" s="68">
        <v>232.06</v>
      </c>
      <c r="K114" s="68">
        <v>214.02</v>
      </c>
      <c r="L114" s="68">
        <v>223.86</v>
      </c>
      <c r="M114" s="68">
        <v>113.16</v>
      </c>
      <c r="N114" s="68">
        <v>20.5</v>
      </c>
      <c r="O114" s="68">
        <v>69.7</v>
      </c>
      <c r="P114" s="68">
        <v>145.96</v>
      </c>
      <c r="Q114" s="68">
        <v>161.54</v>
      </c>
      <c r="R114" s="68">
        <v>150.88</v>
      </c>
      <c r="S114" s="68">
        <f t="shared" si="22"/>
        <v>1858.94</v>
      </c>
      <c r="T114" s="19">
        <v>33010</v>
      </c>
      <c r="U114" s="19"/>
      <c r="V114" s="127">
        <f t="shared" si="32"/>
        <v>163</v>
      </c>
      <c r="W114" s="127">
        <f t="shared" si="32"/>
        <v>260</v>
      </c>
      <c r="X114" s="127">
        <f t="shared" si="32"/>
        <v>220.00000000000003</v>
      </c>
      <c r="Y114" s="127">
        <f t="shared" si="32"/>
        <v>283</v>
      </c>
      <c r="Z114" s="127">
        <f t="shared" si="32"/>
        <v>261</v>
      </c>
      <c r="AA114" s="127">
        <f t="shared" si="32"/>
        <v>273.00000000000006</v>
      </c>
      <c r="AB114" s="127">
        <f t="shared" si="33"/>
        <v>138</v>
      </c>
      <c r="AC114" s="127">
        <f t="shared" si="33"/>
        <v>25</v>
      </c>
      <c r="AD114" s="127">
        <f t="shared" si="33"/>
        <v>85.000000000000014</v>
      </c>
      <c r="AE114" s="127">
        <f t="shared" si="33"/>
        <v>178.00000000000003</v>
      </c>
      <c r="AF114" s="127">
        <f t="shared" si="33"/>
        <v>197</v>
      </c>
      <c r="AG114" s="127">
        <f t="shared" si="33"/>
        <v>184</v>
      </c>
      <c r="AH114" s="68">
        <f t="shared" si="24"/>
        <v>188.91666666666666</v>
      </c>
      <c r="AI114" s="49"/>
      <c r="AJ114" s="76"/>
      <c r="AK114" s="43"/>
      <c r="AN114" s="1"/>
      <c r="AO114" s="138"/>
      <c r="AR114"/>
      <c r="AS114" s="8"/>
      <c r="AT114" s="78">
        <v>0.82</v>
      </c>
      <c r="AU114" s="79">
        <f t="shared" ca="1" si="25"/>
        <v>0.92500783315928392</v>
      </c>
      <c r="AV114" s="80">
        <f t="shared" ca="1" si="26"/>
        <v>2096.9927577720964</v>
      </c>
      <c r="AW114" s="80">
        <f t="shared" ca="1" si="27"/>
        <v>238.05275777209636</v>
      </c>
      <c r="AX114" s="81"/>
      <c r="AY114" s="19"/>
      <c r="AZ114" s="19"/>
      <c r="BA114" s="19"/>
      <c r="BB114" s="19"/>
      <c r="BD114" s="512">
        <f t="shared" ca="1" si="28"/>
        <v>8.026184591581444</v>
      </c>
      <c r="BE114" s="499">
        <f t="shared" ca="1" si="29"/>
        <v>2105.018942363678</v>
      </c>
    </row>
    <row r="115" spans="1:57" s="19" customFormat="1" ht="12" customHeight="1">
      <c r="A115" s="71" t="str">
        <f t="shared" si="21"/>
        <v>PA-JR1.5YD1M</v>
      </c>
      <c r="B115" s="72" t="s">
        <v>255</v>
      </c>
      <c r="C115" s="72" t="s">
        <v>256</v>
      </c>
      <c r="D115" s="73">
        <v>32.36</v>
      </c>
      <c r="E115" s="74">
        <v>35</v>
      </c>
      <c r="F115" s="67"/>
      <c r="G115" s="75">
        <v>517.76</v>
      </c>
      <c r="H115" s="75">
        <v>517.76</v>
      </c>
      <c r="I115" s="75">
        <v>517.76</v>
      </c>
      <c r="J115" s="75">
        <v>550.12</v>
      </c>
      <c r="K115" s="75">
        <v>614.84</v>
      </c>
      <c r="L115" s="75">
        <v>614.84</v>
      </c>
      <c r="M115" s="75">
        <v>647.20000000000005</v>
      </c>
      <c r="N115" s="75">
        <v>647.20000000000005</v>
      </c>
      <c r="O115" s="75">
        <v>647.20000000000005</v>
      </c>
      <c r="P115" s="75">
        <v>647.20000000000005</v>
      </c>
      <c r="Q115" s="75">
        <v>647.20000000000005</v>
      </c>
      <c r="R115" s="75">
        <v>647.20000000000005</v>
      </c>
      <c r="S115" s="75">
        <f t="shared" si="22"/>
        <v>7216.28</v>
      </c>
      <c r="T115" s="71">
        <v>33010</v>
      </c>
      <c r="V115" s="75">
        <f t="shared" si="32"/>
        <v>16</v>
      </c>
      <c r="W115" s="75">
        <f t="shared" si="32"/>
        <v>16</v>
      </c>
      <c r="X115" s="75">
        <f t="shared" si="32"/>
        <v>16</v>
      </c>
      <c r="Y115" s="75">
        <f t="shared" si="32"/>
        <v>17</v>
      </c>
      <c r="Z115" s="75">
        <f t="shared" si="32"/>
        <v>19</v>
      </c>
      <c r="AA115" s="75">
        <f t="shared" si="32"/>
        <v>19</v>
      </c>
      <c r="AB115" s="75">
        <f t="shared" si="33"/>
        <v>20</v>
      </c>
      <c r="AC115" s="75">
        <f t="shared" si="33"/>
        <v>20</v>
      </c>
      <c r="AD115" s="75">
        <f t="shared" si="33"/>
        <v>20</v>
      </c>
      <c r="AE115" s="75">
        <f t="shared" si="33"/>
        <v>20</v>
      </c>
      <c r="AF115" s="75">
        <f t="shared" si="33"/>
        <v>20</v>
      </c>
      <c r="AG115" s="75">
        <f t="shared" si="33"/>
        <v>20</v>
      </c>
      <c r="AH115" s="75">
        <f t="shared" si="24"/>
        <v>18.583333333333332</v>
      </c>
      <c r="AI115" s="49"/>
      <c r="AJ115" s="76"/>
      <c r="AK115" s="43" t="s">
        <v>162</v>
      </c>
      <c r="AL115" s="5"/>
      <c r="AM115" s="5"/>
      <c r="AN115" s="1">
        <v>1</v>
      </c>
      <c r="AO115" s="137">
        <f>+AH115*AN115</f>
        <v>18.583333333333332</v>
      </c>
      <c r="AP115" s="5"/>
      <c r="AQ115" s="5"/>
      <c r="AR115" s="135"/>
      <c r="AS115" s="8"/>
      <c r="AT115" s="78">
        <v>32.78</v>
      </c>
      <c r="AU115" s="79">
        <f t="shared" ca="1" si="25"/>
        <v>36.977752159708942</v>
      </c>
      <c r="AV115" s="80">
        <f t="shared" ca="1" si="26"/>
        <v>8246.0387316150936</v>
      </c>
      <c r="AW115" s="80">
        <f t="shared" ca="1" si="27"/>
        <v>1029.7587316150939</v>
      </c>
      <c r="AX115" s="81"/>
      <c r="BC115" s="5"/>
      <c r="BD115" s="512">
        <f t="shared" ca="1" si="28"/>
        <v>31.561496225475203</v>
      </c>
      <c r="BE115" s="499">
        <f t="shared" ca="1" si="29"/>
        <v>8277.6002278405686</v>
      </c>
    </row>
    <row r="116" spans="1:57" s="5" customFormat="1" ht="12" customHeight="1">
      <c r="A116" s="5" t="str">
        <f t="shared" si="21"/>
        <v>PA-JR1YDRENTTD</v>
      </c>
      <c r="B116" s="48" t="s">
        <v>257</v>
      </c>
      <c r="C116" s="48" t="s">
        <v>258</v>
      </c>
      <c r="D116" s="73">
        <v>0.56000000000000005</v>
      </c>
      <c r="E116" s="74">
        <v>35</v>
      </c>
      <c r="F116" s="67"/>
      <c r="G116" s="68">
        <v>4.4800000000000004</v>
      </c>
      <c r="H116" s="68">
        <v>16.8</v>
      </c>
      <c r="I116" s="68">
        <v>17.36</v>
      </c>
      <c r="J116" s="68">
        <v>16.8</v>
      </c>
      <c r="K116" s="68">
        <v>17.36</v>
      </c>
      <c r="L116" s="68">
        <v>6.16</v>
      </c>
      <c r="M116" s="68">
        <v>0</v>
      </c>
      <c r="N116" s="68">
        <v>0</v>
      </c>
      <c r="O116" s="68">
        <v>0</v>
      </c>
      <c r="P116" s="68">
        <v>0</v>
      </c>
      <c r="Q116" s="68">
        <v>0</v>
      </c>
      <c r="R116" s="68">
        <v>8.4</v>
      </c>
      <c r="S116" s="68">
        <f t="shared" si="22"/>
        <v>87.36</v>
      </c>
      <c r="T116" s="19">
        <v>33010</v>
      </c>
      <c r="U116" s="19"/>
      <c r="V116" s="127">
        <f t="shared" ref="V116:AA123" si="34">IFERROR(G116/$D116,0)</f>
        <v>8</v>
      </c>
      <c r="W116" s="127">
        <f t="shared" si="34"/>
        <v>30</v>
      </c>
      <c r="X116" s="127">
        <f t="shared" si="34"/>
        <v>30.999999999999996</v>
      </c>
      <c r="Y116" s="127">
        <f t="shared" si="34"/>
        <v>30</v>
      </c>
      <c r="Z116" s="127">
        <f t="shared" si="34"/>
        <v>30.999999999999996</v>
      </c>
      <c r="AA116" s="127">
        <f t="shared" si="34"/>
        <v>11</v>
      </c>
      <c r="AB116" s="127">
        <f t="shared" si="33"/>
        <v>0</v>
      </c>
      <c r="AC116" s="127">
        <f t="shared" si="33"/>
        <v>0</v>
      </c>
      <c r="AD116" s="127">
        <f t="shared" si="33"/>
        <v>0</v>
      </c>
      <c r="AE116" s="127">
        <f t="shared" si="33"/>
        <v>0</v>
      </c>
      <c r="AF116" s="127">
        <f t="shared" si="33"/>
        <v>0</v>
      </c>
      <c r="AG116" s="127">
        <f t="shared" si="33"/>
        <v>15</v>
      </c>
      <c r="AH116" s="68">
        <f t="shared" si="24"/>
        <v>22.285714285714285</v>
      </c>
      <c r="AI116" s="49"/>
      <c r="AJ116" s="76"/>
      <c r="AK116" s="43"/>
      <c r="AN116" s="1"/>
      <c r="AO116" s="138"/>
      <c r="AR116"/>
      <c r="AS116" s="8"/>
      <c r="AT116" s="78">
        <v>0.56000000000000005</v>
      </c>
      <c r="AU116" s="79">
        <f t="shared" ca="1" si="25"/>
        <v>0.63171266654780378</v>
      </c>
      <c r="AV116" s="80">
        <f t="shared" ca="1" si="26"/>
        <v>98.547175981457386</v>
      </c>
      <c r="AW116" s="80">
        <f t="shared" ca="1" si="27"/>
        <v>11.187175981457386</v>
      </c>
      <c r="AX116" s="81"/>
      <c r="AY116" s="19"/>
      <c r="BC116" s="19"/>
      <c r="BD116" s="512">
        <f t="shared" ca="1" si="28"/>
        <v>0.37718672249806617</v>
      </c>
      <c r="BE116" s="499">
        <f t="shared" ca="1" si="29"/>
        <v>98.924362703955453</v>
      </c>
    </row>
    <row r="117" spans="1:57" s="5" customFormat="1" ht="12" customHeight="1">
      <c r="A117" s="5" t="str">
        <f t="shared" si="21"/>
        <v>PA-JROLLOUTOC</v>
      </c>
      <c r="B117" s="48" t="s">
        <v>259</v>
      </c>
      <c r="C117" s="48" t="s">
        <v>260</v>
      </c>
      <c r="D117" s="73">
        <f>1.12</f>
        <v>1.1200000000000001</v>
      </c>
      <c r="E117" s="74">
        <v>31</v>
      </c>
      <c r="F117" s="67"/>
      <c r="G117" s="68">
        <v>0.73</v>
      </c>
      <c r="H117" s="68">
        <v>0.72</v>
      </c>
      <c r="I117" s="68">
        <v>0.73</v>
      </c>
      <c r="J117" s="68">
        <v>0.72</v>
      </c>
      <c r="K117" s="68">
        <v>0.73</v>
      </c>
      <c r="L117" s="68">
        <v>0.72</v>
      </c>
      <c r="M117" s="68">
        <v>0.73</v>
      </c>
      <c r="N117" s="68">
        <v>0.72</v>
      </c>
      <c r="O117" s="68">
        <v>0.73</v>
      </c>
      <c r="P117" s="68">
        <v>0.72</v>
      </c>
      <c r="Q117" s="68">
        <v>0.73</v>
      </c>
      <c r="R117" s="68">
        <v>0.72</v>
      </c>
      <c r="S117" s="68">
        <f t="shared" si="22"/>
        <v>8.6999999999999993</v>
      </c>
      <c r="T117" s="19">
        <v>33011</v>
      </c>
      <c r="U117" s="19"/>
      <c r="V117" s="127">
        <f t="shared" si="34"/>
        <v>0.65178571428571419</v>
      </c>
      <c r="W117" s="127">
        <f t="shared" si="34"/>
        <v>0.64285714285714279</v>
      </c>
      <c r="X117" s="127">
        <f t="shared" si="34"/>
        <v>0.65178571428571419</v>
      </c>
      <c r="Y117" s="127">
        <f t="shared" si="34"/>
        <v>0.64285714285714279</v>
      </c>
      <c r="Z117" s="127">
        <f t="shared" si="34"/>
        <v>0.65178571428571419</v>
      </c>
      <c r="AA117" s="127">
        <f t="shared" si="34"/>
        <v>0.64285714285714279</v>
      </c>
      <c r="AB117" s="127">
        <f t="shared" si="33"/>
        <v>0.65178571428571419</v>
      </c>
      <c r="AC117" s="127">
        <f t="shared" si="33"/>
        <v>0.64285714285714279</v>
      </c>
      <c r="AD117" s="127">
        <f t="shared" si="33"/>
        <v>0.65178571428571419</v>
      </c>
      <c r="AE117" s="127">
        <f t="shared" si="33"/>
        <v>0.64285714285714279</v>
      </c>
      <c r="AF117" s="127">
        <f t="shared" si="33"/>
        <v>0.65178571428571419</v>
      </c>
      <c r="AG117" s="127">
        <f t="shared" si="33"/>
        <v>0.64285714285714279</v>
      </c>
      <c r="AH117" s="68">
        <f t="shared" si="24"/>
        <v>0.64732142857142849</v>
      </c>
      <c r="AI117" s="49"/>
      <c r="AJ117" s="76"/>
      <c r="AK117" s="43"/>
      <c r="AN117" s="1"/>
      <c r="AO117" s="137"/>
      <c r="AR117"/>
      <c r="AS117" s="8"/>
      <c r="AT117" s="78">
        <v>1.1200000000000001</v>
      </c>
      <c r="AU117" s="79">
        <f t="shared" ca="1" si="25"/>
        <v>1.2634253330956076</v>
      </c>
      <c r="AV117" s="80">
        <f t="shared" ca="1" si="26"/>
        <v>9.814107498153378</v>
      </c>
      <c r="AW117" s="80">
        <f t="shared" ca="1" si="27"/>
        <v>1.1141074981533787</v>
      </c>
      <c r="AX117" s="81"/>
      <c r="AY117" s="19"/>
      <c r="BD117" s="512">
        <f t="shared" ca="1" si="28"/>
        <v>3.7563238160865098E-2</v>
      </c>
      <c r="BE117" s="499">
        <f t="shared" ca="1" si="29"/>
        <v>9.8516707363142437</v>
      </c>
    </row>
    <row r="118" spans="1:57" s="5" customFormat="1" ht="12" customHeight="1">
      <c r="A118" s="5" t="str">
        <f t="shared" si="21"/>
        <v>PA-JR1YDRENTT</v>
      </c>
      <c r="B118" s="48" t="s">
        <v>261</v>
      </c>
      <c r="C118" s="48" t="s">
        <v>262</v>
      </c>
      <c r="D118" s="73">
        <v>5.6</v>
      </c>
      <c r="E118" s="74">
        <v>35</v>
      </c>
      <c r="F118" s="67"/>
      <c r="G118" s="68">
        <v>5.6</v>
      </c>
      <c r="H118" s="68">
        <v>5.6</v>
      </c>
      <c r="I118" s="68">
        <v>5.6</v>
      </c>
      <c r="J118" s="68">
        <v>5.6</v>
      </c>
      <c r="K118" s="68">
        <v>5.6</v>
      </c>
      <c r="L118" s="68">
        <v>5.6</v>
      </c>
      <c r="M118" s="68">
        <v>5.6</v>
      </c>
      <c r="N118" s="68">
        <v>5.6</v>
      </c>
      <c r="O118" s="68">
        <v>5.6</v>
      </c>
      <c r="P118" s="68">
        <v>5.6</v>
      </c>
      <c r="Q118" s="68">
        <v>5.6</v>
      </c>
      <c r="R118" s="68">
        <v>5.6</v>
      </c>
      <c r="S118" s="68">
        <f t="shared" si="22"/>
        <v>67.2</v>
      </c>
      <c r="T118" s="19">
        <v>33010</v>
      </c>
      <c r="U118" s="19"/>
      <c r="V118" s="127">
        <f t="shared" si="34"/>
        <v>1</v>
      </c>
      <c r="W118" s="127">
        <f t="shared" si="34"/>
        <v>1</v>
      </c>
      <c r="X118" s="127">
        <f t="shared" si="34"/>
        <v>1</v>
      </c>
      <c r="Y118" s="127">
        <f t="shared" si="34"/>
        <v>1</v>
      </c>
      <c r="Z118" s="127">
        <f t="shared" si="34"/>
        <v>1</v>
      </c>
      <c r="AA118" s="127">
        <f t="shared" si="34"/>
        <v>1</v>
      </c>
      <c r="AB118" s="127">
        <f t="shared" si="33"/>
        <v>1</v>
      </c>
      <c r="AC118" s="127">
        <f t="shared" si="33"/>
        <v>1</v>
      </c>
      <c r="AD118" s="127">
        <f t="shared" si="33"/>
        <v>1</v>
      </c>
      <c r="AE118" s="127">
        <f t="shared" si="33"/>
        <v>1</v>
      </c>
      <c r="AF118" s="127">
        <f t="shared" si="33"/>
        <v>1</v>
      </c>
      <c r="AG118" s="127">
        <f t="shared" si="33"/>
        <v>1</v>
      </c>
      <c r="AH118" s="68">
        <f t="shared" si="24"/>
        <v>1</v>
      </c>
      <c r="AI118" s="49"/>
      <c r="AJ118" s="76"/>
      <c r="AK118" s="43"/>
      <c r="AN118" s="1"/>
      <c r="AO118" s="138"/>
      <c r="AR118"/>
      <c r="AS118" s="8"/>
      <c r="AT118" s="78">
        <v>5.6</v>
      </c>
      <c r="AU118" s="79">
        <f t="shared" ca="1" si="25"/>
        <v>6.3171266654780371</v>
      </c>
      <c r="AV118" s="80">
        <f t="shared" ca="1" si="26"/>
        <v>75.805519985736453</v>
      </c>
      <c r="AW118" s="80">
        <f t="shared" ca="1" si="27"/>
        <v>8.6055199857364499</v>
      </c>
      <c r="AX118" s="81"/>
      <c r="AY118" s="19"/>
      <c r="AZ118" s="19"/>
      <c r="BA118" s="19"/>
      <c r="BB118" s="19"/>
      <c r="BD118" s="512">
        <f t="shared" ca="1" si="28"/>
        <v>0.29014363269082011</v>
      </c>
      <c r="BE118" s="499">
        <f t="shared" ca="1" si="29"/>
        <v>76.095663618427267</v>
      </c>
    </row>
    <row r="119" spans="1:57" s="5" customFormat="1" ht="12" customHeight="1">
      <c r="A119" s="5" t="str">
        <f t="shared" si="21"/>
        <v>PA-JADDTLPACK25</v>
      </c>
      <c r="B119" s="48" t="s">
        <v>263</v>
      </c>
      <c r="C119" s="48" t="s">
        <v>264</v>
      </c>
      <c r="D119" s="73">
        <v>0.16</v>
      </c>
      <c r="E119" s="74">
        <v>31</v>
      </c>
      <c r="F119" s="67"/>
      <c r="G119" s="68">
        <v>8</v>
      </c>
      <c r="H119" s="68">
        <v>8</v>
      </c>
      <c r="I119" s="68">
        <v>6.48</v>
      </c>
      <c r="J119" s="68">
        <v>6.48</v>
      </c>
      <c r="K119" s="68">
        <v>5.84</v>
      </c>
      <c r="L119" s="68">
        <v>5.84</v>
      </c>
      <c r="M119" s="68">
        <v>5.84</v>
      </c>
      <c r="N119" s="68">
        <v>5.84</v>
      </c>
      <c r="O119" s="68">
        <v>5.84</v>
      </c>
      <c r="P119" s="68">
        <v>5.84</v>
      </c>
      <c r="Q119" s="68">
        <v>5.84</v>
      </c>
      <c r="R119" s="68">
        <v>5.84</v>
      </c>
      <c r="S119" s="68">
        <f t="shared" si="22"/>
        <v>75.680000000000021</v>
      </c>
      <c r="T119" s="19">
        <v>33011</v>
      </c>
      <c r="U119" s="19"/>
      <c r="V119" s="127">
        <f t="shared" si="34"/>
        <v>50</v>
      </c>
      <c r="W119" s="127">
        <f t="shared" si="34"/>
        <v>50</v>
      </c>
      <c r="X119" s="127">
        <f t="shared" si="34"/>
        <v>40.5</v>
      </c>
      <c r="Y119" s="127">
        <f t="shared" si="34"/>
        <v>40.5</v>
      </c>
      <c r="Z119" s="127">
        <f t="shared" si="34"/>
        <v>36.5</v>
      </c>
      <c r="AA119" s="127">
        <f t="shared" si="34"/>
        <v>36.5</v>
      </c>
      <c r="AB119" s="127">
        <f t="shared" si="33"/>
        <v>36.5</v>
      </c>
      <c r="AC119" s="127">
        <f t="shared" si="33"/>
        <v>36.5</v>
      </c>
      <c r="AD119" s="127">
        <f t="shared" si="33"/>
        <v>36.5</v>
      </c>
      <c r="AE119" s="127">
        <f t="shared" si="33"/>
        <v>36.5</v>
      </c>
      <c r="AF119" s="127">
        <f t="shared" si="33"/>
        <v>36.5</v>
      </c>
      <c r="AG119" s="127">
        <f t="shared" si="33"/>
        <v>36.5</v>
      </c>
      <c r="AH119" s="68">
        <f t="shared" si="24"/>
        <v>39.416666666666664</v>
      </c>
      <c r="AI119" s="49"/>
      <c r="AJ119" s="76"/>
      <c r="AK119" s="43"/>
      <c r="AN119" s="1"/>
      <c r="AO119" s="138"/>
      <c r="AR119"/>
      <c r="AS119" s="8"/>
      <c r="AT119" s="78">
        <v>0.16</v>
      </c>
      <c r="AU119" s="79">
        <f t="shared" ca="1" si="25"/>
        <v>0.1804893332993725</v>
      </c>
      <c r="AV119" s="80">
        <f t="shared" ca="1" si="26"/>
        <v>85.371454650603184</v>
      </c>
      <c r="AW119" s="80">
        <f t="shared" ca="1" si="27"/>
        <v>9.6914546506031627</v>
      </c>
      <c r="AX119" s="81"/>
      <c r="AY119" s="19"/>
      <c r="BD119" s="512">
        <f t="shared" ca="1" si="28"/>
        <v>0.32675699586370927</v>
      </c>
      <c r="BE119" s="499">
        <f t="shared" ca="1" si="29"/>
        <v>85.698211646466888</v>
      </c>
    </row>
    <row r="120" spans="1:57" s="5" customFormat="1" ht="12" customHeight="1">
      <c r="A120" s="5" t="str">
        <f t="shared" si="21"/>
        <v>PA-JCEX</v>
      </c>
      <c r="B120" s="48" t="s">
        <v>265</v>
      </c>
      <c r="C120" s="48" t="s">
        <v>266</v>
      </c>
      <c r="D120" s="73">
        <v>7.65</v>
      </c>
      <c r="E120" s="74">
        <v>36</v>
      </c>
      <c r="F120" s="67"/>
      <c r="G120" s="68">
        <v>61.2</v>
      </c>
      <c r="H120" s="68">
        <v>91.8</v>
      </c>
      <c r="I120" s="68">
        <v>68.849999999999994</v>
      </c>
      <c r="J120" s="68">
        <v>0</v>
      </c>
      <c r="K120" s="68">
        <v>0</v>
      </c>
      <c r="L120" s="68">
        <v>15.3</v>
      </c>
      <c r="M120" s="68">
        <v>0</v>
      </c>
      <c r="N120" s="68">
        <v>0</v>
      </c>
      <c r="O120" s="68">
        <v>0</v>
      </c>
      <c r="P120" s="68">
        <v>0</v>
      </c>
      <c r="Q120" s="68">
        <v>0</v>
      </c>
      <c r="R120" s="68">
        <v>0</v>
      </c>
      <c r="S120" s="68">
        <f t="shared" si="22"/>
        <v>237.15</v>
      </c>
      <c r="T120" s="19">
        <v>33011</v>
      </c>
      <c r="U120" s="19"/>
      <c r="V120" s="127">
        <f t="shared" si="34"/>
        <v>8</v>
      </c>
      <c r="W120" s="127">
        <f t="shared" si="34"/>
        <v>11.999999999999998</v>
      </c>
      <c r="X120" s="127">
        <f t="shared" si="34"/>
        <v>8.9999999999999982</v>
      </c>
      <c r="Y120" s="127">
        <f t="shared" si="34"/>
        <v>0</v>
      </c>
      <c r="Z120" s="127">
        <f t="shared" si="34"/>
        <v>0</v>
      </c>
      <c r="AA120" s="127">
        <f t="shared" si="34"/>
        <v>2</v>
      </c>
      <c r="AB120" s="127">
        <f t="shared" si="33"/>
        <v>0</v>
      </c>
      <c r="AC120" s="127">
        <f t="shared" si="33"/>
        <v>0</v>
      </c>
      <c r="AD120" s="127">
        <f t="shared" si="33"/>
        <v>0</v>
      </c>
      <c r="AE120" s="127">
        <f t="shared" si="33"/>
        <v>0</v>
      </c>
      <c r="AF120" s="127">
        <f t="shared" si="33"/>
        <v>0</v>
      </c>
      <c r="AG120" s="127">
        <f t="shared" si="33"/>
        <v>0</v>
      </c>
      <c r="AH120" s="68">
        <f t="shared" si="24"/>
        <v>7.75</v>
      </c>
      <c r="AI120" s="49"/>
      <c r="AJ120" s="76"/>
      <c r="AK120" s="43"/>
      <c r="AN120" s="1"/>
      <c r="AO120" s="137"/>
      <c r="AR120" s="135"/>
      <c r="AS120" s="8"/>
      <c r="AT120" s="104">
        <v>7.6981587933116611</v>
      </c>
      <c r="AU120" s="79">
        <f t="shared" ca="1" si="25"/>
        <v>8.6839721764845219</v>
      </c>
      <c r="AV120" s="80">
        <f t="shared" ca="1" si="26"/>
        <v>269.20313747102017</v>
      </c>
      <c r="AW120" s="80">
        <f t="shared" ca="1" si="27"/>
        <v>32.053137471020165</v>
      </c>
      <c r="AX120" s="81"/>
      <c r="AY120" s="19"/>
      <c r="BD120" s="512">
        <f t="shared" ca="1" si="28"/>
        <v>1.030367923764717</v>
      </c>
      <c r="BE120" s="499">
        <f t="shared" ca="1" si="29"/>
        <v>270.23350539478491</v>
      </c>
    </row>
    <row r="121" spans="1:57" s="5" customFormat="1" ht="12" customHeight="1">
      <c r="A121" s="5" t="str">
        <f t="shared" si="21"/>
        <v>PA-JRDELOVER8</v>
      </c>
      <c r="B121" s="48" t="s">
        <v>267</v>
      </c>
      <c r="C121" s="48" t="s">
        <v>268</v>
      </c>
      <c r="D121" s="73">
        <v>61.55</v>
      </c>
      <c r="E121" s="74">
        <v>15</v>
      </c>
      <c r="F121" s="67"/>
      <c r="G121" s="68">
        <v>0</v>
      </c>
      <c r="H121" s="68">
        <v>0</v>
      </c>
      <c r="I121" s="68">
        <v>0</v>
      </c>
      <c r="J121" s="68">
        <v>0</v>
      </c>
      <c r="K121" s="68">
        <v>0</v>
      </c>
      <c r="L121" s="68">
        <v>0</v>
      </c>
      <c r="M121" s="68">
        <v>0</v>
      </c>
      <c r="N121" s="68">
        <v>0</v>
      </c>
      <c r="O121" s="68">
        <v>0</v>
      </c>
      <c r="P121" s="68">
        <v>0</v>
      </c>
      <c r="Q121" s="68">
        <v>61.55</v>
      </c>
      <c r="R121" s="68">
        <v>0</v>
      </c>
      <c r="S121" s="68">
        <f t="shared" si="22"/>
        <v>61.55</v>
      </c>
      <c r="T121" s="19">
        <v>33010</v>
      </c>
      <c r="U121" s="19"/>
      <c r="V121" s="127">
        <f t="shared" si="34"/>
        <v>0</v>
      </c>
      <c r="W121" s="127">
        <f t="shared" si="34"/>
        <v>0</v>
      </c>
      <c r="X121" s="127">
        <f t="shared" si="34"/>
        <v>0</v>
      </c>
      <c r="Y121" s="127">
        <f t="shared" si="34"/>
        <v>0</v>
      </c>
      <c r="Z121" s="127">
        <f t="shared" si="34"/>
        <v>0</v>
      </c>
      <c r="AA121" s="127">
        <f t="shared" si="34"/>
        <v>0</v>
      </c>
      <c r="AB121" s="127">
        <f t="shared" si="33"/>
        <v>0</v>
      </c>
      <c r="AC121" s="127">
        <f t="shared" si="33"/>
        <v>0</v>
      </c>
      <c r="AD121" s="127">
        <f t="shared" si="33"/>
        <v>0</v>
      </c>
      <c r="AE121" s="127">
        <f t="shared" si="33"/>
        <v>0</v>
      </c>
      <c r="AF121" s="127">
        <f t="shared" si="33"/>
        <v>1</v>
      </c>
      <c r="AG121" s="127">
        <f t="shared" si="33"/>
        <v>0</v>
      </c>
      <c r="AH121" s="68"/>
      <c r="AI121" s="49"/>
      <c r="AJ121" s="76"/>
      <c r="AK121" s="43"/>
      <c r="AN121" s="1"/>
      <c r="AO121" s="138"/>
      <c r="AR121"/>
      <c r="AS121" s="8"/>
      <c r="AT121" s="104">
        <v>61.55</v>
      </c>
      <c r="AU121" s="79">
        <f t="shared" ca="1" si="25"/>
        <v>69.431990403602356</v>
      </c>
      <c r="AV121" s="80">
        <f t="shared" ca="1" si="26"/>
        <v>69.431990403602356</v>
      </c>
      <c r="AW121" s="80">
        <f t="shared" ca="1" si="27"/>
        <v>7.8819904036023587</v>
      </c>
      <c r="AX121" s="81"/>
      <c r="AY121" s="19"/>
      <c r="BD121" s="512">
        <f t="shared" ca="1" si="28"/>
        <v>0.26574911595416634</v>
      </c>
      <c r="BE121" s="499">
        <f t="shared" ca="1" si="29"/>
        <v>69.697739519556521</v>
      </c>
    </row>
    <row r="122" spans="1:57" s="19" customFormat="1" ht="12" customHeight="1">
      <c r="A122" s="71" t="str">
        <f t="shared" si="21"/>
        <v>PA-JR1YDTPU</v>
      </c>
      <c r="B122" s="72" t="s">
        <v>269</v>
      </c>
      <c r="C122" s="72" t="s">
        <v>270</v>
      </c>
      <c r="D122" s="73">
        <v>26.09</v>
      </c>
      <c r="E122" s="74">
        <v>35</v>
      </c>
      <c r="F122" s="67"/>
      <c r="G122" s="75">
        <v>0</v>
      </c>
      <c r="H122" s="75">
        <v>0</v>
      </c>
      <c r="I122" s="75">
        <v>0</v>
      </c>
      <c r="J122" s="75">
        <v>0</v>
      </c>
      <c r="K122" s="75">
        <v>0</v>
      </c>
      <c r="L122" s="75">
        <v>26.09</v>
      </c>
      <c r="M122" s="75">
        <v>0</v>
      </c>
      <c r="N122" s="75">
        <v>0</v>
      </c>
      <c r="O122" s="75">
        <v>0</v>
      </c>
      <c r="P122" s="75">
        <v>0</v>
      </c>
      <c r="Q122" s="75">
        <v>0</v>
      </c>
      <c r="R122" s="75">
        <v>26.09</v>
      </c>
      <c r="S122" s="75">
        <f t="shared" si="22"/>
        <v>52.18</v>
      </c>
      <c r="T122" s="71">
        <v>33010</v>
      </c>
      <c r="V122" s="75">
        <f t="shared" si="34"/>
        <v>0</v>
      </c>
      <c r="W122" s="75">
        <f t="shared" si="34"/>
        <v>0</v>
      </c>
      <c r="X122" s="75">
        <f t="shared" si="34"/>
        <v>0</v>
      </c>
      <c r="Y122" s="75">
        <f t="shared" si="34"/>
        <v>0</v>
      </c>
      <c r="Z122" s="75">
        <f t="shared" si="34"/>
        <v>0</v>
      </c>
      <c r="AA122" s="75">
        <f t="shared" si="34"/>
        <v>1</v>
      </c>
      <c r="AB122" s="75">
        <f t="shared" si="33"/>
        <v>0</v>
      </c>
      <c r="AC122" s="75">
        <f t="shared" si="33"/>
        <v>0</v>
      </c>
      <c r="AD122" s="75">
        <f t="shared" si="33"/>
        <v>0</v>
      </c>
      <c r="AE122" s="75">
        <f t="shared" si="33"/>
        <v>0</v>
      </c>
      <c r="AF122" s="75">
        <f t="shared" si="33"/>
        <v>0</v>
      </c>
      <c r="AG122" s="75">
        <f t="shared" si="33"/>
        <v>1</v>
      </c>
      <c r="AH122" s="75">
        <f>IFERROR(AVERAGEIF(V122:AG122,"&gt;0"),0)</f>
        <v>1</v>
      </c>
      <c r="AI122" s="49"/>
      <c r="AJ122" s="76"/>
      <c r="AK122" s="43" t="s">
        <v>167</v>
      </c>
      <c r="AL122" s="5"/>
      <c r="AM122" s="5"/>
      <c r="AN122" s="1">
        <v>1</v>
      </c>
      <c r="AO122" s="137">
        <f>+AH122*AN122</f>
        <v>1</v>
      </c>
      <c r="AP122" s="5"/>
      <c r="AQ122" s="5"/>
      <c r="AR122" s="135"/>
      <c r="AS122" s="8"/>
      <c r="AT122" s="78">
        <v>26.380613407915192</v>
      </c>
      <c r="AU122" s="79">
        <f t="shared" ca="1" si="25"/>
        <v>29.758870787644373</v>
      </c>
      <c r="AV122" s="80">
        <f t="shared" ca="1" si="26"/>
        <v>59.517741575288746</v>
      </c>
      <c r="AW122" s="80">
        <f t="shared" ca="1" si="27"/>
        <v>7.3377415752887458</v>
      </c>
      <c r="AX122" s="81"/>
      <c r="AZ122" s="5"/>
      <c r="BA122" s="5"/>
      <c r="BB122" s="5"/>
      <c r="BC122" s="5"/>
      <c r="BD122" s="512">
        <f t="shared" ca="1" si="28"/>
        <v>0.22780258948763896</v>
      </c>
      <c r="BE122" s="499">
        <f t="shared" ca="1" si="29"/>
        <v>59.745544164776383</v>
      </c>
    </row>
    <row r="123" spans="1:57" s="5" customFormat="1" ht="12" customHeight="1" thickBot="1">
      <c r="A123" s="5" t="str">
        <f t="shared" si="21"/>
        <v>PA-JADDTLPACKA25</v>
      </c>
      <c r="B123" s="48" t="s">
        <v>271</v>
      </c>
      <c r="C123" s="48" t="s">
        <v>272</v>
      </c>
      <c r="D123" s="73">
        <v>0.11</v>
      </c>
      <c r="E123" s="74">
        <v>35</v>
      </c>
      <c r="F123" s="67"/>
      <c r="G123" s="68">
        <v>5.72</v>
      </c>
      <c r="H123" s="68">
        <v>5.92</v>
      </c>
      <c r="I123" s="68">
        <v>5.94</v>
      </c>
      <c r="J123" s="68">
        <v>5.94</v>
      </c>
      <c r="K123" s="68">
        <v>3.08</v>
      </c>
      <c r="L123" s="68">
        <v>3.08</v>
      </c>
      <c r="M123" s="68">
        <v>3.08</v>
      </c>
      <c r="N123" s="68">
        <v>3.08</v>
      </c>
      <c r="O123" s="68">
        <v>4.9400000000000004</v>
      </c>
      <c r="P123" s="68">
        <v>4.9400000000000004</v>
      </c>
      <c r="Q123" s="68">
        <v>5.5</v>
      </c>
      <c r="R123" s="68">
        <v>5.5</v>
      </c>
      <c r="S123" s="68">
        <f t="shared" si="22"/>
        <v>56.719999999999992</v>
      </c>
      <c r="T123" s="19">
        <v>33011</v>
      </c>
      <c r="U123" s="19"/>
      <c r="V123" s="127">
        <f t="shared" si="34"/>
        <v>52</v>
      </c>
      <c r="W123" s="127">
        <f t="shared" si="34"/>
        <v>53.81818181818182</v>
      </c>
      <c r="X123" s="127">
        <f t="shared" si="34"/>
        <v>54</v>
      </c>
      <c r="Y123" s="127">
        <f t="shared" si="34"/>
        <v>54</v>
      </c>
      <c r="Z123" s="127">
        <f t="shared" si="34"/>
        <v>28</v>
      </c>
      <c r="AA123" s="127">
        <f t="shared" si="34"/>
        <v>28</v>
      </c>
      <c r="AB123" s="127">
        <f t="shared" si="33"/>
        <v>28</v>
      </c>
      <c r="AC123" s="127">
        <f t="shared" si="33"/>
        <v>28</v>
      </c>
      <c r="AD123" s="127">
        <f t="shared" si="33"/>
        <v>44.909090909090914</v>
      </c>
      <c r="AE123" s="127">
        <f t="shared" si="33"/>
        <v>44.909090909090914</v>
      </c>
      <c r="AF123" s="127">
        <f t="shared" si="33"/>
        <v>50</v>
      </c>
      <c r="AG123" s="127">
        <f t="shared" si="33"/>
        <v>50</v>
      </c>
      <c r="AH123" s="68">
        <f>IFERROR(AVERAGEIF(V123:AG123,"&gt;0"),0)</f>
        <v>42.969696969696976</v>
      </c>
      <c r="AI123" s="49"/>
      <c r="AJ123" s="76"/>
      <c r="AK123" s="43"/>
      <c r="AN123" s="1"/>
      <c r="AO123" s="137"/>
      <c r="AR123"/>
      <c r="AS123" s="8"/>
      <c r="AT123" s="104">
        <v>0.11</v>
      </c>
      <c r="AU123" s="79">
        <f t="shared" ca="1" si="25"/>
        <v>0.12408641664331858</v>
      </c>
      <c r="AV123" s="80">
        <f ca="1">+AU123*AVERAGE(V123:AG123)*12</f>
        <v>63.983468654627551</v>
      </c>
      <c r="AW123" s="80">
        <f t="shared" ca="1" si="27"/>
        <v>7.2634686546275589</v>
      </c>
      <c r="AX123" s="81"/>
      <c r="AY123" s="19"/>
      <c r="BC123" s="19"/>
      <c r="BD123" s="512">
        <f t="shared" ca="1" si="28"/>
        <v>0.24489504235451365</v>
      </c>
      <c r="BE123" s="499">
        <f t="shared" ca="1" si="29"/>
        <v>64.228363696982058</v>
      </c>
    </row>
    <row r="124" spans="1:57" s="5" customFormat="1" ht="12" customHeight="1" thickBot="1">
      <c r="B124" s="48"/>
      <c r="C124" s="48"/>
      <c r="D124" s="108"/>
      <c r="E124" s="109"/>
      <c r="F124" s="67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19"/>
      <c r="U124" s="19"/>
      <c r="V124" s="69"/>
      <c r="W124" s="128"/>
      <c r="X124" s="128"/>
      <c r="Y124" s="128"/>
      <c r="Z124" s="128"/>
      <c r="AA124" s="128"/>
      <c r="AB124" s="128"/>
      <c r="AC124" s="128"/>
      <c r="AD124" s="128"/>
      <c r="AE124" s="128"/>
      <c r="AF124" s="128"/>
      <c r="AG124" s="128"/>
      <c r="AH124" s="69"/>
      <c r="AI124" s="49"/>
      <c r="AJ124" s="143" t="s">
        <v>273</v>
      </c>
      <c r="AK124" s="144">
        <f>AH103+AH105+AH106</f>
        <v>65.499819376395507</v>
      </c>
      <c r="AN124" s="1"/>
      <c r="AO124" s="138"/>
      <c r="AR124"/>
      <c r="AS124" s="8"/>
      <c r="AT124" s="104">
        <v>0.11</v>
      </c>
      <c r="AU124" s="79">
        <f t="shared" ca="1" si="25"/>
        <v>0.12408641664331858</v>
      </c>
      <c r="AV124" s="80">
        <f t="shared" ref="AV124" ca="1" si="35">+AU124*SUM(V124:AG124)</f>
        <v>0</v>
      </c>
      <c r="AW124" s="80">
        <f t="shared" ca="1" si="27"/>
        <v>0</v>
      </c>
      <c r="AX124" s="81"/>
      <c r="AY124" s="19"/>
      <c r="BD124" s="512">
        <f t="shared" ca="1" si="28"/>
        <v>0</v>
      </c>
      <c r="BE124" s="499">
        <f t="shared" ca="1" si="29"/>
        <v>0</v>
      </c>
    </row>
    <row r="125" spans="1:57" s="3" customFormat="1" ht="12" customHeight="1" thickBot="1">
      <c r="B125" s="145"/>
      <c r="C125" s="112" t="s">
        <v>274</v>
      </c>
      <c r="D125" s="112"/>
      <c r="E125" s="113"/>
      <c r="F125" s="114"/>
      <c r="G125" s="115">
        <f t="shared" ref="G125:R125" si="36">SUM(G62:G124)</f>
        <v>100272.82</v>
      </c>
      <c r="H125" s="115">
        <f t="shared" si="36"/>
        <v>99540.24</v>
      </c>
      <c r="I125" s="115">
        <f t="shared" si="36"/>
        <v>94595.74</v>
      </c>
      <c r="J125" s="115">
        <f t="shared" si="36"/>
        <v>87424.609999999986</v>
      </c>
      <c r="K125" s="115">
        <f t="shared" si="36"/>
        <v>88044.819999999978</v>
      </c>
      <c r="L125" s="115">
        <f t="shared" si="36"/>
        <v>88683.210000000036</v>
      </c>
      <c r="M125" s="115">
        <f t="shared" si="36"/>
        <v>88187.169999999984</v>
      </c>
      <c r="N125" s="115">
        <f t="shared" si="36"/>
        <v>88356.17</v>
      </c>
      <c r="O125" s="115">
        <f t="shared" si="36"/>
        <v>90959.8</v>
      </c>
      <c r="P125" s="115">
        <f t="shared" si="36"/>
        <v>96812.770000000019</v>
      </c>
      <c r="Q125" s="115">
        <f t="shared" si="36"/>
        <v>101028.62</v>
      </c>
      <c r="R125" s="115">
        <f t="shared" si="36"/>
        <v>101947.81999999998</v>
      </c>
      <c r="S125" s="115">
        <f>SUM(G125:R125)</f>
        <v>1125853.7900000003</v>
      </c>
      <c r="T125" s="45"/>
      <c r="U125" s="45"/>
      <c r="V125" s="146">
        <f t="shared" ref="V125:AG125" si="37">SUM(V122:V122, V115,V108:V112,V105:V106,V103,V100,V96:V97,V92:V94,V86:V87,V83:V83,V65:V77)</f>
        <v>810.24680600458908</v>
      </c>
      <c r="W125" s="146">
        <f t="shared" si="37"/>
        <v>807.7470917500558</v>
      </c>
      <c r="X125" s="146">
        <f t="shared" si="37"/>
        <v>797.62378714569184</v>
      </c>
      <c r="Y125" s="146">
        <f t="shared" si="37"/>
        <v>782.7493138948355</v>
      </c>
      <c r="Z125" s="146">
        <f t="shared" si="37"/>
        <v>783.99990917043237</v>
      </c>
      <c r="AA125" s="146">
        <f t="shared" si="37"/>
        <v>792.74959627303201</v>
      </c>
      <c r="AB125" s="146">
        <f t="shared" si="37"/>
        <v>788.6244763252663</v>
      </c>
      <c r="AC125" s="146">
        <f t="shared" si="37"/>
        <v>788.37427000960599</v>
      </c>
      <c r="AD125" s="146">
        <f t="shared" si="37"/>
        <v>801.74966051405818</v>
      </c>
      <c r="AE125" s="146">
        <f t="shared" si="37"/>
        <v>830.49751984748525</v>
      </c>
      <c r="AF125" s="146">
        <f t="shared" si="37"/>
        <v>839.74951545424301</v>
      </c>
      <c r="AG125" s="146">
        <f t="shared" si="37"/>
        <v>837.24842405183551</v>
      </c>
      <c r="AH125" s="146">
        <f>SUM(AH122:AH122,AH115,AH108:AH112,AH105:AH106,AH103,AH100,AH96:AH97,AH91:AH94,AH86:AH87,AH83:AH83,AH65:AH77)</f>
        <v>809.02169455889907</v>
      </c>
      <c r="AI125" s="49"/>
      <c r="AJ125" s="147" t="s">
        <v>275</v>
      </c>
      <c r="AK125" s="148">
        <f>+AO125</f>
        <v>740.82188028740961</v>
      </c>
      <c r="AL125" s="59"/>
      <c r="AM125" s="118">
        <f>SUM(AM57:AM124)</f>
        <v>65.499819376395507</v>
      </c>
      <c r="AN125"/>
      <c r="AO125" s="118">
        <f>SUM(AO57:AO124)</f>
        <v>740.82188028740961</v>
      </c>
      <c r="AP125"/>
      <c r="AQ125" s="118">
        <f>SUM(AQ57:AQ124)</f>
        <v>0</v>
      </c>
      <c r="AR125"/>
      <c r="AS125" s="8"/>
      <c r="AT125" s="104"/>
      <c r="AU125" s="149"/>
      <c r="AV125" s="119">
        <f ca="1">SUM(AV62:OFFSET(AV125,-1,0))</f>
        <v>1285295.8048424926</v>
      </c>
      <c r="AW125" s="119">
        <f ca="1">SUM(AW62:OFFSET(AW125,-1,0))</f>
        <v>159442.01484249232</v>
      </c>
      <c r="AX125" s="120">
        <f ca="1">+AW125/S125</f>
        <v>0.14161875747870625</v>
      </c>
      <c r="AY125" s="19"/>
      <c r="AZ125" s="19"/>
      <c r="BA125" s="19"/>
      <c r="BB125" s="19"/>
      <c r="BC125" s="5"/>
      <c r="BD125" s="510">
        <f ca="1">SUM(BD62:OFFSET(BD125,-1,0))</f>
        <v>4919.4358665363789</v>
      </c>
      <c r="BE125" s="510">
        <f ca="1">SUM(BE62:OFFSET(BE125,-1,0))</f>
        <v>1290215.2407090287</v>
      </c>
    </row>
    <row r="126" spans="1:57" s="5" customFormat="1" ht="12" customHeight="1">
      <c r="B126" s="150"/>
      <c r="C126" s="150"/>
      <c r="D126" s="145"/>
      <c r="E126" s="151"/>
      <c r="F126" s="67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19"/>
      <c r="U126" s="19"/>
      <c r="V126" s="69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28"/>
      <c r="AG126" s="128"/>
      <c r="AH126" s="69"/>
      <c r="AI126" s="49"/>
      <c r="AJ126" s="19"/>
      <c r="AK126" s="43"/>
      <c r="AM126" s="1"/>
      <c r="AN126" s="137"/>
      <c r="AO126" s="1"/>
      <c r="AP126" s="1"/>
      <c r="AQ126" s="137"/>
      <c r="AR126"/>
      <c r="AS126" s="8"/>
      <c r="AT126" s="104"/>
      <c r="AU126" s="152"/>
      <c r="AX126" s="45"/>
      <c r="AY126" s="19"/>
      <c r="BC126" s="3"/>
      <c r="BD126" s="504"/>
      <c r="BE126" s="503"/>
    </row>
    <row r="127" spans="1:57" s="5" customFormat="1" ht="12" customHeight="1">
      <c r="B127" s="150"/>
      <c r="C127" s="150"/>
      <c r="D127" s="145"/>
      <c r="E127" s="151"/>
      <c r="F127" s="67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19"/>
      <c r="U127" s="1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49"/>
      <c r="AJ127" s="19"/>
      <c r="AK127" s="43"/>
      <c r="AM127" s="1"/>
      <c r="AN127" s="137"/>
      <c r="AO127" s="1"/>
      <c r="AP127" s="1"/>
      <c r="AQ127" s="137"/>
      <c r="AR127"/>
      <c r="AS127" s="8"/>
      <c r="AT127" s="104"/>
      <c r="AU127" s="152"/>
      <c r="AV127" s="69"/>
      <c r="AW127" s="19"/>
      <c r="AX127" s="19"/>
      <c r="AY127" s="19"/>
      <c r="BD127" s="503"/>
      <c r="BE127" s="503"/>
    </row>
    <row r="128" spans="1:57" ht="12" customHeight="1">
      <c r="B128" s="50" t="s">
        <v>276</v>
      </c>
      <c r="C128" s="50" t="s">
        <v>276</v>
      </c>
      <c r="D128" s="51"/>
      <c r="E128" s="52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19"/>
      <c r="U128" s="48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49"/>
      <c r="AJ128" s="48"/>
      <c r="AK128" s="43"/>
      <c r="AL128" s="5"/>
      <c r="AN128" s="137"/>
      <c r="AQ128" s="137"/>
      <c r="AT128" s="104"/>
      <c r="AU128" s="152"/>
      <c r="AV128" s="19"/>
      <c r="AW128" s="19"/>
      <c r="AX128" s="19"/>
      <c r="AY128" s="45"/>
      <c r="AZ128" s="3"/>
      <c r="BA128" s="3"/>
      <c r="BB128" s="3"/>
      <c r="BC128" s="5"/>
      <c r="BD128" s="503"/>
    </row>
    <row r="129" spans="1:57" ht="12" customHeight="1">
      <c r="B129" s="153"/>
      <c r="C129" s="153"/>
      <c r="D129" s="121"/>
      <c r="E129" s="122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19"/>
      <c r="U129" s="48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49"/>
      <c r="AJ129" s="48"/>
      <c r="AK129" s="43"/>
      <c r="AL129" s="5"/>
      <c r="AN129" s="137"/>
      <c r="AQ129" s="137"/>
      <c r="AT129" s="104"/>
      <c r="AU129" s="152"/>
      <c r="AV129" s="48"/>
      <c r="AW129" s="48"/>
      <c r="AX129" s="48"/>
      <c r="AY129" s="19"/>
      <c r="AZ129" s="5"/>
      <c r="BA129" s="5"/>
      <c r="BB129" s="5"/>
    </row>
    <row r="130" spans="1:57" ht="11.25" customHeight="1">
      <c r="B130" s="154" t="s">
        <v>277</v>
      </c>
      <c r="C130" s="154" t="s">
        <v>277</v>
      </c>
      <c r="D130" s="155"/>
      <c r="E130" s="156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19"/>
      <c r="U130" s="48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49"/>
      <c r="AJ130" s="48"/>
      <c r="AK130" s="43"/>
      <c r="AL130" s="5"/>
      <c r="AN130" s="137"/>
      <c r="AQ130" s="137"/>
      <c r="AT130" s="104"/>
      <c r="AU130" s="152"/>
      <c r="AV130" s="48"/>
      <c r="AW130" s="48"/>
      <c r="AX130" s="48"/>
      <c r="AY130" s="19"/>
      <c r="AZ130" s="5"/>
      <c r="BA130" s="5"/>
      <c r="BB130" s="5"/>
    </row>
    <row r="131" spans="1:57" ht="12" customHeight="1">
      <c r="A131" s="5" t="str">
        <f t="shared" ref="A131:A148" si="38">"PA-J"&amp;B131</f>
        <v>PA-JCONNECTFEE</v>
      </c>
      <c r="B131" s="48" t="s">
        <v>278</v>
      </c>
      <c r="C131" s="48" t="s">
        <v>279</v>
      </c>
      <c r="D131" s="132">
        <v>6.02</v>
      </c>
      <c r="E131" s="74">
        <v>42</v>
      </c>
      <c r="F131" s="48"/>
      <c r="G131" s="68">
        <v>24.08</v>
      </c>
      <c r="H131" s="68">
        <v>12.04</v>
      </c>
      <c r="I131" s="68">
        <v>18.059999999999999</v>
      </c>
      <c r="J131" s="68">
        <v>18.059999999999999</v>
      </c>
      <c r="K131" s="68">
        <v>12.04</v>
      </c>
      <c r="L131" s="68">
        <v>12.04</v>
      </c>
      <c r="M131" s="68">
        <v>18.059999999999999</v>
      </c>
      <c r="N131" s="68">
        <v>18.059999999999999</v>
      </c>
      <c r="O131" s="68">
        <v>12.04</v>
      </c>
      <c r="P131" s="68">
        <v>24.08</v>
      </c>
      <c r="Q131" s="68">
        <v>12.04</v>
      </c>
      <c r="R131" s="68">
        <v>24.08</v>
      </c>
      <c r="S131" s="68">
        <f t="shared" ref="S131:S148" si="39">SUM(G131:R131)</f>
        <v>204.68</v>
      </c>
      <c r="T131" s="19">
        <v>31010</v>
      </c>
      <c r="U131" s="48"/>
      <c r="V131" s="68">
        <f t="shared" ref="V131:AG140" si="40">IFERROR(G131/$D131,0)</f>
        <v>4</v>
      </c>
      <c r="W131" s="68">
        <f t="shared" si="40"/>
        <v>2</v>
      </c>
      <c r="X131" s="68">
        <f t="shared" si="40"/>
        <v>3</v>
      </c>
      <c r="Y131" s="68">
        <f t="shared" si="40"/>
        <v>3</v>
      </c>
      <c r="Z131" s="68">
        <f t="shared" si="40"/>
        <v>2</v>
      </c>
      <c r="AA131" s="68">
        <f t="shared" si="40"/>
        <v>2</v>
      </c>
      <c r="AB131" s="68">
        <f t="shared" si="40"/>
        <v>3</v>
      </c>
      <c r="AC131" s="68">
        <f t="shared" si="40"/>
        <v>3</v>
      </c>
      <c r="AD131" s="68">
        <f t="shared" si="40"/>
        <v>2</v>
      </c>
      <c r="AE131" s="68">
        <f t="shared" si="40"/>
        <v>4</v>
      </c>
      <c r="AF131" s="68">
        <f t="shared" si="40"/>
        <v>2</v>
      </c>
      <c r="AG131" s="68">
        <f t="shared" si="40"/>
        <v>4</v>
      </c>
      <c r="AH131" s="68">
        <f>AVERAGE(V131:AG131)</f>
        <v>2.8333333333333335</v>
      </c>
      <c r="AI131" s="49"/>
      <c r="AJ131" s="48"/>
      <c r="AK131" s="43"/>
      <c r="AN131" s="137"/>
      <c r="AQ131" s="137"/>
      <c r="AS131" s="8">
        <f>+AT131/4.33</f>
        <v>1.3903002309468822</v>
      </c>
      <c r="AT131" s="78">
        <v>6.02</v>
      </c>
      <c r="AU131" s="79">
        <f t="shared" ref="AU131:AU148" ca="1" si="41">+AT131*(1+$BA$2)</f>
        <v>6.7909111653888896</v>
      </c>
      <c r="AV131" s="80">
        <f t="shared" ref="AV131:AV148" ca="1" si="42">+AU131*AVERAGE(V131:AG131)*12</f>
        <v>230.89097962322228</v>
      </c>
      <c r="AW131" s="80">
        <f t="shared" ref="AW131:AW149" ca="1" si="43">+AV131-S131</f>
        <v>26.210979623222272</v>
      </c>
      <c r="AX131" s="48"/>
      <c r="AY131" s="48"/>
      <c r="BD131" s="512">
        <f t="shared" ref="BD131:BD148" ca="1" si="44">+BE$2*AV131</f>
        <v>0.88372914790412294</v>
      </c>
      <c r="BE131" s="499">
        <f t="shared" ref="BE131:BE148" ca="1" si="45">+BD131+AV131</f>
        <v>231.7747087711264</v>
      </c>
    </row>
    <row r="132" spans="1:57" ht="12" customHeight="1">
      <c r="A132" s="5" t="str">
        <f t="shared" si="38"/>
        <v>PA-JCPHAUL15</v>
      </c>
      <c r="B132" s="48" t="s">
        <v>280</v>
      </c>
      <c r="C132" s="48" t="s">
        <v>281</v>
      </c>
      <c r="D132" s="132">
        <v>113.82</v>
      </c>
      <c r="E132" s="74">
        <v>42</v>
      </c>
      <c r="F132" s="48"/>
      <c r="G132" s="68">
        <v>113.82</v>
      </c>
      <c r="H132" s="68">
        <v>0</v>
      </c>
      <c r="I132" s="68">
        <v>0</v>
      </c>
      <c r="J132" s="68">
        <v>0</v>
      </c>
      <c r="K132" s="68">
        <v>0</v>
      </c>
      <c r="L132" s="68">
        <v>0</v>
      </c>
      <c r="M132" s="68">
        <v>0</v>
      </c>
      <c r="N132" s="68">
        <v>0</v>
      </c>
      <c r="O132" s="68">
        <v>0</v>
      </c>
      <c r="P132" s="68">
        <v>0</v>
      </c>
      <c r="Q132" s="68">
        <v>0</v>
      </c>
      <c r="R132" s="68">
        <v>0</v>
      </c>
      <c r="S132" s="68">
        <f t="shared" si="39"/>
        <v>113.82</v>
      </c>
      <c r="T132" s="19">
        <v>31000</v>
      </c>
      <c r="U132" s="48"/>
      <c r="V132" s="68">
        <f t="shared" si="40"/>
        <v>1</v>
      </c>
      <c r="W132" s="68">
        <f t="shared" si="40"/>
        <v>0</v>
      </c>
      <c r="X132" s="68">
        <f t="shared" si="40"/>
        <v>0</v>
      </c>
      <c r="Y132" s="68">
        <f t="shared" si="40"/>
        <v>0</v>
      </c>
      <c r="Z132" s="68">
        <f t="shared" si="40"/>
        <v>0</v>
      </c>
      <c r="AA132" s="68">
        <f t="shared" si="40"/>
        <v>0</v>
      </c>
      <c r="AB132" s="68">
        <f t="shared" si="40"/>
        <v>0</v>
      </c>
      <c r="AC132" s="68">
        <f t="shared" si="40"/>
        <v>0</v>
      </c>
      <c r="AD132" s="68">
        <f t="shared" si="40"/>
        <v>0</v>
      </c>
      <c r="AE132" s="68">
        <f t="shared" si="40"/>
        <v>0</v>
      </c>
      <c r="AF132" s="68">
        <f t="shared" si="40"/>
        <v>0</v>
      </c>
      <c r="AG132" s="68">
        <f t="shared" si="40"/>
        <v>0</v>
      </c>
      <c r="AH132" s="68">
        <f>AVERAGE(V132:AG132)</f>
        <v>8.3333333333333329E-2</v>
      </c>
      <c r="AI132" s="49"/>
      <c r="AJ132" s="48"/>
      <c r="AK132" s="43"/>
      <c r="AN132" s="137"/>
      <c r="AQ132" s="137"/>
      <c r="AT132" s="78">
        <v>113.82</v>
      </c>
      <c r="AU132" s="79">
        <f t="shared" ca="1" si="41"/>
        <v>128.3955994758411</v>
      </c>
      <c r="AV132" s="80">
        <f t="shared" ca="1" si="42"/>
        <v>128.3955994758411</v>
      </c>
      <c r="AW132" s="80">
        <f t="shared" ca="1" si="43"/>
        <v>14.575599475841102</v>
      </c>
      <c r="AX132" s="81"/>
      <c r="AY132" s="48"/>
      <c r="BD132" s="512">
        <f t="shared" ca="1" si="44"/>
        <v>0.4914307778700765</v>
      </c>
      <c r="BE132" s="499">
        <f t="shared" ca="1" si="45"/>
        <v>128.88703025371117</v>
      </c>
    </row>
    <row r="133" spans="1:57" ht="12" customHeight="1">
      <c r="A133" s="5" t="str">
        <f t="shared" si="38"/>
        <v>PA-JCPHAUL30</v>
      </c>
      <c r="B133" s="48" t="s">
        <v>282</v>
      </c>
      <c r="C133" s="48" t="s">
        <v>283</v>
      </c>
      <c r="D133" s="132">
        <v>206.82</v>
      </c>
      <c r="E133" s="74">
        <v>42</v>
      </c>
      <c r="F133" s="48"/>
      <c r="G133" s="68">
        <v>827.28</v>
      </c>
      <c r="H133" s="68">
        <v>413.64</v>
      </c>
      <c r="I133" s="68">
        <v>620.46</v>
      </c>
      <c r="J133" s="68">
        <v>620.46</v>
      </c>
      <c r="K133" s="68">
        <v>413.64</v>
      </c>
      <c r="L133" s="68">
        <v>413.64</v>
      </c>
      <c r="M133" s="68">
        <v>620.46</v>
      </c>
      <c r="N133" s="68">
        <v>620.46</v>
      </c>
      <c r="O133" s="68">
        <v>413.64</v>
      </c>
      <c r="P133" s="68">
        <v>827.28</v>
      </c>
      <c r="Q133" s="68">
        <v>413.64</v>
      </c>
      <c r="R133" s="68">
        <v>827.28</v>
      </c>
      <c r="S133" s="68">
        <f t="shared" si="39"/>
        <v>7031.88</v>
      </c>
      <c r="T133" s="19">
        <v>31000</v>
      </c>
      <c r="U133" s="48"/>
      <c r="V133" s="68">
        <f t="shared" si="40"/>
        <v>4</v>
      </c>
      <c r="W133" s="68">
        <f t="shared" si="40"/>
        <v>2</v>
      </c>
      <c r="X133" s="68">
        <f t="shared" si="40"/>
        <v>3.0000000000000004</v>
      </c>
      <c r="Y133" s="68">
        <f t="shared" si="40"/>
        <v>3.0000000000000004</v>
      </c>
      <c r="Z133" s="68">
        <f t="shared" si="40"/>
        <v>2</v>
      </c>
      <c r="AA133" s="68">
        <f t="shared" si="40"/>
        <v>2</v>
      </c>
      <c r="AB133" s="68">
        <f t="shared" si="40"/>
        <v>3.0000000000000004</v>
      </c>
      <c r="AC133" s="68">
        <f t="shared" si="40"/>
        <v>3.0000000000000004</v>
      </c>
      <c r="AD133" s="68">
        <f t="shared" si="40"/>
        <v>2</v>
      </c>
      <c r="AE133" s="68">
        <f t="shared" si="40"/>
        <v>4</v>
      </c>
      <c r="AF133" s="68">
        <f t="shared" si="40"/>
        <v>2</v>
      </c>
      <c r="AG133" s="68">
        <f t="shared" si="40"/>
        <v>4</v>
      </c>
      <c r="AH133" s="68">
        <v>1</v>
      </c>
      <c r="AI133" s="49"/>
      <c r="AJ133" s="48"/>
      <c r="AN133" s="137"/>
      <c r="AQ133" s="137"/>
      <c r="AT133" s="78">
        <v>206.82</v>
      </c>
      <c r="AU133" s="79">
        <f t="shared" ca="1" si="41"/>
        <v>233.30502445610136</v>
      </c>
      <c r="AV133" s="80">
        <f t="shared" ca="1" si="42"/>
        <v>7932.3708315074473</v>
      </c>
      <c r="AW133" s="80">
        <f t="shared" ca="1" si="43"/>
        <v>900.49083150744718</v>
      </c>
      <c r="AX133" s="81"/>
      <c r="AY133" s="48"/>
      <c r="BD133" s="512">
        <f t="shared" ca="1" si="44"/>
        <v>30.360940592945301</v>
      </c>
      <c r="BE133" s="499">
        <f t="shared" ca="1" si="45"/>
        <v>7962.7317721003928</v>
      </c>
    </row>
    <row r="134" spans="1:57" ht="12" customHeight="1">
      <c r="A134" s="5" t="str">
        <f t="shared" si="38"/>
        <v>PA-JRODEL</v>
      </c>
      <c r="B134" s="48" t="s">
        <v>284</v>
      </c>
      <c r="C134" s="48" t="s">
        <v>285</v>
      </c>
      <c r="D134" s="132">
        <v>166.66</v>
      </c>
      <c r="E134" s="74">
        <v>39</v>
      </c>
      <c r="F134" s="48"/>
      <c r="G134" s="68">
        <v>1833.26</v>
      </c>
      <c r="H134" s="68">
        <v>1999.92</v>
      </c>
      <c r="I134" s="68">
        <v>1666.6</v>
      </c>
      <c r="J134" s="68">
        <v>166.66</v>
      </c>
      <c r="K134" s="68">
        <v>833.3</v>
      </c>
      <c r="L134" s="68">
        <v>833.3</v>
      </c>
      <c r="M134" s="68">
        <v>666.64</v>
      </c>
      <c r="N134" s="68">
        <v>1499.94</v>
      </c>
      <c r="O134" s="68">
        <v>833.3</v>
      </c>
      <c r="P134" s="68">
        <v>1499.94</v>
      </c>
      <c r="Q134" s="68">
        <v>2333.2399999999998</v>
      </c>
      <c r="R134" s="68">
        <v>833.3</v>
      </c>
      <c r="S134" s="68">
        <f t="shared" si="39"/>
        <v>14999.4</v>
      </c>
      <c r="T134" s="19">
        <v>31010</v>
      </c>
      <c r="U134" s="48"/>
      <c r="V134" s="68">
        <f t="shared" si="40"/>
        <v>11</v>
      </c>
      <c r="W134" s="68">
        <f t="shared" si="40"/>
        <v>12</v>
      </c>
      <c r="X134" s="68">
        <f t="shared" si="40"/>
        <v>10</v>
      </c>
      <c r="Y134" s="68">
        <f t="shared" si="40"/>
        <v>1</v>
      </c>
      <c r="Z134" s="68">
        <f t="shared" si="40"/>
        <v>5</v>
      </c>
      <c r="AA134" s="68">
        <f t="shared" si="40"/>
        <v>5</v>
      </c>
      <c r="AB134" s="68">
        <f t="shared" si="40"/>
        <v>4</v>
      </c>
      <c r="AC134" s="68">
        <f t="shared" si="40"/>
        <v>9</v>
      </c>
      <c r="AD134" s="68">
        <f t="shared" si="40"/>
        <v>5</v>
      </c>
      <c r="AE134" s="68">
        <f t="shared" si="40"/>
        <v>9</v>
      </c>
      <c r="AF134" s="68">
        <f t="shared" si="40"/>
        <v>13.999999999999998</v>
      </c>
      <c r="AG134" s="68">
        <f t="shared" si="40"/>
        <v>5</v>
      </c>
      <c r="AH134" s="68">
        <f t="shared" ref="AH134:AH140" si="46">AVERAGE(V134:AG134)</f>
        <v>7.5</v>
      </c>
      <c r="AI134" s="49"/>
      <c r="AJ134" s="48"/>
      <c r="AN134" s="137"/>
      <c r="AQ134" s="137"/>
      <c r="AT134" s="78">
        <v>166.66</v>
      </c>
      <c r="AU134" s="79">
        <f t="shared" ca="1" si="41"/>
        <v>188.00220179795886</v>
      </c>
      <c r="AV134" s="80">
        <f t="shared" ca="1" si="42"/>
        <v>16920.198161816297</v>
      </c>
      <c r="AW134" s="80">
        <f t="shared" ca="1" si="43"/>
        <v>1920.7981618162976</v>
      </c>
      <c r="AX134" s="81"/>
      <c r="AY134" s="48"/>
      <c r="BD134" s="512">
        <f t="shared" ca="1" si="44"/>
        <v>64.761613157480454</v>
      </c>
      <c r="BE134" s="499">
        <f t="shared" ca="1" si="45"/>
        <v>16984.959774973777</v>
      </c>
    </row>
    <row r="135" spans="1:57" ht="12" customHeight="1">
      <c r="A135" s="5" t="str">
        <f t="shared" si="38"/>
        <v>PA-JROHAUL20</v>
      </c>
      <c r="B135" s="48" t="s">
        <v>286</v>
      </c>
      <c r="C135" s="48" t="s">
        <v>287</v>
      </c>
      <c r="D135" s="132">
        <v>106.78</v>
      </c>
      <c r="E135" s="74">
        <v>39</v>
      </c>
      <c r="F135" s="48"/>
      <c r="G135" s="68">
        <v>1815.26</v>
      </c>
      <c r="H135" s="68">
        <v>1067.8</v>
      </c>
      <c r="I135" s="68">
        <v>854.24</v>
      </c>
      <c r="J135" s="68">
        <v>1174.58</v>
      </c>
      <c r="K135" s="68">
        <v>854.24</v>
      </c>
      <c r="L135" s="68">
        <v>1281.3599999999999</v>
      </c>
      <c r="M135" s="68">
        <v>854.24</v>
      </c>
      <c r="N135" s="68">
        <v>1067.8</v>
      </c>
      <c r="O135" s="68">
        <v>961.02</v>
      </c>
      <c r="P135" s="68">
        <v>1174.58</v>
      </c>
      <c r="Q135" s="68">
        <v>1174.58</v>
      </c>
      <c r="R135" s="68">
        <v>1174.58</v>
      </c>
      <c r="S135" s="68">
        <f t="shared" si="39"/>
        <v>13454.279999999999</v>
      </c>
      <c r="T135" s="19">
        <v>31000</v>
      </c>
      <c r="U135" s="48"/>
      <c r="V135" s="68">
        <f t="shared" si="40"/>
        <v>17</v>
      </c>
      <c r="W135" s="68">
        <f t="shared" si="40"/>
        <v>10</v>
      </c>
      <c r="X135" s="68">
        <f t="shared" si="40"/>
        <v>8</v>
      </c>
      <c r="Y135" s="68">
        <f t="shared" si="40"/>
        <v>11</v>
      </c>
      <c r="Z135" s="68">
        <f t="shared" si="40"/>
        <v>8</v>
      </c>
      <c r="AA135" s="68">
        <f t="shared" si="40"/>
        <v>11.999999999999998</v>
      </c>
      <c r="AB135" s="68">
        <f t="shared" si="40"/>
        <v>8</v>
      </c>
      <c r="AC135" s="68">
        <f t="shared" si="40"/>
        <v>10</v>
      </c>
      <c r="AD135" s="68">
        <f t="shared" si="40"/>
        <v>9</v>
      </c>
      <c r="AE135" s="68">
        <f t="shared" si="40"/>
        <v>11</v>
      </c>
      <c r="AF135" s="68">
        <f t="shared" si="40"/>
        <v>11</v>
      </c>
      <c r="AG135" s="68">
        <f t="shared" si="40"/>
        <v>11</v>
      </c>
      <c r="AH135" s="68">
        <f t="shared" si="46"/>
        <v>10.5</v>
      </c>
      <c r="AI135" s="49"/>
      <c r="AJ135" s="48"/>
      <c r="AN135" s="137"/>
      <c r="AQ135" s="137"/>
      <c r="AT135" s="78">
        <v>106.78</v>
      </c>
      <c r="AU135" s="79">
        <f t="shared" ca="1" si="41"/>
        <v>120.45406881066872</v>
      </c>
      <c r="AV135" s="80">
        <f t="shared" ca="1" si="42"/>
        <v>15177.212670144258</v>
      </c>
      <c r="AW135" s="80">
        <f t="shared" ca="1" si="43"/>
        <v>1722.9326701442587</v>
      </c>
      <c r="AX135" s="81"/>
      <c r="AY135" s="48"/>
      <c r="BD135" s="512">
        <f t="shared" ca="1" si="44"/>
        <v>58.090382060110819</v>
      </c>
      <c r="BE135" s="499">
        <f t="shared" ca="1" si="45"/>
        <v>15235.303052204368</v>
      </c>
    </row>
    <row r="136" spans="1:57" ht="12" customHeight="1">
      <c r="A136" s="5" t="str">
        <f t="shared" si="38"/>
        <v>PA-JROHAUL20T</v>
      </c>
      <c r="B136" s="48" t="s">
        <v>288</v>
      </c>
      <c r="C136" s="48" t="s">
        <v>289</v>
      </c>
      <c r="D136" s="132">
        <v>153.33000000000001</v>
      </c>
      <c r="E136" s="74">
        <v>39</v>
      </c>
      <c r="F136" s="48"/>
      <c r="G136" s="68">
        <v>1379.97</v>
      </c>
      <c r="H136" s="68">
        <v>1379.97</v>
      </c>
      <c r="I136" s="68">
        <v>1686.63</v>
      </c>
      <c r="J136" s="68">
        <v>919.98</v>
      </c>
      <c r="K136" s="68">
        <v>766.65</v>
      </c>
      <c r="L136" s="68">
        <v>1226.6400000000001</v>
      </c>
      <c r="M136" s="68">
        <v>766.65</v>
      </c>
      <c r="N136" s="68">
        <v>919.98</v>
      </c>
      <c r="O136" s="68">
        <v>306.66000000000003</v>
      </c>
      <c r="P136" s="68">
        <v>2299.9499999999998</v>
      </c>
      <c r="Q136" s="68">
        <v>1073.31</v>
      </c>
      <c r="R136" s="68">
        <v>1226.6400000000001</v>
      </c>
      <c r="S136" s="68">
        <f t="shared" si="39"/>
        <v>13953.029999999997</v>
      </c>
      <c r="T136" s="19">
        <v>31000</v>
      </c>
      <c r="U136" s="48"/>
      <c r="V136" s="68">
        <f t="shared" si="40"/>
        <v>9</v>
      </c>
      <c r="W136" s="68">
        <f t="shared" si="40"/>
        <v>9</v>
      </c>
      <c r="X136" s="68">
        <f t="shared" si="40"/>
        <v>11</v>
      </c>
      <c r="Y136" s="68">
        <f t="shared" si="40"/>
        <v>6</v>
      </c>
      <c r="Z136" s="68">
        <f t="shared" si="40"/>
        <v>4.9999999999999991</v>
      </c>
      <c r="AA136" s="68">
        <f t="shared" si="40"/>
        <v>8</v>
      </c>
      <c r="AB136" s="68">
        <f t="shared" si="40"/>
        <v>4.9999999999999991</v>
      </c>
      <c r="AC136" s="68">
        <f t="shared" si="40"/>
        <v>6</v>
      </c>
      <c r="AD136" s="68">
        <f t="shared" si="40"/>
        <v>2</v>
      </c>
      <c r="AE136" s="68">
        <f t="shared" si="40"/>
        <v>14.999999999999998</v>
      </c>
      <c r="AF136" s="68">
        <f t="shared" si="40"/>
        <v>6.9999999999999991</v>
      </c>
      <c r="AG136" s="68">
        <f t="shared" si="40"/>
        <v>8</v>
      </c>
      <c r="AH136" s="68">
        <f t="shared" si="46"/>
        <v>7.583333333333333</v>
      </c>
      <c r="AI136" s="49"/>
      <c r="AJ136" s="48"/>
      <c r="AN136" s="137"/>
      <c r="AQ136" s="137"/>
      <c r="AT136" s="78">
        <v>153.33000000000001</v>
      </c>
      <c r="AU136" s="79">
        <f t="shared" ca="1" si="41"/>
        <v>172.96518421745492</v>
      </c>
      <c r="AV136" s="80">
        <f t="shared" ca="1" si="42"/>
        <v>15739.831763788396</v>
      </c>
      <c r="AW136" s="80">
        <f t="shared" ca="1" si="43"/>
        <v>1786.8017637883986</v>
      </c>
      <c r="AX136" s="81"/>
      <c r="AY136" s="48"/>
      <c r="BD136" s="512">
        <f t="shared" ca="1" si="44"/>
        <v>60.243791833987999</v>
      </c>
      <c r="BE136" s="499">
        <f t="shared" ca="1" si="45"/>
        <v>15800.075555622383</v>
      </c>
    </row>
    <row r="137" spans="1:57" ht="12" customHeight="1">
      <c r="A137" s="5" t="str">
        <f t="shared" si="38"/>
        <v>PA-JROHAUL30</v>
      </c>
      <c r="B137" s="48" t="s">
        <v>290</v>
      </c>
      <c r="C137" s="48" t="s">
        <v>291</v>
      </c>
      <c r="D137" s="132">
        <v>113.41</v>
      </c>
      <c r="E137" s="74">
        <v>39</v>
      </c>
      <c r="F137" s="48"/>
      <c r="G137" s="68">
        <v>2948.66</v>
      </c>
      <c r="H137" s="68">
        <v>1927.97</v>
      </c>
      <c r="I137" s="68">
        <v>2721.84</v>
      </c>
      <c r="J137" s="68">
        <v>2154.79</v>
      </c>
      <c r="K137" s="68">
        <v>1701.15</v>
      </c>
      <c r="L137" s="68">
        <v>2041.38</v>
      </c>
      <c r="M137" s="68">
        <v>1927.97</v>
      </c>
      <c r="N137" s="68">
        <v>1927.97</v>
      </c>
      <c r="O137" s="68">
        <v>1927.97</v>
      </c>
      <c r="P137" s="68">
        <v>2495.02</v>
      </c>
      <c r="Q137" s="68">
        <v>2268.1999999999998</v>
      </c>
      <c r="R137" s="68">
        <v>2835.25</v>
      </c>
      <c r="S137" s="68">
        <f t="shared" si="39"/>
        <v>26878.170000000002</v>
      </c>
      <c r="T137" s="19">
        <v>31000</v>
      </c>
      <c r="U137" s="48"/>
      <c r="V137" s="68">
        <f t="shared" si="40"/>
        <v>26</v>
      </c>
      <c r="W137" s="68">
        <f t="shared" si="40"/>
        <v>17</v>
      </c>
      <c r="X137" s="68">
        <f t="shared" si="40"/>
        <v>24.000000000000004</v>
      </c>
      <c r="Y137" s="68">
        <f t="shared" si="40"/>
        <v>19</v>
      </c>
      <c r="Z137" s="68">
        <f t="shared" si="40"/>
        <v>15.000000000000002</v>
      </c>
      <c r="AA137" s="68">
        <f t="shared" si="40"/>
        <v>18</v>
      </c>
      <c r="AB137" s="68">
        <f t="shared" si="40"/>
        <v>17</v>
      </c>
      <c r="AC137" s="68">
        <f t="shared" si="40"/>
        <v>17</v>
      </c>
      <c r="AD137" s="68">
        <f t="shared" si="40"/>
        <v>17</v>
      </c>
      <c r="AE137" s="68">
        <f t="shared" si="40"/>
        <v>22</v>
      </c>
      <c r="AF137" s="68">
        <f t="shared" si="40"/>
        <v>20</v>
      </c>
      <c r="AG137" s="68">
        <f t="shared" si="40"/>
        <v>25</v>
      </c>
      <c r="AH137" s="68">
        <f t="shared" si="46"/>
        <v>19.75</v>
      </c>
      <c r="AI137" s="49"/>
      <c r="AJ137" s="48"/>
      <c r="AN137" s="137"/>
      <c r="AQ137" s="137"/>
      <c r="AT137" s="78">
        <v>113.41</v>
      </c>
      <c r="AU137" s="79">
        <f t="shared" ca="1" si="41"/>
        <v>127.93309555926146</v>
      </c>
      <c r="AV137" s="80">
        <f t="shared" ca="1" si="42"/>
        <v>30320.143647544966</v>
      </c>
      <c r="AW137" s="80">
        <f t="shared" ca="1" si="43"/>
        <v>3441.9736475449645</v>
      </c>
      <c r="AX137" s="81"/>
      <c r="AY137" s="48"/>
      <c r="BD137" s="512">
        <f t="shared" ca="1" si="44"/>
        <v>116.04955184347351</v>
      </c>
      <c r="BE137" s="499">
        <f t="shared" ca="1" si="45"/>
        <v>30436.193199388439</v>
      </c>
    </row>
    <row r="138" spans="1:57" ht="12" customHeight="1">
      <c r="A138" s="5" t="str">
        <f t="shared" si="38"/>
        <v>PA-JROHAUL30T</v>
      </c>
      <c r="B138" s="48" t="s">
        <v>292</v>
      </c>
      <c r="C138" s="48" t="s">
        <v>293</v>
      </c>
      <c r="D138" s="132">
        <v>242.07</v>
      </c>
      <c r="E138" s="74">
        <v>39</v>
      </c>
      <c r="F138" s="48"/>
      <c r="G138" s="68">
        <v>1936.56</v>
      </c>
      <c r="H138" s="68">
        <v>1452.42</v>
      </c>
      <c r="I138" s="68">
        <v>1210.3499999999999</v>
      </c>
      <c r="J138" s="68">
        <v>1210.3499999999999</v>
      </c>
      <c r="K138" s="68">
        <v>2662.77</v>
      </c>
      <c r="L138" s="68">
        <v>2420.6999999999998</v>
      </c>
      <c r="M138" s="68">
        <v>484.14</v>
      </c>
      <c r="N138" s="68">
        <v>1210.3499999999999</v>
      </c>
      <c r="O138" s="68">
        <v>484.14</v>
      </c>
      <c r="P138" s="68">
        <v>726.21</v>
      </c>
      <c r="Q138" s="68">
        <v>2662.77</v>
      </c>
      <c r="R138" s="68">
        <v>1210.3499999999999</v>
      </c>
      <c r="S138" s="68">
        <f t="shared" si="39"/>
        <v>17671.11</v>
      </c>
      <c r="T138" s="19">
        <v>31000</v>
      </c>
      <c r="U138" s="48"/>
      <c r="V138" s="68">
        <f t="shared" si="40"/>
        <v>8</v>
      </c>
      <c r="W138" s="68">
        <f t="shared" si="40"/>
        <v>6.0000000000000009</v>
      </c>
      <c r="X138" s="68">
        <f t="shared" si="40"/>
        <v>5</v>
      </c>
      <c r="Y138" s="68">
        <f t="shared" si="40"/>
        <v>5</v>
      </c>
      <c r="Z138" s="68">
        <f t="shared" si="40"/>
        <v>11</v>
      </c>
      <c r="AA138" s="68">
        <f t="shared" si="40"/>
        <v>10</v>
      </c>
      <c r="AB138" s="68">
        <f t="shared" si="40"/>
        <v>2</v>
      </c>
      <c r="AC138" s="68">
        <f t="shared" si="40"/>
        <v>5</v>
      </c>
      <c r="AD138" s="68">
        <f t="shared" si="40"/>
        <v>2</v>
      </c>
      <c r="AE138" s="68">
        <f t="shared" si="40"/>
        <v>3.0000000000000004</v>
      </c>
      <c r="AF138" s="68">
        <f t="shared" si="40"/>
        <v>11</v>
      </c>
      <c r="AG138" s="68">
        <f t="shared" si="40"/>
        <v>5</v>
      </c>
      <c r="AH138" s="68">
        <f t="shared" si="46"/>
        <v>6.083333333333333</v>
      </c>
      <c r="AI138" s="49"/>
      <c r="AJ138" s="48"/>
      <c r="AN138" s="137"/>
      <c r="AQ138" s="137"/>
      <c r="AT138" s="78">
        <v>242.07</v>
      </c>
      <c r="AU138" s="79">
        <f t="shared" ca="1" si="41"/>
        <v>273.06908069861936</v>
      </c>
      <c r="AV138" s="80">
        <f t="shared" ca="1" si="42"/>
        <v>19934.042890999212</v>
      </c>
      <c r="AW138" s="80">
        <f t="shared" ca="1" si="43"/>
        <v>2262.9328909992109</v>
      </c>
      <c r="AX138" s="81"/>
      <c r="AY138" s="48"/>
      <c r="BD138" s="512">
        <f t="shared" ca="1" si="44"/>
        <v>76.297024539867223</v>
      </c>
      <c r="BE138" s="499">
        <f t="shared" ca="1" si="45"/>
        <v>20010.33991553908</v>
      </c>
    </row>
    <row r="139" spans="1:57" ht="12" customHeight="1">
      <c r="A139" s="5" t="str">
        <f t="shared" si="38"/>
        <v>PA-JROMILE</v>
      </c>
      <c r="B139" s="48" t="s">
        <v>294</v>
      </c>
      <c r="C139" s="48" t="s">
        <v>295</v>
      </c>
      <c r="D139" s="132">
        <v>3.84</v>
      </c>
      <c r="E139" s="74">
        <v>39</v>
      </c>
      <c r="F139" s="48"/>
      <c r="G139" s="68">
        <v>1474.56</v>
      </c>
      <c r="H139" s="68">
        <v>879.36</v>
      </c>
      <c r="I139" s="68">
        <v>1286.4000000000001</v>
      </c>
      <c r="J139" s="68">
        <v>710.4</v>
      </c>
      <c r="K139" s="68">
        <v>514.55999999999995</v>
      </c>
      <c r="L139" s="68">
        <v>779.52</v>
      </c>
      <c r="M139" s="68">
        <v>518.4</v>
      </c>
      <c r="N139" s="68">
        <v>706.56</v>
      </c>
      <c r="O139" s="68">
        <v>779.52</v>
      </c>
      <c r="P139" s="68">
        <v>1006.08</v>
      </c>
      <c r="Q139" s="68">
        <v>794.88</v>
      </c>
      <c r="R139" s="68">
        <v>1505.28</v>
      </c>
      <c r="S139" s="68">
        <f t="shared" si="39"/>
        <v>10955.52</v>
      </c>
      <c r="T139" s="19">
        <v>31010</v>
      </c>
      <c r="U139" s="48"/>
      <c r="V139" s="68">
        <f t="shared" si="40"/>
        <v>384</v>
      </c>
      <c r="W139" s="68">
        <f t="shared" si="40"/>
        <v>229</v>
      </c>
      <c r="X139" s="68">
        <f t="shared" si="40"/>
        <v>335.00000000000006</v>
      </c>
      <c r="Y139" s="68">
        <f t="shared" si="40"/>
        <v>185</v>
      </c>
      <c r="Z139" s="68">
        <f t="shared" si="40"/>
        <v>134</v>
      </c>
      <c r="AA139" s="68">
        <f t="shared" si="40"/>
        <v>203</v>
      </c>
      <c r="AB139" s="68">
        <f t="shared" si="40"/>
        <v>135</v>
      </c>
      <c r="AC139" s="68">
        <f t="shared" si="40"/>
        <v>184</v>
      </c>
      <c r="AD139" s="68">
        <f t="shared" si="40"/>
        <v>203</v>
      </c>
      <c r="AE139" s="68">
        <f t="shared" si="40"/>
        <v>262</v>
      </c>
      <c r="AF139" s="68">
        <f t="shared" si="40"/>
        <v>207</v>
      </c>
      <c r="AG139" s="68">
        <f t="shared" si="40"/>
        <v>392</v>
      </c>
      <c r="AH139" s="68">
        <f t="shared" si="46"/>
        <v>237.75</v>
      </c>
      <c r="AI139" s="49"/>
      <c r="AJ139" s="48"/>
      <c r="AN139" s="137"/>
      <c r="AQ139" s="137"/>
      <c r="AT139" s="78">
        <v>3.84</v>
      </c>
      <c r="AU139" s="79">
        <f t="shared" ca="1" si="41"/>
        <v>4.3317439991849396</v>
      </c>
      <c r="AV139" s="80">
        <f t="shared" ca="1" si="42"/>
        <v>12358.465629674633</v>
      </c>
      <c r="AW139" s="80">
        <f t="shared" ca="1" si="43"/>
        <v>1402.9456296746321</v>
      </c>
      <c r="AX139" s="81"/>
      <c r="AY139" s="48"/>
      <c r="BD139" s="512">
        <f t="shared" ca="1" si="44"/>
        <v>47.301701946680552</v>
      </c>
      <c r="BE139" s="499">
        <f t="shared" ca="1" si="45"/>
        <v>12405.767331621313</v>
      </c>
    </row>
    <row r="140" spans="1:57" ht="12" customHeight="1">
      <c r="A140" s="5" t="str">
        <f t="shared" si="38"/>
        <v>PA-JRORELOCATE</v>
      </c>
      <c r="B140" s="48" t="s">
        <v>296</v>
      </c>
      <c r="C140" s="48" t="s">
        <v>297</v>
      </c>
      <c r="D140" s="132">
        <v>122.34</v>
      </c>
      <c r="E140" s="74">
        <v>17</v>
      </c>
      <c r="F140" s="48"/>
      <c r="G140" s="68">
        <v>0</v>
      </c>
      <c r="H140" s="68">
        <v>0</v>
      </c>
      <c r="I140" s="68">
        <v>0</v>
      </c>
      <c r="J140" s="68">
        <v>0</v>
      </c>
      <c r="K140" s="68">
        <v>122.34</v>
      </c>
      <c r="L140" s="68">
        <v>0</v>
      </c>
      <c r="M140" s="68">
        <v>0</v>
      </c>
      <c r="N140" s="68">
        <v>122.34</v>
      </c>
      <c r="O140" s="68">
        <v>0</v>
      </c>
      <c r="P140" s="68">
        <v>0</v>
      </c>
      <c r="Q140" s="68">
        <v>0</v>
      </c>
      <c r="R140" s="68">
        <v>0</v>
      </c>
      <c r="S140" s="68">
        <f t="shared" si="39"/>
        <v>244.68</v>
      </c>
      <c r="T140" s="19">
        <v>31010</v>
      </c>
      <c r="U140" s="48"/>
      <c r="V140" s="68">
        <f t="shared" si="40"/>
        <v>0</v>
      </c>
      <c r="W140" s="68">
        <f t="shared" si="40"/>
        <v>0</v>
      </c>
      <c r="X140" s="68">
        <f t="shared" si="40"/>
        <v>0</v>
      </c>
      <c r="Y140" s="68">
        <f t="shared" si="40"/>
        <v>0</v>
      </c>
      <c r="Z140" s="68">
        <f t="shared" si="40"/>
        <v>1</v>
      </c>
      <c r="AA140" s="68">
        <f t="shared" si="40"/>
        <v>0</v>
      </c>
      <c r="AB140" s="68">
        <f t="shared" si="40"/>
        <v>0</v>
      </c>
      <c r="AC140" s="68">
        <f t="shared" si="40"/>
        <v>1</v>
      </c>
      <c r="AD140" s="68">
        <f t="shared" si="40"/>
        <v>0</v>
      </c>
      <c r="AE140" s="68">
        <f t="shared" si="40"/>
        <v>0</v>
      </c>
      <c r="AF140" s="68">
        <f t="shared" si="40"/>
        <v>0</v>
      </c>
      <c r="AG140" s="68">
        <f t="shared" si="40"/>
        <v>0</v>
      </c>
      <c r="AH140" s="68">
        <f t="shared" si="46"/>
        <v>0.16666666666666666</v>
      </c>
      <c r="AI140" s="49"/>
      <c r="AJ140" s="48"/>
      <c r="AN140" s="137"/>
      <c r="AQ140" s="137"/>
      <c r="AT140" s="78">
        <v>122.34</v>
      </c>
      <c r="AU140" s="79">
        <f t="shared" ca="1" si="41"/>
        <v>138.0066564740327</v>
      </c>
      <c r="AV140" s="80">
        <f t="shared" ca="1" si="42"/>
        <v>276.01331294806539</v>
      </c>
      <c r="AW140" s="80">
        <f t="shared" ca="1" si="43"/>
        <v>31.333312948065384</v>
      </c>
      <c r="AX140" s="81"/>
      <c r="AY140" s="48"/>
      <c r="BD140" s="512">
        <f t="shared" ca="1" si="44"/>
        <v>1.0564336911724683</v>
      </c>
      <c r="BE140" s="499">
        <f t="shared" ca="1" si="45"/>
        <v>277.06974663923785</v>
      </c>
    </row>
    <row r="141" spans="1:57" s="19" customFormat="1" ht="12" customHeight="1">
      <c r="A141" s="71" t="str">
        <f t="shared" si="38"/>
        <v>PA-JRORENT20D</v>
      </c>
      <c r="B141" s="72" t="s">
        <v>298</v>
      </c>
      <c r="C141" s="72" t="s">
        <v>299</v>
      </c>
      <c r="D141" s="73">
        <v>9.6</v>
      </c>
      <c r="E141" s="74">
        <v>39</v>
      </c>
      <c r="F141" s="67"/>
      <c r="G141" s="75">
        <v>1910.4</v>
      </c>
      <c r="H141" s="75">
        <v>2313.6</v>
      </c>
      <c r="I141" s="75">
        <v>2169.6</v>
      </c>
      <c r="J141" s="75">
        <v>1670.4</v>
      </c>
      <c r="K141" s="75">
        <v>1872</v>
      </c>
      <c r="L141" s="75">
        <v>1824</v>
      </c>
      <c r="M141" s="75">
        <v>1084.8</v>
      </c>
      <c r="N141" s="75">
        <v>547.20000000000005</v>
      </c>
      <c r="O141" s="75">
        <v>969.6</v>
      </c>
      <c r="P141" s="75">
        <v>1248</v>
      </c>
      <c r="Q141" s="75">
        <v>1449.6</v>
      </c>
      <c r="R141" s="75">
        <v>2035.2</v>
      </c>
      <c r="S141" s="75">
        <f t="shared" si="39"/>
        <v>19094.400000000001</v>
      </c>
      <c r="T141" s="71">
        <v>31002</v>
      </c>
      <c r="V141" s="75">
        <f t="shared" ref="V141:AG141" si="47">IFERROR(G141/$D141,0)/30</f>
        <v>6.6333333333333346</v>
      </c>
      <c r="W141" s="75">
        <f t="shared" si="47"/>
        <v>8.0333333333333332</v>
      </c>
      <c r="X141" s="75">
        <f t="shared" si="47"/>
        <v>7.5333333333333332</v>
      </c>
      <c r="Y141" s="75">
        <f t="shared" si="47"/>
        <v>5.8000000000000007</v>
      </c>
      <c r="Z141" s="75">
        <f t="shared" si="47"/>
        <v>6.5</v>
      </c>
      <c r="AA141" s="75">
        <f t="shared" si="47"/>
        <v>6.333333333333333</v>
      </c>
      <c r="AB141" s="75">
        <f t="shared" si="47"/>
        <v>3.7666666666666666</v>
      </c>
      <c r="AC141" s="75">
        <f t="shared" si="47"/>
        <v>1.9000000000000001</v>
      </c>
      <c r="AD141" s="75">
        <f t="shared" si="47"/>
        <v>3.3666666666666667</v>
      </c>
      <c r="AE141" s="75">
        <f t="shared" si="47"/>
        <v>4.333333333333333</v>
      </c>
      <c r="AF141" s="75">
        <f t="shared" si="47"/>
        <v>5.0333333333333332</v>
      </c>
      <c r="AG141" s="75">
        <f t="shared" si="47"/>
        <v>7.0666666666666664</v>
      </c>
      <c r="AH141" s="75">
        <f>IFERROR(AVERAGEIF(V141:AG141,"&gt;0"),0)</f>
        <v>5.5249999999999995</v>
      </c>
      <c r="AI141" s="49"/>
      <c r="AK141" s="7" t="s">
        <v>300</v>
      </c>
      <c r="AL141" s="1"/>
      <c r="AM141" s="1"/>
      <c r="AN141" s="137"/>
      <c r="AO141" s="1"/>
      <c r="AP141" s="1">
        <v>1</v>
      </c>
      <c r="AQ141" s="137">
        <f>+AH141*AP141</f>
        <v>5.5249999999999995</v>
      </c>
      <c r="AR141"/>
      <c r="AS141" s="8"/>
      <c r="AT141" s="78">
        <v>9.6</v>
      </c>
      <c r="AU141" s="79">
        <f t="shared" ca="1" si="41"/>
        <v>10.829359997962349</v>
      </c>
      <c r="AV141" s="80">
        <f ca="1">+AU141*AVERAGE(V141:AG141)*12*30</f>
        <v>21539.59703594711</v>
      </c>
      <c r="AW141" s="80">
        <f t="shared" ca="1" si="43"/>
        <v>2445.1970359471088</v>
      </c>
      <c r="AX141" s="81"/>
      <c r="AY141" s="48"/>
      <c r="AZ141" s="1"/>
      <c r="BA141" s="1"/>
      <c r="BB141" s="1"/>
      <c r="BC141" s="1"/>
      <c r="BD141" s="512">
        <f t="shared" ca="1" si="44"/>
        <v>82.4422407745773</v>
      </c>
      <c r="BE141" s="499">
        <f t="shared" ca="1" si="45"/>
        <v>21622.039276721687</v>
      </c>
    </row>
    <row r="142" spans="1:57" s="19" customFormat="1" ht="12" customHeight="1">
      <c r="A142" s="71" t="str">
        <f t="shared" si="38"/>
        <v>PA-JRORENT20M</v>
      </c>
      <c r="B142" s="72" t="s">
        <v>301</v>
      </c>
      <c r="C142" s="72" t="s">
        <v>302</v>
      </c>
      <c r="D142" s="73">
        <v>78.650000000000006</v>
      </c>
      <c r="E142" s="74">
        <v>39</v>
      </c>
      <c r="F142" s="67"/>
      <c r="G142" s="75">
        <v>542.91999999999996</v>
      </c>
      <c r="H142" s="75">
        <v>469.27</v>
      </c>
      <c r="I142" s="75">
        <v>471.9</v>
      </c>
      <c r="J142" s="75">
        <v>471.9</v>
      </c>
      <c r="K142" s="75">
        <v>471.9</v>
      </c>
      <c r="L142" s="75">
        <v>494.73</v>
      </c>
      <c r="M142" s="75">
        <v>550.54999999999995</v>
      </c>
      <c r="N142" s="75">
        <v>550.54999999999995</v>
      </c>
      <c r="O142" s="75">
        <v>550.54999999999995</v>
      </c>
      <c r="P142" s="75">
        <v>474.43</v>
      </c>
      <c r="Q142" s="75">
        <v>458.79</v>
      </c>
      <c r="R142" s="75">
        <v>471.9</v>
      </c>
      <c r="S142" s="75">
        <f t="shared" si="39"/>
        <v>5979.39</v>
      </c>
      <c r="T142" s="71">
        <v>31002</v>
      </c>
      <c r="V142" s="75">
        <f t="shared" ref="V142:AG142" si="48">IFERROR(G142/$D142,0)</f>
        <v>6.9029879211697383</v>
      </c>
      <c r="W142" s="75">
        <f t="shared" si="48"/>
        <v>5.9665607120152568</v>
      </c>
      <c r="X142" s="75">
        <f t="shared" si="48"/>
        <v>5.9999999999999991</v>
      </c>
      <c r="Y142" s="75">
        <f t="shared" si="48"/>
        <v>5.9999999999999991</v>
      </c>
      <c r="Z142" s="75">
        <f t="shared" si="48"/>
        <v>5.9999999999999991</v>
      </c>
      <c r="AA142" s="75">
        <f t="shared" si="48"/>
        <v>6.2902733630006358</v>
      </c>
      <c r="AB142" s="75">
        <f t="shared" si="48"/>
        <v>6.9999999999999991</v>
      </c>
      <c r="AC142" s="75">
        <f t="shared" si="48"/>
        <v>6.9999999999999991</v>
      </c>
      <c r="AD142" s="75">
        <f t="shared" si="48"/>
        <v>6.9999999999999991</v>
      </c>
      <c r="AE142" s="75">
        <f t="shared" si="48"/>
        <v>6.0321678321678318</v>
      </c>
      <c r="AF142" s="75">
        <f t="shared" si="48"/>
        <v>5.8333121424030514</v>
      </c>
      <c r="AG142" s="75">
        <f t="shared" si="48"/>
        <v>5.9999999999999991</v>
      </c>
      <c r="AH142" s="75">
        <f>IFERROR(AVERAGEIF(V142:AG142,"&gt;0"),0)</f>
        <v>6.3354418308963751</v>
      </c>
      <c r="AI142" s="49"/>
      <c r="AK142" s="7" t="s">
        <v>300</v>
      </c>
      <c r="AL142" s="1"/>
      <c r="AM142" s="1"/>
      <c r="AN142" s="137"/>
      <c r="AO142" s="1"/>
      <c r="AP142" s="1">
        <v>1</v>
      </c>
      <c r="AQ142" s="137">
        <f>+AH142*AP142</f>
        <v>6.3354418308963751</v>
      </c>
      <c r="AR142"/>
      <c r="AS142" s="8"/>
      <c r="AT142" s="78">
        <v>78.650000000000006</v>
      </c>
      <c r="AU142" s="79">
        <f t="shared" ca="1" si="41"/>
        <v>88.721787899972796</v>
      </c>
      <c r="AV142" s="80">
        <f t="shared" ca="1" si="42"/>
        <v>6745.1007164808416</v>
      </c>
      <c r="AW142" s="80">
        <f t="shared" ca="1" si="43"/>
        <v>765.71071648084126</v>
      </c>
      <c r="AX142" s="81"/>
      <c r="AY142" s="48"/>
      <c r="AZ142" s="1"/>
      <c r="BA142" s="1"/>
      <c r="BB142" s="1"/>
      <c r="BD142" s="512">
        <f t="shared" ca="1" si="44"/>
        <v>25.816695474332775</v>
      </c>
      <c r="BE142" s="499">
        <f t="shared" ca="1" si="45"/>
        <v>6770.9174119551744</v>
      </c>
    </row>
    <row r="143" spans="1:57" s="19" customFormat="1" ht="12" customHeight="1">
      <c r="A143" s="71" t="str">
        <f t="shared" si="38"/>
        <v>PA-JRORENT30D</v>
      </c>
      <c r="B143" s="72" t="s">
        <v>303</v>
      </c>
      <c r="C143" s="72" t="s">
        <v>304</v>
      </c>
      <c r="D143" s="73">
        <v>16</v>
      </c>
      <c r="E143" s="74">
        <v>39</v>
      </c>
      <c r="F143" s="67"/>
      <c r="G143" s="75">
        <v>1952</v>
      </c>
      <c r="H143" s="75">
        <v>2672</v>
      </c>
      <c r="I143" s="75">
        <v>3024</v>
      </c>
      <c r="J143" s="75">
        <v>2672</v>
      </c>
      <c r="K143" s="75">
        <v>2096</v>
      </c>
      <c r="L143" s="75">
        <v>1632</v>
      </c>
      <c r="M143" s="75">
        <v>768</v>
      </c>
      <c r="N143" s="75">
        <v>1936</v>
      </c>
      <c r="O143" s="75">
        <v>2928</v>
      </c>
      <c r="P143" s="75">
        <v>2464</v>
      </c>
      <c r="Q143" s="75">
        <v>2704</v>
      </c>
      <c r="R143" s="75">
        <v>1888</v>
      </c>
      <c r="S143" s="75">
        <f t="shared" si="39"/>
        <v>26736</v>
      </c>
      <c r="T143" s="71">
        <v>31002</v>
      </c>
      <c r="V143" s="75">
        <f t="shared" ref="V143:AG143" si="49">IFERROR(G143/$D143,0)/30</f>
        <v>4.0666666666666664</v>
      </c>
      <c r="W143" s="75">
        <f t="shared" si="49"/>
        <v>5.5666666666666664</v>
      </c>
      <c r="X143" s="75">
        <f t="shared" si="49"/>
        <v>6.3</v>
      </c>
      <c r="Y143" s="75">
        <f t="shared" si="49"/>
        <v>5.5666666666666664</v>
      </c>
      <c r="Z143" s="75">
        <f t="shared" si="49"/>
        <v>4.3666666666666663</v>
      </c>
      <c r="AA143" s="75">
        <f t="shared" si="49"/>
        <v>3.4</v>
      </c>
      <c r="AB143" s="75">
        <f t="shared" si="49"/>
        <v>1.6</v>
      </c>
      <c r="AC143" s="75">
        <f t="shared" si="49"/>
        <v>4.0333333333333332</v>
      </c>
      <c r="AD143" s="75">
        <f t="shared" si="49"/>
        <v>6.1</v>
      </c>
      <c r="AE143" s="75">
        <f t="shared" si="49"/>
        <v>5.1333333333333337</v>
      </c>
      <c r="AF143" s="75">
        <f t="shared" si="49"/>
        <v>5.6333333333333337</v>
      </c>
      <c r="AG143" s="75">
        <f t="shared" si="49"/>
        <v>3.9333333333333331</v>
      </c>
      <c r="AH143" s="75">
        <f>IFERROR(AVERAGEIF(V143:AG143,"&gt;0"),0)</f>
        <v>4.6416666666666666</v>
      </c>
      <c r="AI143" s="49"/>
      <c r="AK143" s="7" t="s">
        <v>305</v>
      </c>
      <c r="AL143" s="1"/>
      <c r="AM143" s="1"/>
      <c r="AN143" s="137"/>
      <c r="AO143" s="1"/>
      <c r="AP143" s="1">
        <v>1</v>
      </c>
      <c r="AQ143" s="137">
        <f>+AH143*AP143</f>
        <v>4.6416666666666666</v>
      </c>
      <c r="AR143"/>
      <c r="AS143" s="8"/>
      <c r="AT143" s="78">
        <v>16</v>
      </c>
      <c r="AU143" s="79">
        <f t="shared" ca="1" si="41"/>
        <v>18.048933329937249</v>
      </c>
      <c r="AV143" s="80">
        <f ca="1">+AU143*AVERAGE(V143:AG143)*12*30</f>
        <v>30159.767594325142</v>
      </c>
      <c r="AW143" s="80">
        <f t="shared" ca="1" si="43"/>
        <v>3423.7675943251415</v>
      </c>
      <c r="AX143" s="81"/>
      <c r="AY143" s="48"/>
      <c r="AZ143" s="1"/>
      <c r="BA143" s="1"/>
      <c r="BB143" s="1"/>
      <c r="BD143" s="512">
        <f t="shared" ca="1" si="44"/>
        <v>115.43571672056198</v>
      </c>
      <c r="BE143" s="499">
        <f t="shared" ca="1" si="45"/>
        <v>30275.203311045705</v>
      </c>
    </row>
    <row r="144" spans="1:57" s="19" customFormat="1" ht="12" customHeight="1">
      <c r="A144" s="71" t="str">
        <f t="shared" si="38"/>
        <v>PA-JRORENT30M</v>
      </c>
      <c r="B144" s="72" t="s">
        <v>306</v>
      </c>
      <c r="C144" s="72" t="s">
        <v>307</v>
      </c>
      <c r="D144" s="73">
        <v>81.900000000000006</v>
      </c>
      <c r="E144" s="74">
        <v>39</v>
      </c>
      <c r="F144" s="67"/>
      <c r="G144" s="75">
        <v>760.87</v>
      </c>
      <c r="H144" s="75">
        <v>819</v>
      </c>
      <c r="I144" s="75">
        <v>819</v>
      </c>
      <c r="J144" s="75">
        <v>655.20000000000005</v>
      </c>
      <c r="K144" s="75">
        <v>655.20000000000005</v>
      </c>
      <c r="L144" s="75">
        <v>655.20000000000005</v>
      </c>
      <c r="M144" s="75">
        <v>655.20000000000005</v>
      </c>
      <c r="N144" s="75">
        <v>803.14</v>
      </c>
      <c r="O144" s="75">
        <v>788.96</v>
      </c>
      <c r="P144" s="75">
        <v>774.08</v>
      </c>
      <c r="Q144" s="75">
        <v>966.38</v>
      </c>
      <c r="R144" s="75">
        <v>1228.5</v>
      </c>
      <c r="S144" s="75">
        <f t="shared" si="39"/>
        <v>9580.73</v>
      </c>
      <c r="T144" s="71">
        <v>31002</v>
      </c>
      <c r="V144" s="75">
        <f t="shared" ref="V144:AG148" si="50">IFERROR(G144/$D144,0)</f>
        <v>9.2902319902319892</v>
      </c>
      <c r="W144" s="75">
        <f t="shared" si="50"/>
        <v>10</v>
      </c>
      <c r="X144" s="75">
        <f t="shared" si="50"/>
        <v>10</v>
      </c>
      <c r="Y144" s="75">
        <f t="shared" si="50"/>
        <v>8</v>
      </c>
      <c r="Z144" s="75">
        <f t="shared" si="50"/>
        <v>8</v>
      </c>
      <c r="AA144" s="75">
        <f t="shared" si="50"/>
        <v>8</v>
      </c>
      <c r="AB144" s="75">
        <f t="shared" si="50"/>
        <v>8</v>
      </c>
      <c r="AC144" s="75">
        <f t="shared" si="50"/>
        <v>9.8063492063492053</v>
      </c>
      <c r="AD144" s="75">
        <f t="shared" si="50"/>
        <v>9.6332112332112327</v>
      </c>
      <c r="AE144" s="75">
        <f t="shared" si="50"/>
        <v>9.4515262515262517</v>
      </c>
      <c r="AF144" s="75">
        <f t="shared" si="50"/>
        <v>11.799511599511598</v>
      </c>
      <c r="AG144" s="75">
        <f t="shared" si="50"/>
        <v>14.999999999999998</v>
      </c>
      <c r="AH144" s="75">
        <f>IFERROR(AVERAGEIF(V144:AG144,"&gt;0"),0)</f>
        <v>9.7484025234025236</v>
      </c>
      <c r="AI144" s="49"/>
      <c r="AK144" s="7" t="s">
        <v>305</v>
      </c>
      <c r="AL144" s="1"/>
      <c r="AM144" s="1"/>
      <c r="AN144" s="137"/>
      <c r="AO144" s="1"/>
      <c r="AP144" s="1">
        <v>1</v>
      </c>
      <c r="AQ144" s="137">
        <f>+AH144*AP144</f>
        <v>9.7484025234025236</v>
      </c>
      <c r="AR144"/>
      <c r="AS144" s="8"/>
      <c r="AT144" s="78">
        <v>81.900000000000006</v>
      </c>
      <c r="AU144" s="79">
        <f t="shared" ca="1" si="41"/>
        <v>92.387977482616293</v>
      </c>
      <c r="AV144" s="80">
        <f t="shared" ca="1" si="42"/>
        <v>10807.622313883106</v>
      </c>
      <c r="AW144" s="80">
        <f t="shared" ca="1" si="43"/>
        <v>1226.8923138831069</v>
      </c>
      <c r="AX144" s="81"/>
      <c r="BD144" s="512">
        <f t="shared" ca="1" si="44"/>
        <v>41.365889970683348</v>
      </c>
      <c r="BE144" s="499">
        <f t="shared" ca="1" si="45"/>
        <v>10848.988203853789</v>
      </c>
    </row>
    <row r="145" spans="1:57" s="157" customFormat="1" ht="12" customHeight="1">
      <c r="A145" s="5" t="str">
        <f t="shared" si="38"/>
        <v>PA-JROWAIT</v>
      </c>
      <c r="B145" s="48" t="s">
        <v>308</v>
      </c>
      <c r="C145" s="48" t="s">
        <v>309</v>
      </c>
      <c r="D145" s="132">
        <v>80.72</v>
      </c>
      <c r="E145" s="74">
        <v>29</v>
      </c>
      <c r="F145" s="48"/>
      <c r="G145" s="68">
        <v>0</v>
      </c>
      <c r="H145" s="68">
        <v>0</v>
      </c>
      <c r="I145" s="68">
        <v>20.18</v>
      </c>
      <c r="J145" s="68">
        <v>0</v>
      </c>
      <c r="K145" s="68">
        <v>0</v>
      </c>
      <c r="L145" s="68">
        <v>0</v>
      </c>
      <c r="M145" s="68">
        <v>0</v>
      </c>
      <c r="N145" s="68">
        <v>100.9</v>
      </c>
      <c r="O145" s="68">
        <v>0</v>
      </c>
      <c r="P145" s="68">
        <v>40.36</v>
      </c>
      <c r="Q145" s="68">
        <v>0</v>
      </c>
      <c r="R145" s="68">
        <v>0</v>
      </c>
      <c r="S145" s="68">
        <f t="shared" si="39"/>
        <v>161.44</v>
      </c>
      <c r="T145" s="19">
        <v>31010</v>
      </c>
      <c r="U145" s="48"/>
      <c r="V145" s="68">
        <f t="shared" si="50"/>
        <v>0</v>
      </c>
      <c r="W145" s="68">
        <f t="shared" si="50"/>
        <v>0</v>
      </c>
      <c r="X145" s="68">
        <f t="shared" si="50"/>
        <v>0.25</v>
      </c>
      <c r="Y145" s="68">
        <f t="shared" si="50"/>
        <v>0</v>
      </c>
      <c r="Z145" s="68">
        <f t="shared" si="50"/>
        <v>0</v>
      </c>
      <c r="AA145" s="68">
        <f t="shared" si="50"/>
        <v>0</v>
      </c>
      <c r="AB145" s="68">
        <f t="shared" si="50"/>
        <v>0</v>
      </c>
      <c r="AC145" s="68">
        <f t="shared" si="50"/>
        <v>1.25</v>
      </c>
      <c r="AD145" s="68">
        <f t="shared" si="50"/>
        <v>0</v>
      </c>
      <c r="AE145" s="68">
        <f t="shared" si="50"/>
        <v>0.5</v>
      </c>
      <c r="AF145" s="68">
        <f t="shared" si="50"/>
        <v>0</v>
      </c>
      <c r="AG145" s="68">
        <f t="shared" si="50"/>
        <v>0</v>
      </c>
      <c r="AH145" s="68">
        <f>AVERAGE(V145:AG145)</f>
        <v>0.16666666666666666</v>
      </c>
      <c r="AI145" s="49"/>
      <c r="AJ145" s="48"/>
      <c r="AK145" s="7"/>
      <c r="AL145" s="1"/>
      <c r="AM145" s="1"/>
      <c r="AN145" s="137"/>
      <c r="AO145" s="1"/>
      <c r="AP145" s="1"/>
      <c r="AQ145" s="137"/>
      <c r="AR145"/>
      <c r="AS145" s="8"/>
      <c r="AT145" s="78">
        <v>80.72</v>
      </c>
      <c r="AU145" s="79">
        <f t="shared" ca="1" si="41"/>
        <v>91.056868649533413</v>
      </c>
      <c r="AV145" s="80">
        <f t="shared" ca="1" si="42"/>
        <v>182.11373729906683</v>
      </c>
      <c r="AW145" s="80">
        <f t="shared" ca="1" si="43"/>
        <v>20.673737299066829</v>
      </c>
      <c r="AX145" s="81"/>
      <c r="AY145" s="19"/>
      <c r="AZ145" s="19"/>
      <c r="BA145" s="19"/>
      <c r="BB145" s="19"/>
      <c r="BC145" s="19"/>
      <c r="BD145" s="512">
        <f t="shared" ca="1" si="44"/>
        <v>0.69703553663104156</v>
      </c>
      <c r="BE145" s="499">
        <f t="shared" ca="1" si="45"/>
        <v>182.81077283569786</v>
      </c>
    </row>
    <row r="146" spans="1:57" s="134" customFormat="1" ht="12" customHeight="1">
      <c r="A146" s="5" t="str">
        <f t="shared" si="38"/>
        <v>PA-JROHAUL30CO</v>
      </c>
      <c r="B146" s="48" t="s">
        <v>310</v>
      </c>
      <c r="C146" s="48" t="s">
        <v>311</v>
      </c>
      <c r="D146" s="132">
        <v>114.97</v>
      </c>
      <c r="E146" s="74">
        <v>40</v>
      </c>
      <c r="F146" s="48"/>
      <c r="G146" s="68">
        <v>114.97</v>
      </c>
      <c r="H146" s="68">
        <v>0</v>
      </c>
      <c r="I146" s="68">
        <v>229.94</v>
      </c>
      <c r="J146" s="68">
        <v>0</v>
      </c>
      <c r="K146" s="68">
        <v>0</v>
      </c>
      <c r="L146" s="68">
        <v>0</v>
      </c>
      <c r="M146" s="68">
        <v>0</v>
      </c>
      <c r="N146" s="68">
        <v>114.97</v>
      </c>
      <c r="O146" s="68">
        <v>0</v>
      </c>
      <c r="P146" s="68">
        <v>114.97</v>
      </c>
      <c r="Q146" s="68">
        <v>0</v>
      </c>
      <c r="R146" s="68">
        <v>229.94</v>
      </c>
      <c r="S146" s="68">
        <f t="shared" si="39"/>
        <v>804.79</v>
      </c>
      <c r="T146" s="19">
        <v>31000</v>
      </c>
      <c r="U146" s="19"/>
      <c r="V146" s="68">
        <f t="shared" si="50"/>
        <v>1</v>
      </c>
      <c r="W146" s="68">
        <f t="shared" si="50"/>
        <v>0</v>
      </c>
      <c r="X146" s="68">
        <f t="shared" si="50"/>
        <v>2</v>
      </c>
      <c r="Y146" s="68">
        <f t="shared" si="50"/>
        <v>0</v>
      </c>
      <c r="Z146" s="68">
        <f t="shared" si="50"/>
        <v>0</v>
      </c>
      <c r="AA146" s="68">
        <f t="shared" si="50"/>
        <v>0</v>
      </c>
      <c r="AB146" s="68">
        <f t="shared" si="50"/>
        <v>0</v>
      </c>
      <c r="AC146" s="68">
        <f t="shared" si="50"/>
        <v>1</v>
      </c>
      <c r="AD146" s="68">
        <f t="shared" si="50"/>
        <v>0</v>
      </c>
      <c r="AE146" s="68">
        <f t="shared" si="50"/>
        <v>1</v>
      </c>
      <c r="AF146" s="68">
        <f t="shared" si="50"/>
        <v>0</v>
      </c>
      <c r="AG146" s="68">
        <f t="shared" si="50"/>
        <v>2</v>
      </c>
      <c r="AH146" s="68">
        <f>AVERAGE(V146:AG146)</f>
        <v>0.58333333333333337</v>
      </c>
      <c r="AI146" s="49"/>
      <c r="AJ146" s="19"/>
      <c r="AK146" s="7"/>
      <c r="AL146" s="1"/>
      <c r="AM146" s="1"/>
      <c r="AN146" s="137"/>
      <c r="AO146" s="1"/>
      <c r="AP146" s="1"/>
      <c r="AQ146" s="137"/>
      <c r="AR146"/>
      <c r="AS146" s="8"/>
      <c r="AT146" s="78">
        <v>114.97</v>
      </c>
      <c r="AU146" s="79">
        <f t="shared" ca="1" si="41"/>
        <v>129.69286655893035</v>
      </c>
      <c r="AV146" s="80">
        <f t="shared" ca="1" si="42"/>
        <v>907.85006591251249</v>
      </c>
      <c r="AW146" s="80">
        <f t="shared" ca="1" si="43"/>
        <v>103.06006591251253</v>
      </c>
      <c r="AX146" s="81"/>
      <c r="AY146" s="19"/>
      <c r="AZ146" s="19"/>
      <c r="BA146" s="19"/>
      <c r="BB146" s="19"/>
      <c r="BC146" s="157"/>
      <c r="BD146" s="512">
        <f t="shared" ca="1" si="44"/>
        <v>3.4747722344232908</v>
      </c>
      <c r="BE146" s="499">
        <f t="shared" ca="1" si="45"/>
        <v>911.3248381469358</v>
      </c>
    </row>
    <row r="147" spans="1:57" s="134" customFormat="1" ht="12" customHeight="1">
      <c r="A147" s="5" t="str">
        <f t="shared" si="38"/>
        <v>PA-JROHAUL40</v>
      </c>
      <c r="B147" s="48" t="s">
        <v>312</v>
      </c>
      <c r="C147" s="48" t="s">
        <v>313</v>
      </c>
      <c r="D147" s="132">
        <v>131.41999999999999</v>
      </c>
      <c r="E147" s="74">
        <v>39</v>
      </c>
      <c r="F147" s="48"/>
      <c r="G147" s="68">
        <v>1182.78</v>
      </c>
      <c r="H147" s="68">
        <v>1182.78</v>
      </c>
      <c r="I147" s="68">
        <v>1182.78</v>
      </c>
      <c r="J147" s="68">
        <v>1051.3599999999999</v>
      </c>
      <c r="K147" s="68">
        <v>1182.78</v>
      </c>
      <c r="L147" s="68">
        <v>1182.78</v>
      </c>
      <c r="M147" s="68">
        <v>1051.3599999999999</v>
      </c>
      <c r="N147" s="68">
        <v>1182.78</v>
      </c>
      <c r="O147" s="68">
        <v>1051.3599999999999</v>
      </c>
      <c r="P147" s="68">
        <v>1051.3599999999999</v>
      </c>
      <c r="Q147" s="68">
        <v>1182.78</v>
      </c>
      <c r="R147" s="68">
        <v>1182.78</v>
      </c>
      <c r="S147" s="68">
        <f t="shared" si="39"/>
        <v>13667.680000000002</v>
      </c>
      <c r="T147" s="19">
        <v>31000</v>
      </c>
      <c r="U147" s="19"/>
      <c r="V147" s="68">
        <f t="shared" si="50"/>
        <v>9</v>
      </c>
      <c r="W147" s="68">
        <f t="shared" si="50"/>
        <v>9</v>
      </c>
      <c r="X147" s="68">
        <f t="shared" si="50"/>
        <v>9</v>
      </c>
      <c r="Y147" s="68">
        <f t="shared" si="50"/>
        <v>8</v>
      </c>
      <c r="Z147" s="68">
        <f t="shared" si="50"/>
        <v>9</v>
      </c>
      <c r="AA147" s="68">
        <f t="shared" si="50"/>
        <v>9</v>
      </c>
      <c r="AB147" s="68">
        <f t="shared" si="50"/>
        <v>8</v>
      </c>
      <c r="AC147" s="68">
        <f t="shared" si="50"/>
        <v>9</v>
      </c>
      <c r="AD147" s="68">
        <f t="shared" si="50"/>
        <v>8</v>
      </c>
      <c r="AE147" s="68">
        <f t="shared" si="50"/>
        <v>8</v>
      </c>
      <c r="AF147" s="68">
        <f t="shared" si="50"/>
        <v>9</v>
      </c>
      <c r="AG147" s="68">
        <f t="shared" si="50"/>
        <v>9</v>
      </c>
      <c r="AH147" s="68">
        <f>AVERAGE(V147:AG147)</f>
        <v>8.6666666666666661</v>
      </c>
      <c r="AI147" s="49"/>
      <c r="AJ147" s="19"/>
      <c r="AK147" s="7"/>
      <c r="AL147" s="1"/>
      <c r="AM147" s="1"/>
      <c r="AN147" s="137"/>
      <c r="AO147" s="1"/>
      <c r="AP147" s="1"/>
      <c r="AQ147" s="137"/>
      <c r="AR147"/>
      <c r="AS147" s="8"/>
      <c r="AT147" s="78">
        <v>131.41999999999999</v>
      </c>
      <c r="AU147" s="79">
        <f t="shared" ca="1" si="41"/>
        <v>148.24942613877207</v>
      </c>
      <c r="AV147" s="80">
        <f t="shared" ca="1" si="42"/>
        <v>15417.940318432295</v>
      </c>
      <c r="AW147" s="80">
        <f t="shared" ca="1" si="43"/>
        <v>1750.2603184322925</v>
      </c>
      <c r="AX147" s="81"/>
      <c r="AY147" s="19"/>
      <c r="AZ147" s="19"/>
      <c r="BA147" s="19"/>
      <c r="BB147" s="19"/>
      <c r="BD147" s="512">
        <f t="shared" ca="1" si="44"/>
        <v>59.011760798447433</v>
      </c>
      <c r="BE147" s="499">
        <f t="shared" ca="1" si="45"/>
        <v>15476.952079230741</v>
      </c>
    </row>
    <row r="148" spans="1:57" s="19" customFormat="1" ht="12" customHeight="1">
      <c r="A148" s="71" t="str">
        <f t="shared" si="38"/>
        <v>PA-JRORENT40M</v>
      </c>
      <c r="B148" s="72" t="s">
        <v>314</v>
      </c>
      <c r="C148" s="72" t="s">
        <v>315</v>
      </c>
      <c r="D148" s="73">
        <v>81.900000000000006</v>
      </c>
      <c r="E148" s="74">
        <v>39</v>
      </c>
      <c r="F148" s="67"/>
      <c r="G148" s="75">
        <v>81.900000000000006</v>
      </c>
      <c r="H148" s="75">
        <v>81.900000000000006</v>
      </c>
      <c r="I148" s="75">
        <v>81.900000000000006</v>
      </c>
      <c r="J148" s="75">
        <v>81.900000000000006</v>
      </c>
      <c r="K148" s="75">
        <v>81.900000000000006</v>
      </c>
      <c r="L148" s="75">
        <v>81.900000000000006</v>
      </c>
      <c r="M148" s="75">
        <v>81.900000000000006</v>
      </c>
      <c r="N148" s="75">
        <v>81.900000000000006</v>
      </c>
      <c r="O148" s="75">
        <v>81.900000000000006</v>
      </c>
      <c r="P148" s="75">
        <v>81.900000000000006</v>
      </c>
      <c r="Q148" s="75">
        <v>81.900000000000006</v>
      </c>
      <c r="R148" s="75">
        <v>81.900000000000006</v>
      </c>
      <c r="S148" s="75">
        <f t="shared" si="39"/>
        <v>982.79999999999984</v>
      </c>
      <c r="T148" s="71">
        <v>31002</v>
      </c>
      <c r="V148" s="75">
        <f t="shared" si="50"/>
        <v>1</v>
      </c>
      <c r="W148" s="75">
        <f t="shared" si="50"/>
        <v>1</v>
      </c>
      <c r="X148" s="75">
        <f t="shared" si="50"/>
        <v>1</v>
      </c>
      <c r="Y148" s="75">
        <f t="shared" si="50"/>
        <v>1</v>
      </c>
      <c r="Z148" s="75">
        <f t="shared" si="50"/>
        <v>1</v>
      </c>
      <c r="AA148" s="75">
        <f t="shared" si="50"/>
        <v>1</v>
      </c>
      <c r="AB148" s="75">
        <f t="shared" si="50"/>
        <v>1</v>
      </c>
      <c r="AC148" s="75">
        <f t="shared" si="50"/>
        <v>1</v>
      </c>
      <c r="AD148" s="75">
        <f t="shared" si="50"/>
        <v>1</v>
      </c>
      <c r="AE148" s="75">
        <f t="shared" si="50"/>
        <v>1</v>
      </c>
      <c r="AF148" s="75">
        <f t="shared" si="50"/>
        <v>1</v>
      </c>
      <c r="AG148" s="75">
        <f t="shared" si="50"/>
        <v>1</v>
      </c>
      <c r="AH148" s="75">
        <f>IFERROR(AVERAGEIF(V148:AG148,"&gt;0"),0)</f>
        <v>1</v>
      </c>
      <c r="AI148" s="49"/>
      <c r="AK148" s="7" t="s">
        <v>316</v>
      </c>
      <c r="AL148" s="1"/>
      <c r="AM148" s="1"/>
      <c r="AN148" s="137"/>
      <c r="AO148" s="1"/>
      <c r="AP148" s="1">
        <v>1</v>
      </c>
      <c r="AQ148" s="137">
        <f>+AH148*AP148</f>
        <v>1</v>
      </c>
      <c r="AR148"/>
      <c r="AS148" s="8"/>
      <c r="AT148" s="78">
        <v>81.900000000000006</v>
      </c>
      <c r="AU148" s="79">
        <f t="shared" ca="1" si="41"/>
        <v>92.387977482616293</v>
      </c>
      <c r="AV148" s="80">
        <f t="shared" ca="1" si="42"/>
        <v>1108.6557297913955</v>
      </c>
      <c r="AW148" s="80">
        <f ca="1">+AV148-S148</f>
        <v>125.85572979139567</v>
      </c>
      <c r="AX148" s="81"/>
      <c r="AY148" s="48"/>
      <c r="AZ148" s="157"/>
      <c r="BA148" s="157"/>
      <c r="BB148" s="157"/>
      <c r="BC148" s="134"/>
      <c r="BD148" s="512">
        <f t="shared" ca="1" si="44"/>
        <v>4.2433506281032436</v>
      </c>
      <c r="BE148" s="499">
        <f t="shared" ca="1" si="45"/>
        <v>1112.8990804194987</v>
      </c>
    </row>
    <row r="149" spans="1:57" ht="12" customHeight="1" thickBot="1">
      <c r="A149" s="5"/>
      <c r="B149" s="48"/>
      <c r="C149" s="48"/>
      <c r="D149" s="158"/>
      <c r="E149" s="159"/>
      <c r="F149" s="4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19"/>
      <c r="U149" s="4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9"/>
      <c r="AI149" s="49"/>
      <c r="AJ149" s="48"/>
      <c r="AN149" s="137"/>
      <c r="AP149" s="137"/>
      <c r="AT149" s="104"/>
      <c r="AU149" s="160"/>
      <c r="AV149" s="80">
        <f t="shared" ref="AV149" si="51">+AU149*SUM(V149:AG149)</f>
        <v>0</v>
      </c>
      <c r="AW149" s="80">
        <f t="shared" si="43"/>
        <v>0</v>
      </c>
      <c r="AX149" s="81"/>
      <c r="AY149" s="19"/>
      <c r="AZ149" s="134"/>
      <c r="BA149" s="134"/>
      <c r="BB149" s="134"/>
      <c r="BC149" s="19"/>
      <c r="BD149" s="505"/>
    </row>
    <row r="150" spans="1:57" s="41" customFormat="1" ht="12" customHeight="1" thickBot="1">
      <c r="B150" s="108"/>
      <c r="C150" s="108"/>
      <c r="D150" s="108"/>
      <c r="E150" s="109"/>
      <c r="F150" s="108"/>
      <c r="G150" s="115">
        <f t="shared" ref="G150:R150" si="52">SUM(G131:G148)</f>
        <v>18899.289999999997</v>
      </c>
      <c r="H150" s="115">
        <f t="shared" si="52"/>
        <v>16671.670000000002</v>
      </c>
      <c r="I150" s="115">
        <f t="shared" si="52"/>
        <v>18063.88</v>
      </c>
      <c r="J150" s="115">
        <f t="shared" si="52"/>
        <v>13578.039999999999</v>
      </c>
      <c r="K150" s="115">
        <f t="shared" si="52"/>
        <v>14240.470000000001</v>
      </c>
      <c r="L150" s="115">
        <f t="shared" si="52"/>
        <v>14879.190000000002</v>
      </c>
      <c r="M150" s="115">
        <f t="shared" si="52"/>
        <v>10048.370000000001</v>
      </c>
      <c r="N150" s="115">
        <f t="shared" si="52"/>
        <v>13410.899999999998</v>
      </c>
      <c r="O150" s="115">
        <f t="shared" si="52"/>
        <v>12088.660000000002</v>
      </c>
      <c r="P150" s="115">
        <f t="shared" si="52"/>
        <v>16302.240000000002</v>
      </c>
      <c r="Q150" s="115">
        <f t="shared" si="52"/>
        <v>17576.11</v>
      </c>
      <c r="R150" s="115">
        <f t="shared" si="52"/>
        <v>16754.980000000003</v>
      </c>
      <c r="S150" s="115">
        <f>SUM(G150:R150)</f>
        <v>182513.79999999996</v>
      </c>
      <c r="T150" s="45"/>
      <c r="U150" s="108"/>
      <c r="V150" s="116">
        <f t="shared" ref="V150:AH150" si="53">+SUM(V132:V133,V141:V144,V148)</f>
        <v>32.893219911401729</v>
      </c>
      <c r="W150" s="116">
        <f t="shared" si="53"/>
        <v>32.56656071201526</v>
      </c>
      <c r="X150" s="116">
        <f t="shared" si="53"/>
        <v>33.833333333333329</v>
      </c>
      <c r="Y150" s="116">
        <f t="shared" si="53"/>
        <v>29.366666666666667</v>
      </c>
      <c r="Z150" s="116">
        <f t="shared" si="53"/>
        <v>27.866666666666667</v>
      </c>
      <c r="AA150" s="116">
        <f t="shared" si="53"/>
        <v>27.023606696333967</v>
      </c>
      <c r="AB150" s="116">
        <f t="shared" si="53"/>
        <v>24.366666666666667</v>
      </c>
      <c r="AC150" s="116">
        <f t="shared" si="53"/>
        <v>26.739682539682537</v>
      </c>
      <c r="AD150" s="116">
        <f t="shared" si="53"/>
        <v>29.099877899877903</v>
      </c>
      <c r="AE150" s="116">
        <f t="shared" si="53"/>
        <v>29.950360750360751</v>
      </c>
      <c r="AF150" s="116">
        <f t="shared" si="53"/>
        <v>31.299490408581313</v>
      </c>
      <c r="AG150" s="116">
        <f t="shared" si="53"/>
        <v>37</v>
      </c>
      <c r="AH150" s="116">
        <f t="shared" si="53"/>
        <v>28.333844354298897</v>
      </c>
      <c r="AI150" s="49"/>
      <c r="AJ150" s="108"/>
      <c r="AK150" s="7"/>
      <c r="AL150" s="1"/>
      <c r="AM150" s="118">
        <f>SUM(AM126:AM149)</f>
        <v>0</v>
      </c>
      <c r="AN150"/>
      <c r="AO150" s="118">
        <f>SUM(AO126:AO149)</f>
        <v>0</v>
      </c>
      <c r="AP150"/>
      <c r="AQ150" s="118">
        <f>SUM(AQ126:AQ149)</f>
        <v>27.250511020965561</v>
      </c>
      <c r="AR150"/>
      <c r="AS150" s="8"/>
      <c r="AT150" s="104"/>
      <c r="AU150" s="152"/>
      <c r="AV150" s="119">
        <f ca="1">SUM(AV131:OFFSET(AV150,-1,0))</f>
        <v>205886.21299959382</v>
      </c>
      <c r="AW150" s="119">
        <f ca="1">SUM(AW131:AW149)</f>
        <v>23372.412999593806</v>
      </c>
      <c r="AX150" s="120">
        <f ca="1">+AW150/S150</f>
        <v>0.12805833312107803</v>
      </c>
      <c r="AY150" s="19"/>
      <c r="AZ150" s="134"/>
      <c r="BA150" s="134"/>
      <c r="BB150" s="134"/>
      <c r="BC150" s="1"/>
      <c r="BD150" s="510">
        <f t="shared" ref="BD150:BE150" ca="1" si="54">SUM(BD131:BD149)</f>
        <v>788.02406172925294</v>
      </c>
      <c r="BE150" s="510">
        <f t="shared" ca="1" si="54"/>
        <v>206674.23706132307</v>
      </c>
    </row>
    <row r="151" spans="1:57" ht="12" customHeight="1">
      <c r="B151" s="19"/>
      <c r="C151" s="19"/>
      <c r="D151" s="45"/>
      <c r="E151" s="46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19"/>
      <c r="U151" s="48"/>
      <c r="V151" s="161"/>
      <c r="W151" s="161"/>
      <c r="X151" s="161"/>
      <c r="Y151" s="161"/>
      <c r="Z151" s="161"/>
      <c r="AA151" s="161"/>
      <c r="AB151" s="161"/>
      <c r="AC151" s="161"/>
      <c r="AD151" s="161"/>
      <c r="AE151" s="161"/>
      <c r="AF151" s="161"/>
      <c r="AG151" s="161"/>
      <c r="AH151" s="161"/>
      <c r="AI151" s="49"/>
      <c r="AJ151" s="48"/>
      <c r="AT151" s="104"/>
      <c r="AU151" s="152"/>
      <c r="AX151" s="108"/>
      <c r="AY151" s="19"/>
      <c r="AZ151" s="19"/>
      <c r="BA151" s="19"/>
      <c r="BB151" s="19"/>
      <c r="BC151" s="41"/>
      <c r="BD151" s="506"/>
    </row>
    <row r="152" spans="1:57" ht="12" customHeight="1">
      <c r="B152" s="154" t="s">
        <v>317</v>
      </c>
      <c r="C152" s="154" t="s">
        <v>317</v>
      </c>
      <c r="D152" s="155"/>
      <c r="E152" s="156"/>
      <c r="F152" s="4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19"/>
      <c r="U152" s="48"/>
      <c r="V152" s="161"/>
      <c r="W152" s="161"/>
      <c r="X152" s="161"/>
      <c r="Y152" s="161"/>
      <c r="Z152" s="161"/>
      <c r="AA152" s="161"/>
      <c r="AB152" s="161"/>
      <c r="AC152" s="161"/>
      <c r="AD152" s="161"/>
      <c r="AE152" s="161"/>
      <c r="AF152" s="161"/>
      <c r="AG152" s="161"/>
      <c r="AH152" s="161"/>
      <c r="AI152" s="49"/>
      <c r="AJ152" s="48"/>
      <c r="AT152" s="104"/>
      <c r="AU152" s="152"/>
      <c r="AV152" s="48"/>
      <c r="AW152" s="48"/>
      <c r="AX152" s="48"/>
      <c r="AY152" s="48"/>
    </row>
    <row r="153" spans="1:57" ht="12" customHeight="1">
      <c r="A153" s="5" t="str">
        <f>"PA-J"&amp;B153</f>
        <v>PA-JDISP</v>
      </c>
      <c r="B153" s="48" t="s">
        <v>318</v>
      </c>
      <c r="C153" s="48" t="s">
        <v>319</v>
      </c>
      <c r="D153" s="132">
        <v>157.27000000000001</v>
      </c>
      <c r="E153" s="74">
        <v>34</v>
      </c>
      <c r="F153" s="48"/>
      <c r="G153" s="68">
        <v>29686.29</v>
      </c>
      <c r="H153" s="68">
        <v>20401.03</v>
      </c>
      <c r="I153" s="68">
        <v>23127.43</v>
      </c>
      <c r="J153" s="68">
        <v>19751.560000000001</v>
      </c>
      <c r="K153" s="68">
        <v>19124.009999999998</v>
      </c>
      <c r="L153" s="68">
        <v>25020.1</v>
      </c>
      <c r="M153" s="68">
        <v>12109.79</v>
      </c>
      <c r="N153" s="68">
        <v>16054.15</v>
      </c>
      <c r="O153" s="68">
        <v>13167.77</v>
      </c>
      <c r="P153" s="68">
        <v>22744.26</v>
      </c>
      <c r="Q153" s="68">
        <v>20595.63</v>
      </c>
      <c r="R153" s="68">
        <v>19476.310000000001</v>
      </c>
      <c r="S153" s="68">
        <f>SUM(G153:R153)</f>
        <v>241258.33</v>
      </c>
      <c r="T153" s="19">
        <v>31005</v>
      </c>
      <c r="U153" s="48"/>
      <c r="V153" s="161"/>
      <c r="W153" s="161"/>
      <c r="X153" s="161"/>
      <c r="Y153" s="161"/>
      <c r="Z153" s="161"/>
      <c r="AA153" s="161"/>
      <c r="AB153" s="161"/>
      <c r="AC153" s="161"/>
      <c r="AD153" s="161"/>
      <c r="AE153" s="161"/>
      <c r="AF153" s="161"/>
      <c r="AG153" s="161"/>
      <c r="AH153" s="161"/>
      <c r="AI153" s="49"/>
      <c r="AJ153" s="48"/>
      <c r="AT153" s="104">
        <v>0</v>
      </c>
      <c r="AU153" s="160">
        <v>0</v>
      </c>
      <c r="AV153" s="80">
        <v>241258.33</v>
      </c>
      <c r="AW153" s="80">
        <f>+AV153-S153</f>
        <v>0</v>
      </c>
      <c r="AX153" s="48"/>
      <c r="AY153" s="108"/>
      <c r="AZ153" s="41"/>
      <c r="BA153" s="41"/>
      <c r="BB153" s="41"/>
    </row>
    <row r="154" spans="1:57" ht="12" customHeight="1">
      <c r="A154" s="5"/>
      <c r="B154" s="48"/>
      <c r="C154" s="48"/>
      <c r="D154" s="158"/>
      <c r="E154" s="159"/>
      <c r="F154" s="4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19"/>
      <c r="U154" s="48"/>
      <c r="V154" s="161"/>
      <c r="W154" s="161"/>
      <c r="X154" s="161"/>
      <c r="Y154" s="161"/>
      <c r="Z154" s="161"/>
      <c r="AA154" s="161"/>
      <c r="AB154" s="161"/>
      <c r="AC154" s="161"/>
      <c r="AD154" s="161"/>
      <c r="AE154" s="161"/>
      <c r="AF154" s="161"/>
      <c r="AG154" s="161"/>
      <c r="AH154" s="161"/>
      <c r="AI154" s="49"/>
      <c r="AJ154" s="48"/>
      <c r="AT154" s="104"/>
      <c r="AU154" s="162"/>
      <c r="AX154" s="48"/>
      <c r="AY154" s="48"/>
    </row>
    <row r="155" spans="1:57" ht="12" customHeight="1">
      <c r="A155" s="5"/>
      <c r="B155" s="48"/>
      <c r="C155" s="48"/>
      <c r="D155" s="158"/>
      <c r="E155" s="159"/>
      <c r="F155" s="4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19"/>
      <c r="U155" s="48"/>
      <c r="V155" s="161"/>
      <c r="W155" s="161"/>
      <c r="X155" s="161"/>
      <c r="Y155" s="161"/>
      <c r="Z155" s="161"/>
      <c r="AA155" s="161"/>
      <c r="AB155" s="161"/>
      <c r="AC155" s="161"/>
      <c r="AD155" s="161"/>
      <c r="AE155" s="161"/>
      <c r="AF155" s="161"/>
      <c r="AG155" s="161"/>
      <c r="AH155" s="161"/>
      <c r="AI155" s="49"/>
      <c r="AJ155" s="48"/>
      <c r="AT155" s="104"/>
      <c r="AU155" s="152"/>
      <c r="AV155" s="163"/>
      <c r="AW155" s="163">
        <v>0</v>
      </c>
      <c r="AX155" s="48"/>
      <c r="AY155" s="48"/>
    </row>
    <row r="156" spans="1:57" ht="12" customHeight="1">
      <c r="B156" s="48"/>
      <c r="C156" s="48"/>
      <c r="D156" s="108"/>
      <c r="E156" s="109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19"/>
      <c r="U156" s="48"/>
      <c r="V156" s="161"/>
      <c r="W156" s="161"/>
      <c r="X156" s="161"/>
      <c r="Y156" s="161"/>
      <c r="Z156" s="161"/>
      <c r="AA156" s="161"/>
      <c r="AB156" s="161"/>
      <c r="AC156" s="161"/>
      <c r="AD156" s="161"/>
      <c r="AE156" s="161"/>
      <c r="AF156" s="161"/>
      <c r="AG156" s="161"/>
      <c r="AH156" s="161"/>
      <c r="AI156" s="49"/>
      <c r="AJ156" s="48"/>
      <c r="AT156" s="104"/>
      <c r="AU156" s="152"/>
      <c r="AV156" s="48"/>
      <c r="AW156" s="48"/>
      <c r="AX156" s="48"/>
      <c r="AY156" s="48"/>
    </row>
    <row r="157" spans="1:57" ht="12" customHeight="1">
      <c r="B157" s="19"/>
      <c r="C157" s="126" t="s">
        <v>320</v>
      </c>
      <c r="D157" s="112"/>
      <c r="E157" s="113"/>
      <c r="F157" s="48"/>
      <c r="G157" s="164">
        <f t="shared" ref="G157:R157" si="55">SUM(G153:G156)</f>
        <v>29686.29</v>
      </c>
      <c r="H157" s="164">
        <f t="shared" si="55"/>
        <v>20401.03</v>
      </c>
      <c r="I157" s="164">
        <f t="shared" si="55"/>
        <v>23127.43</v>
      </c>
      <c r="J157" s="164">
        <f t="shared" si="55"/>
        <v>19751.560000000001</v>
      </c>
      <c r="K157" s="164">
        <f t="shared" si="55"/>
        <v>19124.009999999998</v>
      </c>
      <c r="L157" s="164">
        <f t="shared" si="55"/>
        <v>25020.1</v>
      </c>
      <c r="M157" s="164">
        <f t="shared" si="55"/>
        <v>12109.79</v>
      </c>
      <c r="N157" s="164">
        <f t="shared" si="55"/>
        <v>16054.15</v>
      </c>
      <c r="O157" s="164">
        <f t="shared" si="55"/>
        <v>13167.77</v>
      </c>
      <c r="P157" s="164">
        <f t="shared" si="55"/>
        <v>22744.26</v>
      </c>
      <c r="Q157" s="164">
        <f t="shared" si="55"/>
        <v>20595.63</v>
      </c>
      <c r="R157" s="164">
        <f t="shared" si="55"/>
        <v>19476.310000000001</v>
      </c>
      <c r="S157" s="164">
        <f>SUM(G157:R157)</f>
        <v>241258.33</v>
      </c>
      <c r="T157" s="19"/>
      <c r="U157" s="48"/>
      <c r="V157" s="161"/>
      <c r="W157" s="161"/>
      <c r="X157" s="161"/>
      <c r="Y157" s="161"/>
      <c r="Z157" s="161"/>
      <c r="AA157" s="161"/>
      <c r="AB157" s="161"/>
      <c r="AC157" s="161"/>
      <c r="AD157" s="161"/>
      <c r="AE157" s="161"/>
      <c r="AF157" s="161"/>
      <c r="AG157" s="161"/>
      <c r="AH157" s="161"/>
      <c r="AI157" s="49"/>
      <c r="AJ157" s="48"/>
      <c r="AT157" s="104"/>
      <c r="AU157" s="165"/>
      <c r="AV157" s="119">
        <f ca="1">SUM(AV153:OFFSET(AV157,-1,0))</f>
        <v>241258.33</v>
      </c>
      <c r="AW157" s="119">
        <f ca="1">SUM(AW153:OFFSET(AW157,-1,0))</f>
        <v>0</v>
      </c>
      <c r="AX157" s="48"/>
      <c r="AY157" s="48"/>
    </row>
    <row r="158" spans="1:57" s="41" customFormat="1" ht="12" customHeight="1">
      <c r="B158" s="45"/>
      <c r="C158" s="112"/>
      <c r="D158" s="112"/>
      <c r="E158" s="113"/>
      <c r="F158" s="108"/>
      <c r="G158" s="166"/>
      <c r="H158" s="166"/>
      <c r="I158" s="166"/>
      <c r="J158" s="166"/>
      <c r="K158" s="166"/>
      <c r="L158" s="166"/>
      <c r="M158" s="166"/>
      <c r="N158" s="166"/>
      <c r="O158" s="166"/>
      <c r="P158" s="166"/>
      <c r="Q158" s="166"/>
      <c r="R158" s="166"/>
      <c r="S158" s="166"/>
      <c r="T158" s="45"/>
      <c r="U158" s="108"/>
      <c r="V158" s="161"/>
      <c r="W158" s="161"/>
      <c r="X158" s="161"/>
      <c r="Y158" s="161"/>
      <c r="Z158" s="161"/>
      <c r="AA158" s="161"/>
      <c r="AB158" s="161"/>
      <c r="AC158" s="161"/>
      <c r="AD158" s="161"/>
      <c r="AE158" s="161"/>
      <c r="AF158" s="161"/>
      <c r="AG158" s="161"/>
      <c r="AH158" s="161"/>
      <c r="AI158" s="49"/>
      <c r="AJ158" s="108"/>
      <c r="AK158" s="7"/>
      <c r="AL158" s="1"/>
      <c r="AM158" s="1"/>
      <c r="AN158" s="1"/>
      <c r="AO158" s="1"/>
      <c r="AP158" s="1"/>
      <c r="AQ158" s="1"/>
      <c r="AR158"/>
      <c r="AS158" s="8"/>
      <c r="AT158" s="104"/>
      <c r="AU158" s="167"/>
      <c r="AV158" s="48"/>
      <c r="AW158" s="48"/>
      <c r="AX158" s="48"/>
      <c r="AY158" s="48"/>
      <c r="AZ158" s="1"/>
      <c r="BA158" s="1"/>
      <c r="BB158" s="1"/>
      <c r="BC158" s="1"/>
      <c r="BD158" s="502"/>
      <c r="BE158" s="506"/>
    </row>
    <row r="159" spans="1:57" s="5" customFormat="1" ht="12" customHeight="1">
      <c r="B159" s="153" t="s">
        <v>321</v>
      </c>
      <c r="C159" s="153" t="s">
        <v>321</v>
      </c>
      <c r="D159" s="121"/>
      <c r="E159" s="122"/>
      <c r="F159" s="67"/>
      <c r="G159" s="125"/>
      <c r="H159" s="68"/>
      <c r="I159" s="68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68"/>
      <c r="W159" s="168"/>
      <c r="X159" s="168"/>
      <c r="Y159" s="168"/>
      <c r="Z159" s="168"/>
      <c r="AA159" s="168"/>
      <c r="AB159" s="168"/>
      <c r="AC159" s="168"/>
      <c r="AD159" s="168"/>
      <c r="AE159" s="168"/>
      <c r="AF159" s="168"/>
      <c r="AG159" s="168"/>
      <c r="AH159" s="161"/>
      <c r="AI159" s="49"/>
      <c r="AJ159" s="19"/>
      <c r="AK159" s="7"/>
      <c r="AL159" s="1"/>
      <c r="AM159" s="1"/>
      <c r="AN159" s="1"/>
      <c r="AO159" s="1"/>
      <c r="AP159" s="1"/>
      <c r="AQ159" s="1"/>
      <c r="AR159"/>
      <c r="AS159" s="8"/>
      <c r="AT159" s="104"/>
      <c r="AU159" s="167"/>
      <c r="AX159" s="48"/>
      <c r="AY159" s="48"/>
      <c r="AZ159" s="1"/>
      <c r="BA159" s="1"/>
      <c r="BB159" s="1"/>
      <c r="BC159" s="1"/>
      <c r="BD159" s="502"/>
      <c r="BE159" s="503"/>
    </row>
    <row r="160" spans="1:57" s="5" customFormat="1" ht="12" customHeight="1">
      <c r="A160" s="5" t="str">
        <f>"PA-J"&amp;B160</f>
        <v>PA-JFINCHG</v>
      </c>
      <c r="B160" s="48" t="s">
        <v>322</v>
      </c>
      <c r="C160" s="48" t="s">
        <v>323</v>
      </c>
      <c r="D160" s="132">
        <v>1</v>
      </c>
      <c r="E160" s="74">
        <v>8</v>
      </c>
      <c r="F160" s="67"/>
      <c r="G160" s="68">
        <v>336.07</v>
      </c>
      <c r="H160" s="68">
        <v>196</v>
      </c>
      <c r="I160" s="68">
        <v>143.92999999999998</v>
      </c>
      <c r="J160" s="68">
        <v>194.16</v>
      </c>
      <c r="K160" s="68">
        <v>238.51</v>
      </c>
      <c r="L160" s="68">
        <v>322.66000000000008</v>
      </c>
      <c r="M160" s="68">
        <v>343.87</v>
      </c>
      <c r="N160" s="68">
        <v>146.65</v>
      </c>
      <c r="O160" s="68">
        <v>827.41</v>
      </c>
      <c r="P160" s="68">
        <v>-410.56000000000006</v>
      </c>
      <c r="Q160" s="68">
        <v>162.54000000000002</v>
      </c>
      <c r="R160" s="68">
        <v>219.08999999999997</v>
      </c>
      <c r="S160" s="68">
        <f>SUM(G160:R160)</f>
        <v>2720.33</v>
      </c>
      <c r="T160" s="19">
        <v>38000</v>
      </c>
      <c r="U160" s="19"/>
      <c r="V160" s="168"/>
      <c r="W160" s="168"/>
      <c r="X160" s="168"/>
      <c r="Y160" s="168"/>
      <c r="Z160" s="168"/>
      <c r="AA160" s="168"/>
      <c r="AB160" s="168"/>
      <c r="AC160" s="168"/>
      <c r="AD160" s="168"/>
      <c r="AE160" s="168"/>
      <c r="AF160" s="168"/>
      <c r="AG160" s="168"/>
      <c r="AH160" s="161"/>
      <c r="AI160" s="49"/>
      <c r="AJ160" s="19"/>
      <c r="AK160" s="7"/>
      <c r="AL160" s="1"/>
      <c r="AM160" s="1"/>
      <c r="AN160" s="1"/>
      <c r="AO160" s="1"/>
      <c r="AP160" s="1"/>
      <c r="AQ160" s="1"/>
      <c r="AR160"/>
      <c r="AS160" s="8"/>
      <c r="AT160" s="104">
        <v>1</v>
      </c>
      <c r="AU160" s="160">
        <v>1</v>
      </c>
      <c r="AV160" s="80">
        <v>2720.33</v>
      </c>
      <c r="AW160" s="80">
        <f>+AV160-S162</f>
        <v>0</v>
      </c>
      <c r="AX160" s="108"/>
      <c r="AY160" s="48"/>
      <c r="AZ160" s="1"/>
      <c r="BA160" s="1"/>
      <c r="BB160" s="1"/>
      <c r="BC160" s="41"/>
      <c r="BD160" s="506"/>
      <c r="BE160" s="503"/>
    </row>
    <row r="161" spans="1:57" s="5" customFormat="1" ht="12" customHeight="1">
      <c r="B161" s="48"/>
      <c r="C161" s="48"/>
      <c r="D161" s="108"/>
      <c r="E161" s="109"/>
      <c r="F161" s="67"/>
      <c r="G161" s="125"/>
      <c r="H161" s="68"/>
      <c r="I161" s="68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69"/>
      <c r="W161" s="169"/>
      <c r="X161" s="169"/>
      <c r="Y161" s="169"/>
      <c r="Z161" s="169"/>
      <c r="AA161" s="169"/>
      <c r="AB161" s="169"/>
      <c r="AC161" s="169"/>
      <c r="AD161" s="169"/>
      <c r="AE161" s="169"/>
      <c r="AF161" s="169"/>
      <c r="AG161" s="169"/>
      <c r="AH161" s="161"/>
      <c r="AI161" s="49"/>
      <c r="AJ161" s="19"/>
      <c r="AK161" s="43"/>
      <c r="AL161" s="1"/>
      <c r="AM161" s="1"/>
      <c r="AN161" s="1"/>
      <c r="AO161" s="1"/>
      <c r="AP161" s="1"/>
      <c r="AQ161" s="1"/>
      <c r="AR161"/>
      <c r="AS161" s="8"/>
      <c r="AT161" s="104"/>
      <c r="AU161" s="152"/>
      <c r="AV161" s="19"/>
      <c r="AW161" s="19"/>
      <c r="AX161" s="19"/>
      <c r="AY161" s="48"/>
      <c r="AZ161" s="1"/>
      <c r="BA161" s="1"/>
      <c r="BB161" s="1"/>
      <c r="BD161" s="503"/>
      <c r="BE161" s="503"/>
    </row>
    <row r="162" spans="1:57" s="3" customFormat="1" ht="12" customHeight="1" thickBot="1">
      <c r="B162" s="45"/>
      <c r="C162" s="112" t="s">
        <v>324</v>
      </c>
      <c r="D162" s="112"/>
      <c r="E162" s="113"/>
      <c r="F162" s="114"/>
      <c r="G162" s="115">
        <f t="shared" ref="G162:R162" si="56">SUM(G160:G161)</f>
        <v>336.07</v>
      </c>
      <c r="H162" s="115">
        <f t="shared" si="56"/>
        <v>196</v>
      </c>
      <c r="I162" s="115">
        <f t="shared" si="56"/>
        <v>143.92999999999998</v>
      </c>
      <c r="J162" s="115">
        <f t="shared" si="56"/>
        <v>194.16</v>
      </c>
      <c r="K162" s="115">
        <f t="shared" si="56"/>
        <v>238.51</v>
      </c>
      <c r="L162" s="115">
        <f t="shared" si="56"/>
        <v>322.66000000000008</v>
      </c>
      <c r="M162" s="115">
        <f t="shared" si="56"/>
        <v>343.87</v>
      </c>
      <c r="N162" s="115">
        <f t="shared" si="56"/>
        <v>146.65</v>
      </c>
      <c r="O162" s="115">
        <f t="shared" si="56"/>
        <v>827.41</v>
      </c>
      <c r="P162" s="115">
        <f t="shared" si="56"/>
        <v>-410.56000000000006</v>
      </c>
      <c r="Q162" s="115">
        <f t="shared" si="56"/>
        <v>162.54000000000002</v>
      </c>
      <c r="R162" s="115">
        <f t="shared" si="56"/>
        <v>219.08999999999997</v>
      </c>
      <c r="S162" s="115">
        <f>SUM(G162:R162)</f>
        <v>2720.33</v>
      </c>
      <c r="T162" s="45"/>
      <c r="U162" s="45"/>
      <c r="V162" s="169"/>
      <c r="W162" s="169"/>
      <c r="X162" s="169"/>
      <c r="Y162" s="169"/>
      <c r="Z162" s="169"/>
      <c r="AA162" s="169"/>
      <c r="AB162" s="169"/>
      <c r="AC162" s="169"/>
      <c r="AD162" s="169"/>
      <c r="AE162" s="169"/>
      <c r="AF162" s="169"/>
      <c r="AG162" s="169" t="s">
        <v>325</v>
      </c>
      <c r="AH162" s="170">
        <f>+AH150+AH125+AH56+AH50</f>
        <v>6111.8848764541872</v>
      </c>
      <c r="AI162" s="49"/>
      <c r="AJ162" s="45"/>
      <c r="AK162" s="43"/>
      <c r="AL162" s="1"/>
      <c r="AM162" s="1"/>
      <c r="AN162" s="1"/>
      <c r="AO162" s="1"/>
      <c r="AP162" s="1"/>
      <c r="AQ162" s="1"/>
      <c r="AR162"/>
      <c r="AS162" s="8"/>
      <c r="AT162" s="104"/>
      <c r="AU162" s="162"/>
      <c r="AV162" s="19"/>
      <c r="AW162" s="19"/>
      <c r="AX162" s="19"/>
      <c r="AY162" s="108"/>
      <c r="AZ162" s="41"/>
      <c r="BA162" s="41"/>
      <c r="BB162" s="41"/>
      <c r="BC162" s="5"/>
      <c r="BD162" s="503"/>
      <c r="BE162" s="504"/>
    </row>
    <row r="163" spans="1:57" ht="12" customHeight="1">
      <c r="B163" s="19"/>
      <c r="C163" s="126"/>
      <c r="D163" s="112"/>
      <c r="E163" s="113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19"/>
      <c r="U163" s="48"/>
      <c r="V163" s="161"/>
      <c r="W163" s="161"/>
      <c r="X163" s="161"/>
      <c r="Y163" s="161"/>
      <c r="Z163" s="161"/>
      <c r="AA163" s="161"/>
      <c r="AB163" s="161"/>
      <c r="AC163" s="161"/>
      <c r="AD163" s="161"/>
      <c r="AE163" s="161"/>
      <c r="AF163" s="161"/>
      <c r="AG163" s="161"/>
      <c r="AH163" s="161"/>
      <c r="AI163" s="49"/>
      <c r="AJ163" s="48"/>
      <c r="AK163" s="43"/>
      <c r="AT163" s="104"/>
      <c r="AU163" s="152"/>
      <c r="AV163" s="119">
        <f ca="1">SUM(AV160:OFFSET(AV163,-1,0))</f>
        <v>2720.33</v>
      </c>
      <c r="AW163" s="119">
        <f ca="1">SUM(AW160:OFFSET(AW163,-1,0))</f>
        <v>0</v>
      </c>
      <c r="AX163" s="19"/>
      <c r="AY163" s="19"/>
      <c r="AZ163" s="5"/>
      <c r="BA163" s="5"/>
      <c r="BB163" s="5"/>
      <c r="BC163" s="5"/>
      <c r="BD163" s="503"/>
    </row>
    <row r="164" spans="1:57"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161"/>
      <c r="AI164" s="49"/>
      <c r="AK164" s="43"/>
      <c r="AX164" s="19"/>
      <c r="AY164" s="19"/>
      <c r="AZ164" s="5"/>
      <c r="BA164" s="5"/>
      <c r="BB164" s="5"/>
      <c r="BC164" s="5"/>
      <c r="BD164" s="503"/>
    </row>
    <row r="165" spans="1:57">
      <c r="B165" s="154"/>
      <c r="C165" s="154"/>
      <c r="D165" s="155"/>
      <c r="E165" s="156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19"/>
      <c r="U165" s="48"/>
      <c r="V165" s="161"/>
      <c r="W165" s="161"/>
      <c r="X165" s="161"/>
      <c r="Y165" s="161"/>
      <c r="Z165" s="161"/>
      <c r="AA165" s="161"/>
      <c r="AB165" s="161"/>
      <c r="AC165" s="161"/>
      <c r="AD165" s="161"/>
      <c r="AE165" s="161"/>
      <c r="AF165" s="161"/>
      <c r="AG165" s="161"/>
      <c r="AH165" s="161"/>
      <c r="AI165" s="49"/>
      <c r="AJ165" s="48"/>
      <c r="AK165" s="43"/>
      <c r="AX165" s="45"/>
      <c r="AY165" s="19"/>
      <c r="AZ165" s="5"/>
      <c r="BA165" s="5"/>
      <c r="BB165" s="5"/>
      <c r="BC165" s="3"/>
      <c r="BD165" s="504"/>
    </row>
    <row r="166" spans="1:57">
      <c r="B166" s="48"/>
      <c r="C166" s="48"/>
      <c r="D166" s="108"/>
      <c r="E166" s="109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19"/>
      <c r="U166" s="48"/>
      <c r="V166" s="161"/>
      <c r="W166" s="161"/>
      <c r="X166" s="161"/>
      <c r="Y166" s="161"/>
      <c r="Z166" s="161"/>
      <c r="AA166" s="161"/>
      <c r="AB166" s="161"/>
      <c r="AC166" s="161"/>
      <c r="AD166" s="161"/>
      <c r="AE166" s="161"/>
      <c r="AF166" s="161"/>
      <c r="AG166" s="161"/>
      <c r="AH166" s="161"/>
      <c r="AI166" s="49"/>
      <c r="AJ166" s="48"/>
      <c r="AU166" s="48"/>
      <c r="AV166" s="48"/>
      <c r="AW166" s="48"/>
      <c r="AX166" s="48"/>
      <c r="AY166" s="19"/>
      <c r="AZ166" s="5"/>
      <c r="BA166" s="5"/>
      <c r="BB166" s="5"/>
    </row>
    <row r="167" spans="1:57">
      <c r="B167" s="153" t="s">
        <v>321</v>
      </c>
      <c r="C167" s="153" t="s">
        <v>37</v>
      </c>
      <c r="D167" s="108"/>
      <c r="E167" s="109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19"/>
      <c r="U167" s="48"/>
      <c r="V167" s="161"/>
      <c r="W167" s="161"/>
      <c r="X167" s="161"/>
      <c r="Y167" s="161"/>
      <c r="Z167" s="161"/>
      <c r="AA167" s="161"/>
      <c r="AB167" s="161"/>
      <c r="AC167" s="161"/>
      <c r="AD167" s="161"/>
      <c r="AE167" s="161"/>
      <c r="AF167" s="161"/>
      <c r="AG167" s="161"/>
      <c r="AH167" s="161"/>
      <c r="AI167" s="49"/>
      <c r="AJ167" s="48"/>
      <c r="AU167" s="48"/>
      <c r="AY167" s="45"/>
      <c r="AZ167" s="3"/>
      <c r="BA167" s="3"/>
      <c r="BB167" s="3"/>
    </row>
    <row r="168" spans="1:57" s="5" customFormat="1" ht="12" customHeight="1">
      <c r="A168" s="5" t="str">
        <f>"PA-J"&amp;B168</f>
        <v>PA-JROWKND</v>
      </c>
      <c r="B168" s="48" t="s">
        <v>326</v>
      </c>
      <c r="C168" s="48" t="s">
        <v>327</v>
      </c>
      <c r="D168" s="132">
        <v>250.7</v>
      </c>
      <c r="E168" s="74">
        <v>16</v>
      </c>
      <c r="F168" s="48"/>
      <c r="G168" s="68">
        <v>0</v>
      </c>
      <c r="H168" s="68">
        <v>0</v>
      </c>
      <c r="I168" s="68">
        <v>0</v>
      </c>
      <c r="J168" s="68">
        <v>0</v>
      </c>
      <c r="K168" s="68">
        <v>3284.18</v>
      </c>
      <c r="L168" s="68">
        <v>1353.78</v>
      </c>
      <c r="M168" s="68">
        <v>0</v>
      </c>
      <c r="N168" s="68">
        <v>0</v>
      </c>
      <c r="O168" s="68">
        <v>0</v>
      </c>
      <c r="P168" s="68">
        <v>0</v>
      </c>
      <c r="Q168" s="68">
        <v>0</v>
      </c>
      <c r="R168" s="68">
        <v>0</v>
      </c>
      <c r="S168" s="68">
        <f>SUM(G168:R168)</f>
        <v>4637.96</v>
      </c>
      <c r="T168" s="19">
        <v>31020</v>
      </c>
      <c r="U168" s="19"/>
      <c r="V168" s="168"/>
      <c r="W168" s="168"/>
      <c r="X168" s="168"/>
      <c r="Y168" s="168"/>
      <c r="Z168" s="168"/>
      <c r="AA168" s="168"/>
      <c r="AB168" s="168"/>
      <c r="AC168" s="168"/>
      <c r="AD168" s="168"/>
      <c r="AE168" s="168"/>
      <c r="AF168" s="168"/>
      <c r="AG168" s="168"/>
      <c r="AH168" s="161"/>
      <c r="AI168" s="49"/>
      <c r="AJ168" s="19"/>
      <c r="AK168" s="7"/>
      <c r="AL168" s="1"/>
      <c r="AM168" s="1"/>
      <c r="AN168" s="1"/>
      <c r="AO168" s="1"/>
      <c r="AP168" s="1"/>
      <c r="AQ168" s="1"/>
      <c r="AR168"/>
      <c r="AS168" s="8"/>
      <c r="AT168"/>
      <c r="AU168" s="48"/>
      <c r="AV168" s="48"/>
      <c r="AW168" s="48"/>
      <c r="AX168" s="48"/>
      <c r="AY168" s="48"/>
      <c r="AZ168" s="1"/>
      <c r="BA168" s="1"/>
      <c r="BB168" s="1"/>
      <c r="BC168" s="1"/>
      <c r="BD168" s="502"/>
      <c r="BE168" s="503"/>
    </row>
    <row r="169" spans="1:57" s="5" customFormat="1" ht="12" customHeight="1">
      <c r="A169" s="48" t="s">
        <v>328</v>
      </c>
      <c r="B169" s="5" t="s">
        <v>329</v>
      </c>
      <c r="C169" s="48" t="s">
        <v>330</v>
      </c>
      <c r="D169" s="132">
        <v>2334.2399999999998</v>
      </c>
      <c r="E169" s="74">
        <v>16</v>
      </c>
      <c r="F169" s="48"/>
      <c r="G169" s="68">
        <v>9336.9599999999991</v>
      </c>
      <c r="H169" s="68">
        <v>0</v>
      </c>
      <c r="I169" s="68">
        <v>9336.9599999999991</v>
      </c>
      <c r="J169" s="68">
        <v>11671.2</v>
      </c>
      <c r="K169" s="68">
        <v>0</v>
      </c>
      <c r="L169" s="68">
        <v>11671.2</v>
      </c>
      <c r="M169" s="68">
        <v>21008.16</v>
      </c>
      <c r="N169" s="68">
        <v>0</v>
      </c>
      <c r="O169" s="68">
        <v>16339.68</v>
      </c>
      <c r="P169" s="68">
        <v>11671.2</v>
      </c>
      <c r="Q169" s="68">
        <v>4668.4799999999996</v>
      </c>
      <c r="R169" s="68">
        <v>11671.2</v>
      </c>
      <c r="S169" s="68">
        <f>SUM(G169:R169)</f>
        <v>107375.03999999999</v>
      </c>
      <c r="T169" s="19">
        <v>31020</v>
      </c>
      <c r="U169" s="19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48"/>
      <c r="AI169" s="49"/>
      <c r="AJ169" s="19"/>
      <c r="AK169" s="7"/>
      <c r="AL169" s="1"/>
      <c r="AM169" s="1"/>
      <c r="AN169" s="1"/>
      <c r="AO169" s="1"/>
      <c r="AP169" s="1"/>
      <c r="AQ169" s="1"/>
      <c r="AR169"/>
      <c r="AS169" s="8"/>
      <c r="AT169"/>
      <c r="AU169" s="19"/>
      <c r="AV169" s="48"/>
      <c r="AW169" s="48"/>
      <c r="AX169" s="48"/>
      <c r="AY169" s="1"/>
      <c r="AZ169" s="1"/>
      <c r="BA169" s="1"/>
      <c r="BB169" s="1"/>
      <c r="BC169" s="1"/>
      <c r="BD169" s="502"/>
      <c r="BE169" s="503"/>
    </row>
    <row r="170" spans="1:57" s="5" customFormat="1" ht="12" customHeight="1">
      <c r="A170" s="48" t="s">
        <v>328</v>
      </c>
      <c r="B170" s="5" t="s">
        <v>331</v>
      </c>
      <c r="C170" s="48" t="s">
        <v>330</v>
      </c>
      <c r="D170" s="132">
        <v>1731.88</v>
      </c>
      <c r="E170" s="74">
        <v>16</v>
      </c>
      <c r="F170" s="48"/>
      <c r="G170" s="172">
        <v>121548.24</v>
      </c>
      <c r="H170" s="172">
        <v>94537.52</v>
      </c>
      <c r="I170" s="172">
        <v>64150.46</v>
      </c>
      <c r="J170" s="172">
        <v>75967.649999999994</v>
      </c>
      <c r="K170" s="172">
        <v>54021.440000000002</v>
      </c>
      <c r="L170" s="172">
        <v>86096.67</v>
      </c>
      <c r="M170" s="172">
        <v>102978.37</v>
      </c>
      <c r="N170" s="172">
        <v>108042.88</v>
      </c>
      <c r="O170" s="172">
        <v>87784.84</v>
      </c>
      <c r="P170" s="172">
        <v>106354.71</v>
      </c>
      <c r="Q170" s="172">
        <v>87784.84</v>
      </c>
      <c r="R170" s="172">
        <v>41567.519999999997</v>
      </c>
      <c r="S170" s="172">
        <f>SUM(G170:R170)</f>
        <v>1030835.1399999999</v>
      </c>
      <c r="T170" s="19">
        <v>31020</v>
      </c>
      <c r="U170" s="19"/>
      <c r="V170" s="68"/>
      <c r="W170" s="68"/>
      <c r="X170" s="68"/>
      <c r="Y170" s="68"/>
      <c r="Z170" s="68"/>
      <c r="AA170" s="68"/>
      <c r="AB170" s="68"/>
      <c r="AC170" s="68"/>
      <c r="AD170" s="68"/>
      <c r="AE170" s="68"/>
      <c r="AF170" s="68"/>
      <c r="AG170" s="68"/>
      <c r="AH170" s="173"/>
      <c r="AI170" s="49"/>
      <c r="AJ170" s="19"/>
      <c r="AK170" s="7"/>
      <c r="AL170" s="1"/>
      <c r="AM170" s="1"/>
      <c r="AN170" s="1"/>
      <c r="AO170" s="1"/>
      <c r="AP170" s="1"/>
      <c r="AQ170" s="1"/>
      <c r="AR170"/>
      <c r="AS170" s="8"/>
      <c r="AT170"/>
      <c r="AU170" s="19"/>
      <c r="AV170" s="48"/>
      <c r="AW170" s="48"/>
      <c r="AX170" s="48"/>
      <c r="AY170" s="48"/>
      <c r="AZ170" s="1"/>
      <c r="BA170" s="1"/>
      <c r="BB170" s="1"/>
      <c r="BC170" s="1"/>
      <c r="BD170" s="502"/>
      <c r="BE170" s="503"/>
    </row>
    <row r="171" spans="1:57">
      <c r="B171" s="48"/>
      <c r="C171" s="48"/>
      <c r="D171" s="108"/>
      <c r="E171" s="109"/>
      <c r="F171" s="48"/>
      <c r="G171" s="174">
        <f t="shared" ref="G171:S171" si="57">SUM(G168:G170)</f>
        <v>130885.20000000001</v>
      </c>
      <c r="H171" s="174">
        <f t="shared" si="57"/>
        <v>94537.52</v>
      </c>
      <c r="I171" s="174">
        <f t="shared" si="57"/>
        <v>73487.42</v>
      </c>
      <c r="J171" s="174">
        <f t="shared" si="57"/>
        <v>87638.849999999991</v>
      </c>
      <c r="K171" s="174">
        <f t="shared" si="57"/>
        <v>57305.62</v>
      </c>
      <c r="L171" s="174">
        <f t="shared" si="57"/>
        <v>99121.65</v>
      </c>
      <c r="M171" s="174">
        <f t="shared" si="57"/>
        <v>123986.53</v>
      </c>
      <c r="N171" s="174">
        <f t="shared" si="57"/>
        <v>108042.88</v>
      </c>
      <c r="O171" s="174">
        <f t="shared" si="57"/>
        <v>104124.51999999999</v>
      </c>
      <c r="P171" s="174">
        <f t="shared" si="57"/>
        <v>118025.91</v>
      </c>
      <c r="Q171" s="174">
        <f t="shared" si="57"/>
        <v>92453.319999999992</v>
      </c>
      <c r="R171" s="174">
        <f t="shared" si="57"/>
        <v>53238.720000000001</v>
      </c>
      <c r="S171" s="174">
        <f t="shared" si="57"/>
        <v>1142848.1399999999</v>
      </c>
      <c r="T171" s="19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I171" s="49"/>
      <c r="AJ171" s="48"/>
      <c r="AU171" s="19"/>
      <c r="AV171" s="19"/>
      <c r="AW171" s="19"/>
      <c r="AX171" s="19"/>
      <c r="AY171" s="48"/>
      <c r="BC171" s="5"/>
      <c r="BD171" s="503"/>
    </row>
    <row r="172" spans="1:57" ht="15.75" thickBot="1">
      <c r="B172" s="48"/>
      <c r="C172" s="48"/>
      <c r="D172" s="108"/>
      <c r="E172" s="109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175"/>
      <c r="T172" s="19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I172" s="49"/>
      <c r="AJ172" s="48"/>
      <c r="AU172" s="19"/>
      <c r="AV172" s="19"/>
      <c r="AW172" s="19"/>
      <c r="AX172" s="19"/>
      <c r="AY172" s="48"/>
      <c r="BC172" s="5"/>
      <c r="BD172" s="503"/>
    </row>
    <row r="173" spans="1:57" s="41" customFormat="1" ht="12" customHeight="1" thickBot="1">
      <c r="B173" s="155"/>
      <c r="C173" s="112" t="s">
        <v>332</v>
      </c>
      <c r="D173" s="112"/>
      <c r="E173" s="113"/>
      <c r="F173" s="108"/>
      <c r="G173" s="115">
        <f t="shared" ref="G173:S173" si="58">SUM(G50,G56,G125,G150,G157,G162,G171)</f>
        <v>395151.6</v>
      </c>
      <c r="H173" s="115">
        <f t="shared" si="58"/>
        <v>349692.93</v>
      </c>
      <c r="I173" s="115">
        <f t="shared" si="58"/>
        <v>324398.08999999997</v>
      </c>
      <c r="J173" s="115">
        <f t="shared" si="58"/>
        <v>326199.37999999995</v>
      </c>
      <c r="K173" s="115">
        <f t="shared" si="58"/>
        <v>293292.77</v>
      </c>
      <c r="L173" s="115">
        <f t="shared" si="58"/>
        <v>345526.9800000001</v>
      </c>
      <c r="M173" s="115">
        <f t="shared" si="58"/>
        <v>348958.20999999996</v>
      </c>
      <c r="N173" s="115">
        <f t="shared" si="58"/>
        <v>344171.39</v>
      </c>
      <c r="O173" s="115">
        <f t="shared" si="58"/>
        <v>338510.51999999996</v>
      </c>
      <c r="P173" s="115">
        <f t="shared" si="58"/>
        <v>376358.89</v>
      </c>
      <c r="Q173" s="115">
        <f t="shared" si="58"/>
        <v>352460.69999999995</v>
      </c>
      <c r="R173" s="115">
        <f t="shared" si="58"/>
        <v>315719.17000000004</v>
      </c>
      <c r="S173" s="115">
        <f t="shared" si="58"/>
        <v>4110440.63</v>
      </c>
      <c r="T173" s="45"/>
      <c r="U173" s="108"/>
      <c r="V173" s="108"/>
      <c r="W173" s="108"/>
      <c r="X173" s="108"/>
      <c r="Y173" s="108"/>
      <c r="Z173" s="108"/>
      <c r="AA173" s="108"/>
      <c r="AB173" s="108"/>
      <c r="AC173" s="108"/>
      <c r="AD173" s="108"/>
      <c r="AE173" s="108"/>
      <c r="AF173" s="108"/>
      <c r="AG173" s="108"/>
      <c r="AH173" s="48"/>
      <c r="AI173" s="49"/>
      <c r="AJ173" s="108"/>
      <c r="AK173" s="7"/>
      <c r="AL173" s="1"/>
      <c r="AM173" s="118">
        <f>AM50+AM56+AM125+AM150</f>
        <v>5319.2817726321664</v>
      </c>
      <c r="AN173"/>
      <c r="AO173" s="118">
        <f>AO50+AO56+AO125+AO150</f>
        <v>740.82188028740961</v>
      </c>
      <c r="AP173"/>
      <c r="AQ173" s="118">
        <f>AQ50+AQ56+AQ125+AQ150</f>
        <v>27.250511020965561</v>
      </c>
      <c r="AR173"/>
      <c r="AS173" s="8"/>
      <c r="AT173"/>
      <c r="AU173" s="19"/>
      <c r="AV173" s="19"/>
      <c r="AW173" s="19"/>
      <c r="AX173" s="19"/>
      <c r="AY173" s="19"/>
      <c r="AZ173" s="5"/>
      <c r="BA173" s="5"/>
      <c r="BB173" s="5"/>
      <c r="BC173" s="5"/>
      <c r="BD173" s="503"/>
      <c r="BE173" s="506"/>
    </row>
    <row r="174" spans="1:57">
      <c r="T174" s="19"/>
      <c r="AI174" s="49"/>
      <c r="AU174" s="108"/>
      <c r="AV174" s="19"/>
      <c r="AW174" s="19"/>
      <c r="AX174" s="19"/>
      <c r="AY174" s="19"/>
      <c r="AZ174" s="5"/>
      <c r="BA174" s="5"/>
      <c r="BB174" s="5"/>
      <c r="BC174" s="5"/>
      <c r="BD174" s="503"/>
    </row>
    <row r="175" spans="1:57"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T175" s="19"/>
      <c r="AI175" s="49"/>
      <c r="AV175" s="48"/>
      <c r="AW175" s="48"/>
      <c r="AX175" s="48"/>
      <c r="AY175" s="19"/>
      <c r="AZ175" s="5"/>
      <c r="BA175" s="5"/>
      <c r="BB175" s="5"/>
    </row>
    <row r="176" spans="1:57">
      <c r="T176" s="19"/>
      <c r="AI176" s="49"/>
      <c r="AV176" s="48"/>
      <c r="AW176" s="48"/>
      <c r="AX176" s="48"/>
      <c r="AY176" s="19"/>
      <c r="AZ176" s="5"/>
      <c r="BA176" s="5"/>
      <c r="BB176" s="5"/>
    </row>
    <row r="177" spans="20:56">
      <c r="T177" s="19"/>
      <c r="AI177" s="49"/>
      <c r="AV177" s="108"/>
      <c r="AW177" s="108"/>
      <c r="AX177" s="108"/>
      <c r="AY177" s="48"/>
      <c r="BC177" s="41"/>
      <c r="BD177" s="506"/>
    </row>
    <row r="178" spans="20:56">
      <c r="T178" s="19"/>
      <c r="AI178" s="49"/>
      <c r="AY178" s="48"/>
    </row>
    <row r="179" spans="20:56">
      <c r="T179" s="19"/>
      <c r="AI179" s="49"/>
      <c r="AY179" s="108"/>
      <c r="AZ179" s="41"/>
      <c r="BA179" s="41"/>
      <c r="BB179" s="41"/>
    </row>
    <row r="180" spans="20:56">
      <c r="T180" s="19"/>
      <c r="AI180" s="49"/>
    </row>
    <row r="181" spans="20:56">
      <c r="T181" s="19"/>
      <c r="AI181" s="49"/>
    </row>
    <row r="182" spans="20:56">
      <c r="T182" s="19"/>
      <c r="AI182" s="49"/>
    </row>
    <row r="183" spans="20:56">
      <c r="T183" s="19"/>
    </row>
    <row r="184" spans="20:56">
      <c r="T184" s="19"/>
    </row>
    <row r="185" spans="20:56">
      <c r="T185" s="19"/>
    </row>
    <row r="186" spans="20:56">
      <c r="T186" s="19"/>
    </row>
  </sheetData>
  <autoFilter ref="B5:AJ176" xr:uid="{00000000-0001-0000-0400-000000000000}"/>
  <conditionalFormatting sqref="B168:B170">
    <cfRule type="duplicateValues" dxfId="16" priority="4"/>
  </conditionalFormatting>
  <conditionalFormatting sqref="AJ13:AJ48 AJ62:AJ123">
    <cfRule type="cellIs" dxfId="15" priority="3" operator="greaterThan">
      <formula>0</formula>
    </cfRule>
  </conditionalFormatting>
  <conditionalFormatting sqref="AJ53:AJ54">
    <cfRule type="cellIs" dxfId="14" priority="2" operator="greaterThan">
      <formula>0</formula>
    </cfRule>
  </conditionalFormatting>
  <conditionalFormatting sqref="AS62:AS64">
    <cfRule type="cellIs" dxfId="13" priority="1" operator="greaterThan">
      <formula>0.009</formula>
    </cfRule>
  </conditionalFormatting>
  <pageMargins left="0.25" right="0.25" top="0.27" bottom="0.4" header="0.18" footer="0.25"/>
  <pageSetup scale="70" orientation="landscape" errors="blank" r:id="rId1"/>
  <headerFooter alignWithMargins="0">
    <oddFooter>&amp;L&amp;F - &amp;A&amp;CPrinted &amp;D - &amp;T&amp;RPage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10649-098C-4C20-81B9-B5556EA7120F}">
  <sheetPr>
    <tabColor theme="4" tint="0.59999389629810485"/>
  </sheetPr>
  <dimension ref="A1:BU697"/>
  <sheetViews>
    <sheetView topLeftCell="B166" workbookViewId="0">
      <pane xSplit="1" topLeftCell="AW1" activePane="topRight" state="frozen"/>
      <selection activeCell="C88" sqref="C88"/>
      <selection pane="topRight" activeCell="C88" sqref="C88"/>
    </sheetView>
  </sheetViews>
  <sheetFormatPr defaultColWidth="9.140625" defaultRowHeight="12.75" outlineLevelCol="1"/>
  <cols>
    <col min="1" max="1" width="22.140625" style="1" hidden="1" customWidth="1" outlineLevel="1"/>
    <col min="2" max="2" width="22.7109375" style="1" customWidth="1" collapsed="1"/>
    <col min="3" max="3" width="30.7109375" style="1" customWidth="1"/>
    <col min="4" max="4" width="11.5703125" style="235" bestFit="1" customWidth="1"/>
    <col min="5" max="5" width="11.28515625" style="235" customWidth="1"/>
    <col min="6" max="6" width="2" style="1" customWidth="1"/>
    <col min="7" max="18" width="12.140625" style="1" hidden="1" customWidth="1" outlineLevel="1"/>
    <col min="19" max="19" width="13.5703125" style="1" bestFit="1" customWidth="1" collapsed="1"/>
    <col min="20" max="20" width="8.7109375" style="1" customWidth="1"/>
    <col min="21" max="21" width="2.42578125" style="1" customWidth="1"/>
    <col min="22" max="28" width="10.85546875" style="1" hidden="1" customWidth="1" outlineLevel="1"/>
    <col min="29" max="29" width="10" style="1" hidden="1" customWidth="1" outlineLevel="1"/>
    <col min="30" max="33" width="10.140625" style="1" hidden="1" customWidth="1" outlineLevel="1"/>
    <col min="34" max="34" width="10.85546875" style="236" bestFit="1" customWidth="1" collapsed="1"/>
    <col min="35" max="35" width="9.42578125" style="6" bestFit="1" customWidth="1"/>
    <col min="36" max="36" width="11.42578125" style="1" customWidth="1"/>
    <col min="37" max="37" width="11" style="7" hidden="1" customWidth="1" outlineLevel="1"/>
    <col min="38" max="38" width="17.7109375" style="1" hidden="1" customWidth="1" outlineLevel="1"/>
    <col min="39" max="40" width="9.140625" style="1" hidden="1" customWidth="1" outlineLevel="1"/>
    <col min="41" max="41" width="9.85546875" style="1" hidden="1" customWidth="1" outlineLevel="1"/>
    <col min="42" max="43" width="9.140625" style="1" hidden="1" customWidth="1" outlineLevel="1"/>
    <col min="44" max="44" width="9.140625" style="1" collapsed="1"/>
    <col min="45" max="45" width="11.42578125" style="1" customWidth="1"/>
    <col min="46" max="46" width="18.5703125" style="1" bestFit="1" customWidth="1"/>
    <col min="47" max="47" width="30" style="1" bestFit="1" customWidth="1"/>
    <col min="48" max="48" width="22" style="1" bestFit="1" customWidth="1"/>
    <col min="49" max="49" width="12.85546875" style="1" bestFit="1" customWidth="1"/>
    <col min="50" max="50" width="16" style="1" bestFit="1" customWidth="1"/>
    <col min="51" max="51" width="30.28515625" style="1" bestFit="1" customWidth="1"/>
    <col min="52" max="53" width="13.85546875" style="1" bestFit="1" customWidth="1"/>
    <col min="54" max="54" width="9.140625" style="1"/>
    <col min="55" max="55" width="11" style="502" customWidth="1"/>
    <col min="56" max="56" width="13.140625" style="502" customWidth="1"/>
    <col min="57" max="16384" width="9.140625" style="1"/>
  </cols>
  <sheetData>
    <row r="1" spans="1:61" ht="12" customHeight="1">
      <c r="B1" s="2" t="s">
        <v>0</v>
      </c>
      <c r="C1" s="5"/>
      <c r="D1" s="176"/>
      <c r="E1" s="176"/>
      <c r="F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1"/>
      <c r="AW1" s="9"/>
      <c r="AX1" s="10" t="s">
        <v>1</v>
      </c>
      <c r="AY1" s="10" t="s">
        <v>2</v>
      </c>
      <c r="AZ1" s="10" t="s">
        <v>3</v>
      </c>
      <c r="BA1" s="10" t="s">
        <v>4</v>
      </c>
      <c r="BC1" s="502" t="s">
        <v>850</v>
      </c>
    </row>
    <row r="2" spans="1:61" ht="12" customHeight="1">
      <c r="B2" s="2" t="s">
        <v>5</v>
      </c>
      <c r="C2" s="5"/>
      <c r="D2" s="176"/>
      <c r="E2" s="176"/>
      <c r="F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1"/>
      <c r="AW2" s="11" t="s">
        <v>6</v>
      </c>
      <c r="AX2" s="12">
        <f ca="1">+'LG Public - Clallam Total'!K22</f>
        <v>9.6441773042538648E-2</v>
      </c>
      <c r="AY2" s="13">
        <v>1.4437800000000001E-2</v>
      </c>
      <c r="AZ2" s="12">
        <f ca="1">AX2+AY2</f>
        <v>0.11087957304253865</v>
      </c>
      <c r="BA2" s="14">
        <f ca="1">+'LG Public - Clallam Total'!J20-AV197</f>
        <v>-751766.88142052572</v>
      </c>
      <c r="BD2" s="507">
        <f ca="1">+'Clallam Proposed Rates'!$H$8</f>
        <v>3.8176256978042764E-3</v>
      </c>
    </row>
    <row r="3" spans="1:61" ht="12" customHeight="1">
      <c r="B3" s="2" t="s">
        <v>333</v>
      </c>
      <c r="C3" s="5"/>
      <c r="D3" s="177"/>
      <c r="E3" s="177"/>
      <c r="F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1"/>
      <c r="AW3" s="11"/>
      <c r="AX3" s="12"/>
      <c r="AY3" s="13"/>
      <c r="AZ3" s="12"/>
      <c r="BA3" s="14"/>
    </row>
    <row r="4" spans="1:61" ht="12" customHeight="1">
      <c r="B4" s="15" t="s">
        <v>334</v>
      </c>
      <c r="C4" s="5"/>
      <c r="D4" s="177"/>
      <c r="E4" s="177"/>
      <c r="F4" s="5"/>
      <c r="G4" s="5"/>
      <c r="H4" s="5"/>
      <c r="I4" s="5"/>
      <c r="J4" s="16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1"/>
      <c r="AL4" s="17" t="s">
        <v>8</v>
      </c>
      <c r="AM4" s="18"/>
      <c r="AN4" s="17" t="s">
        <v>9</v>
      </c>
      <c r="AO4" s="18"/>
      <c r="AP4" s="17" t="s">
        <v>10</v>
      </c>
      <c r="AQ4" s="18"/>
    </row>
    <row r="5" spans="1:61" ht="12" customHeight="1">
      <c r="B5" s="5"/>
      <c r="C5" s="20"/>
      <c r="D5" s="21" t="s">
        <v>11</v>
      </c>
      <c r="E5" s="21" t="s">
        <v>12</v>
      </c>
      <c r="F5" s="5"/>
      <c r="G5" s="23">
        <v>44774</v>
      </c>
      <c r="H5" s="23">
        <f t="shared" ref="H5:R5" si="0">+G5+31</f>
        <v>44805</v>
      </c>
      <c r="I5" s="23">
        <f t="shared" si="0"/>
        <v>44836</v>
      </c>
      <c r="J5" s="23">
        <f t="shared" si="0"/>
        <v>44867</v>
      </c>
      <c r="K5" s="23">
        <f t="shared" si="0"/>
        <v>44898</v>
      </c>
      <c r="L5" s="23">
        <f t="shared" si="0"/>
        <v>44929</v>
      </c>
      <c r="M5" s="23">
        <f t="shared" si="0"/>
        <v>44960</v>
      </c>
      <c r="N5" s="23">
        <f t="shared" si="0"/>
        <v>44991</v>
      </c>
      <c r="O5" s="23">
        <f t="shared" si="0"/>
        <v>45022</v>
      </c>
      <c r="P5" s="23">
        <f t="shared" si="0"/>
        <v>45053</v>
      </c>
      <c r="Q5" s="23">
        <f t="shared" si="0"/>
        <v>45084</v>
      </c>
      <c r="R5" s="23">
        <f t="shared" si="0"/>
        <v>45115</v>
      </c>
      <c r="S5" s="23" t="s">
        <v>13</v>
      </c>
      <c r="T5" s="5"/>
      <c r="U5" s="5"/>
      <c r="V5" s="24">
        <f t="shared" ref="V5:AG5" si="1">+G5</f>
        <v>44774</v>
      </c>
      <c r="W5" s="24">
        <f t="shared" si="1"/>
        <v>44805</v>
      </c>
      <c r="X5" s="24">
        <f t="shared" si="1"/>
        <v>44836</v>
      </c>
      <c r="Y5" s="24">
        <f t="shared" si="1"/>
        <v>44867</v>
      </c>
      <c r="Z5" s="24">
        <f t="shared" si="1"/>
        <v>44898</v>
      </c>
      <c r="AA5" s="24">
        <f t="shared" si="1"/>
        <v>44929</v>
      </c>
      <c r="AB5" s="24">
        <f t="shared" si="1"/>
        <v>44960</v>
      </c>
      <c r="AC5" s="24">
        <f t="shared" si="1"/>
        <v>44991</v>
      </c>
      <c r="AD5" s="24">
        <f t="shared" si="1"/>
        <v>45022</v>
      </c>
      <c r="AE5" s="24">
        <f t="shared" si="1"/>
        <v>45053</v>
      </c>
      <c r="AF5" s="24">
        <f t="shared" si="1"/>
        <v>45084</v>
      </c>
      <c r="AG5" s="24">
        <f t="shared" si="1"/>
        <v>45115</v>
      </c>
      <c r="AH5" s="24" t="s">
        <v>14</v>
      </c>
      <c r="AL5" s="25" t="s">
        <v>15</v>
      </c>
      <c r="AM5" s="26" t="s">
        <v>16</v>
      </c>
      <c r="AN5" s="25" t="s">
        <v>15</v>
      </c>
      <c r="AO5" s="26" t="s">
        <v>16</v>
      </c>
      <c r="AP5" s="25" t="s">
        <v>15</v>
      </c>
      <c r="AQ5" s="26" t="s">
        <v>16</v>
      </c>
      <c r="AY5" s="1" t="s">
        <v>335</v>
      </c>
      <c r="BB5"/>
      <c r="BE5"/>
      <c r="BF5"/>
      <c r="BG5"/>
      <c r="BH5"/>
      <c r="BI5"/>
    </row>
    <row r="6" spans="1:61" ht="12" customHeight="1">
      <c r="B6" s="30" t="s">
        <v>21</v>
      </c>
      <c r="C6" s="20" t="s">
        <v>22</v>
      </c>
      <c r="D6" s="31" t="s">
        <v>23</v>
      </c>
      <c r="E6" s="31" t="s">
        <v>24</v>
      </c>
      <c r="F6" s="20"/>
      <c r="G6" s="33" t="s">
        <v>25</v>
      </c>
      <c r="H6" s="33" t="s">
        <v>25</v>
      </c>
      <c r="I6" s="33" t="s">
        <v>25</v>
      </c>
      <c r="J6" s="33" t="s">
        <v>25</v>
      </c>
      <c r="K6" s="33" t="s">
        <v>25</v>
      </c>
      <c r="L6" s="33" t="s">
        <v>25</v>
      </c>
      <c r="M6" s="33" t="s">
        <v>25</v>
      </c>
      <c r="N6" s="33" t="s">
        <v>25</v>
      </c>
      <c r="O6" s="33" t="s">
        <v>25</v>
      </c>
      <c r="P6" s="33" t="s">
        <v>25</v>
      </c>
      <c r="Q6" s="33" t="s">
        <v>25</v>
      </c>
      <c r="R6" s="33" t="s">
        <v>25</v>
      </c>
      <c r="S6" s="33" t="s">
        <v>25</v>
      </c>
      <c r="T6" s="5"/>
      <c r="U6" s="5"/>
      <c r="V6" s="34" t="s">
        <v>26</v>
      </c>
      <c r="W6" s="34" t="s">
        <v>26</v>
      </c>
      <c r="X6" s="34" t="s">
        <v>26</v>
      </c>
      <c r="Y6" s="34" t="s">
        <v>26</v>
      </c>
      <c r="Z6" s="34" t="s">
        <v>26</v>
      </c>
      <c r="AA6" s="34" t="s">
        <v>26</v>
      </c>
      <c r="AB6" s="34" t="s">
        <v>26</v>
      </c>
      <c r="AC6" s="34" t="s">
        <v>26</v>
      </c>
      <c r="AD6" s="34" t="s">
        <v>26</v>
      </c>
      <c r="AE6" s="34" t="s">
        <v>26</v>
      </c>
      <c r="AF6" s="34" t="s">
        <v>26</v>
      </c>
      <c r="AG6" s="34" t="s">
        <v>26</v>
      </c>
      <c r="AH6" s="34" t="s">
        <v>27</v>
      </c>
      <c r="AT6" s="35" t="s">
        <v>29</v>
      </c>
      <c r="AU6" s="36" t="s">
        <v>30</v>
      </c>
      <c r="AV6" s="36" t="s">
        <v>31</v>
      </c>
      <c r="BB6"/>
      <c r="BC6" s="509" t="s">
        <v>848</v>
      </c>
      <c r="BD6" s="509" t="s">
        <v>30</v>
      </c>
      <c r="BE6"/>
      <c r="BF6"/>
      <c r="BG6"/>
      <c r="BH6"/>
      <c r="BI6"/>
    </row>
    <row r="7" spans="1:61" ht="12" customHeight="1" thickBot="1">
      <c r="D7" s="178"/>
      <c r="E7" s="178"/>
      <c r="AH7" s="173"/>
      <c r="AK7" s="43"/>
      <c r="AL7" s="5"/>
      <c r="AM7" s="5"/>
      <c r="AN7" s="5"/>
      <c r="AO7" s="5"/>
      <c r="AP7" s="5"/>
      <c r="AQ7" s="5"/>
      <c r="AR7" s="5"/>
      <c r="AY7" s="2" t="s">
        <v>336</v>
      </c>
      <c r="BB7"/>
      <c r="BC7" s="498"/>
      <c r="BD7" s="498"/>
      <c r="BE7"/>
      <c r="BF7"/>
      <c r="BG7"/>
      <c r="BH7"/>
      <c r="BI7"/>
    </row>
    <row r="8" spans="1:61" s="5" customFormat="1" ht="12" customHeight="1">
      <c r="D8" s="177"/>
      <c r="E8" s="177"/>
      <c r="AH8" s="173"/>
      <c r="AI8" s="44"/>
      <c r="AK8" s="43"/>
      <c r="AT8" s="1"/>
      <c r="AU8" s="1"/>
      <c r="AV8" s="1"/>
      <c r="AW8" s="1"/>
      <c r="AX8" s="1"/>
      <c r="AY8" s="179" t="s">
        <v>337</v>
      </c>
      <c r="AZ8" s="180">
        <f ca="1">+AU199</f>
        <v>8823985.3656003997</v>
      </c>
      <c r="BA8" s="1"/>
      <c r="BB8"/>
      <c r="BC8" s="498"/>
      <c r="BD8" s="498"/>
      <c r="BE8"/>
      <c r="BF8"/>
      <c r="BG8"/>
      <c r="BH8"/>
      <c r="BI8"/>
    </row>
    <row r="9" spans="1:61" s="5" customFormat="1" ht="12" customHeight="1">
      <c r="D9" s="176"/>
      <c r="E9" s="176"/>
      <c r="F9" s="181"/>
      <c r="G9" s="181"/>
      <c r="AH9" s="173"/>
      <c r="AI9" s="44"/>
      <c r="AK9" s="43"/>
      <c r="AT9" s="1"/>
      <c r="AU9" s="1"/>
      <c r="AV9" s="1"/>
      <c r="AW9" s="1"/>
      <c r="AX9" s="1"/>
      <c r="AY9" s="182" t="s">
        <v>338</v>
      </c>
      <c r="AZ9" s="183">
        <f ca="1">+'LG Public - Clallam Total'!J21</f>
        <v>8784785.3727610148</v>
      </c>
      <c r="BA9" s="1"/>
      <c r="BB9"/>
      <c r="BC9" s="498"/>
      <c r="BD9" s="498"/>
      <c r="BE9"/>
      <c r="BF9"/>
      <c r="BG9"/>
      <c r="BH9"/>
      <c r="BI9"/>
    </row>
    <row r="10" spans="1:61" s="5" customFormat="1" ht="12" customHeight="1" thickBot="1">
      <c r="B10" s="184" t="s">
        <v>32</v>
      </c>
      <c r="C10" s="184" t="s">
        <v>32</v>
      </c>
      <c r="D10" s="176"/>
      <c r="E10" s="176"/>
      <c r="F10" s="181"/>
      <c r="G10" s="181"/>
      <c r="AH10" s="173"/>
      <c r="AI10" s="44"/>
      <c r="AK10" s="43"/>
      <c r="AN10" s="53"/>
      <c r="AO10" s="53"/>
      <c r="AT10" s="1"/>
      <c r="AU10" s="1"/>
      <c r="AV10" s="1"/>
      <c r="AW10" s="1"/>
      <c r="AX10" s="1"/>
      <c r="AY10" s="185" t="s">
        <v>20</v>
      </c>
      <c r="AZ10" s="186">
        <f ca="1">+AZ8-AZ9</f>
        <v>39199.992839384824</v>
      </c>
      <c r="BA10" s="1"/>
      <c r="BB10"/>
      <c r="BC10" s="498"/>
      <c r="BD10" s="498"/>
      <c r="BE10"/>
      <c r="BF10"/>
      <c r="BG10"/>
      <c r="BH10"/>
      <c r="BI10"/>
    </row>
    <row r="11" spans="1:61" s="5" customFormat="1" ht="12" customHeight="1">
      <c r="B11" s="184"/>
      <c r="C11" s="184"/>
      <c r="D11" s="176"/>
      <c r="E11" s="176"/>
      <c r="F11" s="181"/>
      <c r="G11" s="181"/>
      <c r="AH11" s="173"/>
      <c r="AI11" s="44"/>
      <c r="AK11" s="43"/>
      <c r="AN11" s="58"/>
      <c r="AO11" s="59"/>
      <c r="AT11" s="1"/>
      <c r="AU11" s="1"/>
      <c r="AV11" s="1"/>
      <c r="AW11" s="1"/>
      <c r="AX11" s="1"/>
      <c r="AY11" s="1"/>
      <c r="AZ11" s="1"/>
      <c r="BA11" s="1"/>
      <c r="BB11"/>
      <c r="BC11" s="499"/>
      <c r="BD11" s="499"/>
      <c r="BE11"/>
      <c r="BF11"/>
      <c r="BG11"/>
      <c r="BH11"/>
      <c r="BI11"/>
    </row>
    <row r="12" spans="1:61" s="5" customFormat="1" ht="12" customHeight="1">
      <c r="B12" s="187" t="s">
        <v>34</v>
      </c>
      <c r="C12" s="187" t="s">
        <v>34</v>
      </c>
      <c r="D12" s="188"/>
      <c r="E12" s="188"/>
      <c r="F12" s="189"/>
      <c r="G12" s="190"/>
      <c r="H12" s="190"/>
      <c r="I12" s="190"/>
      <c r="J12" s="43"/>
      <c r="K12" s="43"/>
      <c r="L12" s="43"/>
      <c r="M12" s="43"/>
      <c r="N12" s="43"/>
      <c r="O12" s="43"/>
      <c r="P12" s="43"/>
      <c r="Q12" s="43"/>
      <c r="R12" s="43"/>
      <c r="S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69"/>
      <c r="AI12" s="44"/>
      <c r="AK12" s="43"/>
      <c r="AN12" s="58"/>
      <c r="AO12" s="59"/>
      <c r="AR12" s="191"/>
      <c r="AT12" s="1"/>
      <c r="AU12" s="1"/>
      <c r="AV12" s="1"/>
      <c r="AW12" s="1"/>
      <c r="AX12" s="1"/>
      <c r="AY12" s="1"/>
      <c r="AZ12" s="1"/>
      <c r="BA12" s="1"/>
      <c r="BB12"/>
      <c r="BC12" s="499"/>
      <c r="BD12" s="499"/>
      <c r="BE12"/>
      <c r="BF12"/>
      <c r="BG12"/>
      <c r="BH12"/>
      <c r="BI12"/>
    </row>
    <row r="13" spans="1:61" s="19" customFormat="1" ht="12" customHeight="1">
      <c r="A13" s="71" t="str">
        <f t="shared" ref="A13:A47" si="2">"PA-C"&amp;B13</f>
        <v>PA-C20RW1</v>
      </c>
      <c r="B13" s="72" t="s">
        <v>35</v>
      </c>
      <c r="C13" s="72" t="s">
        <v>36</v>
      </c>
      <c r="D13" s="73">
        <v>16.809999999999999</v>
      </c>
      <c r="E13" s="192">
        <v>22</v>
      </c>
      <c r="F13" s="67"/>
      <c r="G13" s="75">
        <v>151.29</v>
      </c>
      <c r="H13" s="75">
        <v>151.29</v>
      </c>
      <c r="I13" s="75">
        <v>128.17999999999998</v>
      </c>
      <c r="J13" s="75">
        <v>128.16999999999999</v>
      </c>
      <c r="K13" s="75">
        <v>117.67</v>
      </c>
      <c r="L13" s="75">
        <v>117.67</v>
      </c>
      <c r="M13" s="75">
        <v>117.67</v>
      </c>
      <c r="N13" s="75">
        <v>117.67</v>
      </c>
      <c r="O13" s="75">
        <v>111.37</v>
      </c>
      <c r="P13" s="75">
        <v>102.96</v>
      </c>
      <c r="Q13" s="75">
        <v>114.51</v>
      </c>
      <c r="R13" s="75">
        <v>114.51</v>
      </c>
      <c r="S13" s="75">
        <f t="shared" ref="S13:S47" si="3">SUM(G13:R13)</f>
        <v>1472.96</v>
      </c>
      <c r="T13" s="71">
        <v>32000</v>
      </c>
      <c r="V13" s="75">
        <f t="shared" ref="V13:AG34" si="4">IFERROR(G13/$D13,0)</f>
        <v>9</v>
      </c>
      <c r="W13" s="75">
        <f t="shared" si="4"/>
        <v>9</v>
      </c>
      <c r="X13" s="75">
        <f t="shared" si="4"/>
        <v>7.6252230814991071</v>
      </c>
      <c r="Y13" s="75">
        <f t="shared" si="4"/>
        <v>7.6246281975014867</v>
      </c>
      <c r="Z13" s="75">
        <f t="shared" si="4"/>
        <v>7.0000000000000009</v>
      </c>
      <c r="AA13" s="75">
        <f t="shared" si="4"/>
        <v>7.0000000000000009</v>
      </c>
      <c r="AB13" s="75">
        <f t="shared" si="4"/>
        <v>7.0000000000000009</v>
      </c>
      <c r="AC13" s="75">
        <f t="shared" si="4"/>
        <v>7.0000000000000009</v>
      </c>
      <c r="AD13" s="75">
        <f t="shared" si="4"/>
        <v>6.6252230814991089</v>
      </c>
      <c r="AE13" s="75">
        <f t="shared" si="4"/>
        <v>6.1249256395002973</v>
      </c>
      <c r="AF13" s="75">
        <f t="shared" si="4"/>
        <v>6.8120166567519345</v>
      </c>
      <c r="AG13" s="75">
        <f t="shared" si="4"/>
        <v>6.8120166567519345</v>
      </c>
      <c r="AH13" s="75">
        <f t="shared" ref="AH13:AH47" si="5">IFERROR(AVERAGEIF(V13:AG13,"&gt;0"),0)</f>
        <v>7.302002776125323</v>
      </c>
      <c r="AI13" s="44"/>
      <c r="AJ13" s="193"/>
      <c r="AK13" s="43">
        <v>20</v>
      </c>
      <c r="AL13" s="5">
        <v>0</v>
      </c>
      <c r="AM13" s="44">
        <f>+AH13*AL13</f>
        <v>0</v>
      </c>
      <c r="AN13" s="58"/>
      <c r="AO13" s="59"/>
      <c r="AP13" s="5"/>
      <c r="AQ13" s="5"/>
      <c r="AR13" s="5"/>
      <c r="AS13" s="194">
        <v>18.5</v>
      </c>
      <c r="AT13" s="195">
        <f ca="1">+AS13*(1+$AZ$2)</f>
        <v>20.551272101286965</v>
      </c>
      <c r="AU13" s="80">
        <f ca="1">+AT13*AH13*12</f>
        <v>1800.7853512380518</v>
      </c>
      <c r="AV13" s="80">
        <f ca="1">+AU13-S13</f>
        <v>327.82535123805178</v>
      </c>
      <c r="AW13" s="1"/>
      <c r="AX13" s="1"/>
      <c r="AY13" s="1"/>
      <c r="AZ13" s="1"/>
      <c r="BA13" s="1"/>
      <c r="BB13"/>
      <c r="BC13" s="499">
        <f ca="1">AU13*BD$2</f>
        <v>6.8747244331158868</v>
      </c>
      <c r="BD13" s="499">
        <f t="shared" ref="BD13" ca="1" si="6">+BC13+AV13</f>
        <v>334.70007567116767</v>
      </c>
      <c r="BE13"/>
      <c r="BF13"/>
      <c r="BG13"/>
      <c r="BH13"/>
      <c r="BI13"/>
    </row>
    <row r="14" spans="1:61" s="19" customFormat="1" ht="12" customHeight="1">
      <c r="A14" s="71" t="str">
        <f t="shared" si="2"/>
        <v>PA-C32RE1</v>
      </c>
      <c r="B14" s="72" t="s">
        <v>38</v>
      </c>
      <c r="C14" s="72" t="s">
        <v>39</v>
      </c>
      <c r="D14" s="73">
        <v>12.68</v>
      </c>
      <c r="E14" s="192">
        <v>22</v>
      </c>
      <c r="F14" s="67"/>
      <c r="G14" s="75">
        <v>12.68</v>
      </c>
      <c r="H14" s="75">
        <v>12.68</v>
      </c>
      <c r="I14" s="75">
        <v>12.68</v>
      </c>
      <c r="J14" s="75">
        <v>12.68</v>
      </c>
      <c r="K14" s="75">
        <v>12.68</v>
      </c>
      <c r="L14" s="75">
        <v>12.68</v>
      </c>
      <c r="M14" s="75">
        <v>12.68</v>
      </c>
      <c r="N14" s="75">
        <v>12.68</v>
      </c>
      <c r="O14" s="75">
        <v>12.68</v>
      </c>
      <c r="P14" s="75">
        <v>12.68</v>
      </c>
      <c r="Q14" s="75">
        <v>12.68</v>
      </c>
      <c r="R14" s="75">
        <v>12.68</v>
      </c>
      <c r="S14" s="75">
        <f t="shared" si="3"/>
        <v>152.16000000000003</v>
      </c>
      <c r="T14" s="71">
        <v>32000</v>
      </c>
      <c r="V14" s="75">
        <f t="shared" si="4"/>
        <v>1</v>
      </c>
      <c r="W14" s="75">
        <f t="shared" si="4"/>
        <v>1</v>
      </c>
      <c r="X14" s="75">
        <f t="shared" si="4"/>
        <v>1</v>
      </c>
      <c r="Y14" s="75">
        <f t="shared" si="4"/>
        <v>1</v>
      </c>
      <c r="Z14" s="75">
        <f t="shared" si="4"/>
        <v>1</v>
      </c>
      <c r="AA14" s="75">
        <f t="shared" si="4"/>
        <v>1</v>
      </c>
      <c r="AB14" s="75">
        <f t="shared" si="4"/>
        <v>1</v>
      </c>
      <c r="AC14" s="75">
        <f t="shared" si="4"/>
        <v>1</v>
      </c>
      <c r="AD14" s="75">
        <f t="shared" si="4"/>
        <v>1</v>
      </c>
      <c r="AE14" s="75">
        <f t="shared" si="4"/>
        <v>1</v>
      </c>
      <c r="AF14" s="75">
        <f t="shared" si="4"/>
        <v>1</v>
      </c>
      <c r="AG14" s="75">
        <f t="shared" si="4"/>
        <v>1</v>
      </c>
      <c r="AH14" s="75">
        <f t="shared" si="5"/>
        <v>1</v>
      </c>
      <c r="AI14" s="44"/>
      <c r="AJ14" s="193"/>
      <c r="AK14" s="43">
        <v>32</v>
      </c>
      <c r="AL14" s="5">
        <v>0</v>
      </c>
      <c r="AM14" s="44">
        <f>+AH14*AL14</f>
        <v>0</v>
      </c>
      <c r="AN14" s="58"/>
      <c r="AO14" s="53"/>
      <c r="AP14" s="5"/>
      <c r="AQ14" s="5"/>
      <c r="AR14" s="196">
        <f>-AH14</f>
        <v>-1</v>
      </c>
      <c r="AS14" s="194">
        <v>14.12</v>
      </c>
      <c r="AT14" s="195">
        <f t="shared" ref="AT14:AT47" ca="1" si="7">+AS14*(1+$AZ$2)</f>
        <v>15.685619571360645</v>
      </c>
      <c r="AU14" s="80">
        <f ca="1">+AT14*(AH14+AR14)*12</f>
        <v>0</v>
      </c>
      <c r="AV14" s="80">
        <f t="shared" ref="AV14:AV47" ca="1" si="8">+AU14-S14</f>
        <v>-152.16000000000003</v>
      </c>
      <c r="AW14" s="1"/>
      <c r="AX14" s="1"/>
      <c r="AY14" s="1"/>
      <c r="AZ14" s="1"/>
      <c r="BA14" s="1"/>
      <c r="BB14"/>
      <c r="BC14" s="499">
        <f t="shared" ref="BC14:BC46" ca="1" si="9">AU14*BD$2</f>
        <v>0</v>
      </c>
      <c r="BD14" s="499">
        <f t="shared" ref="BD14:BD47" ca="1" si="10">+BC14+AV14</f>
        <v>-152.16000000000003</v>
      </c>
      <c r="BE14"/>
      <c r="BF14"/>
      <c r="BG14"/>
      <c r="BH14"/>
      <c r="BI14"/>
    </row>
    <row r="15" spans="1:61" s="19" customFormat="1" ht="12" customHeight="1">
      <c r="A15" s="71" t="str">
        <f t="shared" si="2"/>
        <v>PA-C35RW1</v>
      </c>
      <c r="B15" s="72" t="s">
        <v>46</v>
      </c>
      <c r="C15" s="72" t="s">
        <v>47</v>
      </c>
      <c r="D15" s="73">
        <v>24.35</v>
      </c>
      <c r="E15" s="192">
        <v>22</v>
      </c>
      <c r="F15" s="67"/>
      <c r="G15" s="75">
        <v>37450.239999999998</v>
      </c>
      <c r="H15" s="75">
        <v>37584.159999999996</v>
      </c>
      <c r="I15" s="75">
        <v>36594.94</v>
      </c>
      <c r="J15" s="75">
        <v>36801.9</v>
      </c>
      <c r="K15" s="75">
        <v>36080.550000000003</v>
      </c>
      <c r="L15" s="75">
        <v>36378.74</v>
      </c>
      <c r="M15" s="75">
        <v>36485.14</v>
      </c>
      <c r="N15" s="75">
        <v>36935.5</v>
      </c>
      <c r="O15" s="75">
        <v>36028.79</v>
      </c>
      <c r="P15" s="75">
        <v>36326.93</v>
      </c>
      <c r="Q15" s="75">
        <v>36199.230000000003</v>
      </c>
      <c r="R15" s="75">
        <v>36424.450000000004</v>
      </c>
      <c r="S15" s="75">
        <f t="shared" si="3"/>
        <v>439290.56999999995</v>
      </c>
      <c r="T15" s="71">
        <v>32000</v>
      </c>
      <c r="V15" s="75">
        <f t="shared" si="4"/>
        <v>1537.9975359342914</v>
      </c>
      <c r="W15" s="75">
        <f t="shared" si="4"/>
        <v>1543.4973305954823</v>
      </c>
      <c r="X15" s="75">
        <f t="shared" si="4"/>
        <v>1502.8722792607803</v>
      </c>
      <c r="Y15" s="75">
        <f t="shared" si="4"/>
        <v>1511.3716632443532</v>
      </c>
      <c r="Z15" s="75">
        <f t="shared" si="4"/>
        <v>1481.7474332648871</v>
      </c>
      <c r="AA15" s="75">
        <f t="shared" si="4"/>
        <v>1493.9934291581108</v>
      </c>
      <c r="AB15" s="75">
        <f t="shared" si="4"/>
        <v>1498.3630390143735</v>
      </c>
      <c r="AC15" s="75">
        <f t="shared" si="4"/>
        <v>1516.8583162217658</v>
      </c>
      <c r="AD15" s="75">
        <f t="shared" si="4"/>
        <v>1479.6217659137576</v>
      </c>
      <c r="AE15" s="75">
        <f t="shared" si="4"/>
        <v>1491.865708418891</v>
      </c>
      <c r="AF15" s="75">
        <f t="shared" si="4"/>
        <v>1486.6213552361396</v>
      </c>
      <c r="AG15" s="75">
        <f t="shared" si="4"/>
        <v>1495.8706365503081</v>
      </c>
      <c r="AH15" s="75">
        <f t="shared" si="5"/>
        <v>1503.3900410677618</v>
      </c>
      <c r="AI15" s="44"/>
      <c r="AJ15" s="193"/>
      <c r="AK15" s="43">
        <v>35</v>
      </c>
      <c r="AL15" s="5">
        <v>1</v>
      </c>
      <c r="AM15" s="44">
        <f>+AH15*AL15</f>
        <v>1503.3900410677618</v>
      </c>
      <c r="AN15" s="58"/>
      <c r="AO15" s="59"/>
      <c r="AP15" s="5"/>
      <c r="AQ15" s="5"/>
      <c r="AR15" s="5"/>
      <c r="AS15" s="194">
        <v>27.48</v>
      </c>
      <c r="AT15" s="195">
        <f t="shared" ca="1" si="7"/>
        <v>30.526970667208964</v>
      </c>
      <c r="AU15" s="80">
        <f t="shared" ref="AU15:AU47" ca="1" si="11">+AT15*AH15*12</f>
        <v>550727.32422059565</v>
      </c>
      <c r="AV15" s="80">
        <f t="shared" ca="1" si="8"/>
        <v>111436.7542205957</v>
      </c>
      <c r="AW15" s="1"/>
      <c r="AX15" s="1"/>
      <c r="AY15" s="1"/>
      <c r="AZ15" s="1"/>
      <c r="BA15" s="1"/>
      <c r="BB15"/>
      <c r="BC15" s="499">
        <f t="shared" ca="1" si="9"/>
        <v>2102.4707854275334</v>
      </c>
      <c r="BD15" s="499">
        <f t="shared" ca="1" si="10"/>
        <v>113539.22500602323</v>
      </c>
      <c r="BE15"/>
      <c r="BF15"/>
      <c r="BG15"/>
      <c r="BH15"/>
      <c r="BI15"/>
    </row>
    <row r="16" spans="1:61" s="19" customFormat="1" ht="12" customHeight="1">
      <c r="A16" s="71" t="str">
        <f t="shared" si="2"/>
        <v>PA-C96RW1</v>
      </c>
      <c r="B16" s="72" t="s">
        <v>49</v>
      </c>
      <c r="C16" s="72" t="s">
        <v>50</v>
      </c>
      <c r="D16" s="73">
        <v>41.3</v>
      </c>
      <c r="E16" s="192">
        <v>22</v>
      </c>
      <c r="F16" s="67"/>
      <c r="G16" s="75">
        <v>49048.840000000004</v>
      </c>
      <c r="H16" s="75">
        <v>50039.990000000005</v>
      </c>
      <c r="I16" s="75">
        <v>49952.3</v>
      </c>
      <c r="J16" s="75">
        <v>50788.56</v>
      </c>
      <c r="K16" s="75">
        <v>49673.49</v>
      </c>
      <c r="L16" s="75">
        <v>50416.799999999996</v>
      </c>
      <c r="M16" s="75">
        <v>50458.2</v>
      </c>
      <c r="N16" s="75">
        <v>51377.04</v>
      </c>
      <c r="O16" s="75">
        <v>52404.46</v>
      </c>
      <c r="P16" s="75">
        <v>53178.78</v>
      </c>
      <c r="Q16" s="75">
        <v>54231.97</v>
      </c>
      <c r="R16" s="75">
        <v>55594.659999999996</v>
      </c>
      <c r="S16" s="75">
        <f t="shared" si="3"/>
        <v>617165.09</v>
      </c>
      <c r="T16" s="71">
        <v>32000</v>
      </c>
      <c r="V16" s="75">
        <f t="shared" si="4"/>
        <v>1187.6232445520584</v>
      </c>
      <c r="W16" s="75">
        <f t="shared" si="4"/>
        <v>1211.6220338983053</v>
      </c>
      <c r="X16" s="75">
        <f t="shared" si="4"/>
        <v>1209.4987893462471</v>
      </c>
      <c r="Y16" s="75">
        <f t="shared" si="4"/>
        <v>1229.747215496368</v>
      </c>
      <c r="Z16" s="75">
        <f t="shared" si="4"/>
        <v>1202.7479418886198</v>
      </c>
      <c r="AA16" s="75">
        <f t="shared" si="4"/>
        <v>1220.7457627118645</v>
      </c>
      <c r="AB16" s="75">
        <f t="shared" si="4"/>
        <v>1221.7481840193705</v>
      </c>
      <c r="AC16" s="75">
        <f t="shared" si="4"/>
        <v>1243.9961259079905</v>
      </c>
      <c r="AD16" s="75">
        <f t="shared" si="4"/>
        <v>1268.873123486683</v>
      </c>
      <c r="AE16" s="75">
        <f t="shared" si="4"/>
        <v>1287.6217917675544</v>
      </c>
      <c r="AF16" s="75">
        <f t="shared" si="4"/>
        <v>1313.1227602905569</v>
      </c>
      <c r="AG16" s="75">
        <f t="shared" si="4"/>
        <v>1346.1176755447941</v>
      </c>
      <c r="AH16" s="75">
        <f t="shared" si="5"/>
        <v>1245.2887207425345</v>
      </c>
      <c r="AI16" s="44"/>
      <c r="AJ16" s="193"/>
      <c r="AK16" s="43">
        <v>96</v>
      </c>
      <c r="AL16" s="5">
        <v>1</v>
      </c>
      <c r="AM16" s="44">
        <f>+AH16*AL16</f>
        <v>1245.2887207425345</v>
      </c>
      <c r="AN16" s="58"/>
      <c r="AO16" s="59"/>
      <c r="AP16" s="5"/>
      <c r="AQ16" s="5"/>
      <c r="AR16" s="5"/>
      <c r="AS16" s="194">
        <v>47.05</v>
      </c>
      <c r="AT16" s="195">
        <f t="shared" ca="1" si="7"/>
        <v>52.266883911651441</v>
      </c>
      <c r="AU16" s="80">
        <f t="shared" ca="1" si="11"/>
        <v>781048.33204246778</v>
      </c>
      <c r="AV16" s="80">
        <f t="shared" ca="1" si="8"/>
        <v>163883.24204246781</v>
      </c>
      <c r="AW16" s="1"/>
      <c r="AX16" s="1"/>
      <c r="AY16" s="1"/>
      <c r="AZ16" s="1"/>
      <c r="BA16" s="1"/>
      <c r="BB16"/>
      <c r="BC16" s="499">
        <f t="shared" ca="1" si="9"/>
        <v>2981.7501836324923</v>
      </c>
      <c r="BD16" s="499">
        <f t="shared" ca="1" si="10"/>
        <v>166864.99222610029</v>
      </c>
      <c r="BE16"/>
      <c r="BF16"/>
      <c r="BG16"/>
      <c r="BH16"/>
      <c r="BI16"/>
    </row>
    <row r="17" spans="1:61" s="5" customFormat="1" ht="12" customHeight="1">
      <c r="A17" s="5" t="str">
        <f t="shared" si="2"/>
        <v>PA-CCARRYRE</v>
      </c>
      <c r="B17" s="48" t="s">
        <v>52</v>
      </c>
      <c r="C17" s="48" t="s">
        <v>53</v>
      </c>
      <c r="D17" s="73">
        <v>0.82499999999999996</v>
      </c>
      <c r="E17" s="192">
        <v>19</v>
      </c>
      <c r="F17" s="67"/>
      <c r="G17" s="68">
        <v>1.65</v>
      </c>
      <c r="H17" s="68">
        <v>1.65</v>
      </c>
      <c r="I17" s="68">
        <v>1.65</v>
      </c>
      <c r="J17" s="68">
        <v>1.65</v>
      </c>
      <c r="K17" s="68">
        <v>1.65</v>
      </c>
      <c r="L17" s="68">
        <v>1.65</v>
      </c>
      <c r="M17" s="68">
        <v>1.65</v>
      </c>
      <c r="N17" s="68">
        <v>1.65</v>
      </c>
      <c r="O17" s="68">
        <v>1.65</v>
      </c>
      <c r="P17" s="68">
        <v>1.65</v>
      </c>
      <c r="Q17" s="68">
        <v>1.65</v>
      </c>
      <c r="R17" s="68">
        <v>1.65</v>
      </c>
      <c r="S17" s="68">
        <f t="shared" si="3"/>
        <v>19.799999999999997</v>
      </c>
      <c r="T17" s="5">
        <v>32001</v>
      </c>
      <c r="V17" s="69">
        <f t="shared" si="4"/>
        <v>2</v>
      </c>
      <c r="W17" s="69">
        <f t="shared" si="4"/>
        <v>2</v>
      </c>
      <c r="X17" s="69">
        <f t="shared" si="4"/>
        <v>2</v>
      </c>
      <c r="Y17" s="69">
        <f t="shared" si="4"/>
        <v>2</v>
      </c>
      <c r="Z17" s="69">
        <f t="shared" si="4"/>
        <v>2</v>
      </c>
      <c r="AA17" s="69">
        <f t="shared" si="4"/>
        <v>2</v>
      </c>
      <c r="AB17" s="69">
        <f t="shared" si="4"/>
        <v>2</v>
      </c>
      <c r="AC17" s="69">
        <f t="shared" si="4"/>
        <v>2</v>
      </c>
      <c r="AD17" s="69">
        <f t="shared" si="4"/>
        <v>2</v>
      </c>
      <c r="AE17" s="69">
        <f t="shared" si="4"/>
        <v>2</v>
      </c>
      <c r="AF17" s="69">
        <f t="shared" si="4"/>
        <v>2</v>
      </c>
      <c r="AG17" s="69">
        <f t="shared" si="4"/>
        <v>2</v>
      </c>
      <c r="AH17" s="68">
        <f t="shared" si="5"/>
        <v>2</v>
      </c>
      <c r="AI17" s="44"/>
      <c r="AJ17" s="193"/>
      <c r="AK17" s="43"/>
      <c r="AN17" s="58"/>
      <c r="AO17" s="59"/>
      <c r="AS17" s="197">
        <v>0.82499999999999996</v>
      </c>
      <c r="AT17" s="195">
        <f t="shared" ca="1" si="7"/>
        <v>0.91647564776009438</v>
      </c>
      <c r="AU17" s="80">
        <f t="shared" ca="1" si="11"/>
        <v>21.995415546242263</v>
      </c>
      <c r="AV17" s="80">
        <f t="shared" ca="1" si="8"/>
        <v>2.1954155462422662</v>
      </c>
      <c r="AW17" s="1"/>
      <c r="AX17" s="1"/>
      <c r="AY17" s="1"/>
      <c r="AZ17" s="1"/>
      <c r="BA17" s="1"/>
      <c r="BB17"/>
      <c r="BC17" s="499">
        <f t="shared" ca="1" si="9"/>
        <v>8.3970263623218147E-2</v>
      </c>
      <c r="BD17" s="499">
        <f t="shared" ca="1" si="10"/>
        <v>2.2793858098654844</v>
      </c>
      <c r="BE17"/>
      <c r="BF17"/>
      <c r="BG17"/>
      <c r="BH17"/>
      <c r="BI17"/>
    </row>
    <row r="18" spans="1:61" s="5" customFormat="1" ht="12" customHeight="1">
      <c r="A18" s="5" t="str">
        <f t="shared" si="2"/>
        <v>PA-CCARRYRW</v>
      </c>
      <c r="B18" s="48" t="s">
        <v>55</v>
      </c>
      <c r="C18" s="48" t="s">
        <v>56</v>
      </c>
      <c r="D18" s="73">
        <v>1.65</v>
      </c>
      <c r="E18" s="192">
        <v>19</v>
      </c>
      <c r="F18" s="67"/>
      <c r="G18" s="68">
        <v>8.15</v>
      </c>
      <c r="H18" s="68">
        <v>8.15</v>
      </c>
      <c r="I18" s="68">
        <v>8.25</v>
      </c>
      <c r="J18" s="68">
        <v>8.25</v>
      </c>
      <c r="K18" s="68">
        <v>7.43</v>
      </c>
      <c r="L18" s="68">
        <v>7.42</v>
      </c>
      <c r="M18" s="68">
        <v>7.43</v>
      </c>
      <c r="N18" s="68">
        <v>7.42</v>
      </c>
      <c r="O18" s="68">
        <v>7.43</v>
      </c>
      <c r="P18" s="68">
        <v>7.42</v>
      </c>
      <c r="Q18" s="68">
        <v>5.36</v>
      </c>
      <c r="R18" s="68">
        <v>5.36</v>
      </c>
      <c r="S18" s="68">
        <f t="shared" si="3"/>
        <v>88.070000000000007</v>
      </c>
      <c r="T18" s="5">
        <v>32001</v>
      </c>
      <c r="V18" s="69">
        <f t="shared" si="4"/>
        <v>4.9393939393939394</v>
      </c>
      <c r="W18" s="69">
        <f t="shared" si="4"/>
        <v>4.9393939393939394</v>
      </c>
      <c r="X18" s="69">
        <f t="shared" si="4"/>
        <v>5</v>
      </c>
      <c r="Y18" s="69">
        <f t="shared" si="4"/>
        <v>5</v>
      </c>
      <c r="Z18" s="69">
        <f t="shared" si="4"/>
        <v>4.5030303030303029</v>
      </c>
      <c r="AA18" s="69">
        <f t="shared" si="4"/>
        <v>4.4969696969696971</v>
      </c>
      <c r="AB18" s="69">
        <f t="shared" si="4"/>
        <v>4.5030303030303029</v>
      </c>
      <c r="AC18" s="69">
        <f t="shared" si="4"/>
        <v>4.4969696969696971</v>
      </c>
      <c r="AD18" s="69">
        <f t="shared" si="4"/>
        <v>4.5030303030303029</v>
      </c>
      <c r="AE18" s="69">
        <f t="shared" si="4"/>
        <v>4.4969696969696971</v>
      </c>
      <c r="AF18" s="69">
        <f t="shared" si="4"/>
        <v>3.248484848484849</v>
      </c>
      <c r="AG18" s="69">
        <f t="shared" si="4"/>
        <v>3.248484848484849</v>
      </c>
      <c r="AH18" s="68">
        <f t="shared" si="5"/>
        <v>4.4479797979797988</v>
      </c>
      <c r="AI18" s="44"/>
      <c r="AJ18" s="193"/>
      <c r="AK18" s="43"/>
      <c r="AM18" s="44"/>
      <c r="AN18" s="58"/>
      <c r="AO18" s="59"/>
      <c r="AS18" s="197">
        <v>1.65</v>
      </c>
      <c r="AT18" s="195">
        <f t="shared" ca="1" si="7"/>
        <v>1.8329512955201888</v>
      </c>
      <c r="AU18" s="80">
        <f t="shared" ca="1" si="11"/>
        <v>97.835163997856398</v>
      </c>
      <c r="AV18" s="80">
        <f t="shared" ca="1" si="8"/>
        <v>9.7651639978563907</v>
      </c>
      <c r="AW18" s="1"/>
      <c r="AX18" s="1"/>
      <c r="AY18" s="1"/>
      <c r="AZ18" s="1"/>
      <c r="BA18" s="1"/>
      <c r="BB18"/>
      <c r="BC18" s="499">
        <f t="shared" ca="1" si="9"/>
        <v>0.37349803622711236</v>
      </c>
      <c r="BD18" s="499">
        <f t="shared" ca="1" si="10"/>
        <v>10.138662034083502</v>
      </c>
      <c r="BE18"/>
      <c r="BF18"/>
      <c r="BG18"/>
      <c r="BH18"/>
      <c r="BI18"/>
    </row>
    <row r="19" spans="1:61" s="5" customFormat="1" ht="12" customHeight="1">
      <c r="A19" s="5" t="str">
        <f t="shared" si="2"/>
        <v>PA-CEXTRAR</v>
      </c>
      <c r="B19" s="48" t="s">
        <v>57</v>
      </c>
      <c r="C19" s="48" t="s">
        <v>58</v>
      </c>
      <c r="D19" s="73">
        <v>6.96</v>
      </c>
      <c r="E19" s="192" t="s">
        <v>339</v>
      </c>
      <c r="F19" s="67"/>
      <c r="G19" s="68">
        <v>574.20000000000005</v>
      </c>
      <c r="H19" s="68">
        <v>2007.96</v>
      </c>
      <c r="I19" s="68">
        <v>344.52</v>
      </c>
      <c r="J19" s="68">
        <v>1193.6399999999999</v>
      </c>
      <c r="K19" s="68">
        <v>226.2</v>
      </c>
      <c r="L19" s="68">
        <v>1875.72</v>
      </c>
      <c r="M19" s="68">
        <v>772.56</v>
      </c>
      <c r="N19" s="68">
        <v>2373.3599999999997</v>
      </c>
      <c r="O19" s="68">
        <v>953.52</v>
      </c>
      <c r="P19" s="68">
        <v>3118.08</v>
      </c>
      <c r="Q19" s="68">
        <v>1287.5999999999999</v>
      </c>
      <c r="R19" s="68">
        <v>3403.44</v>
      </c>
      <c r="S19" s="68">
        <f t="shared" si="3"/>
        <v>18130.8</v>
      </c>
      <c r="T19" s="5">
        <v>32001</v>
      </c>
      <c r="V19" s="69">
        <f t="shared" si="4"/>
        <v>82.5</v>
      </c>
      <c r="W19" s="69">
        <f t="shared" si="4"/>
        <v>288.5</v>
      </c>
      <c r="X19" s="69">
        <f t="shared" si="4"/>
        <v>49.5</v>
      </c>
      <c r="Y19" s="69">
        <f t="shared" si="4"/>
        <v>171.49999999999997</v>
      </c>
      <c r="Z19" s="69">
        <f t="shared" si="4"/>
        <v>32.5</v>
      </c>
      <c r="AA19" s="69">
        <f t="shared" si="4"/>
        <v>269.5</v>
      </c>
      <c r="AB19" s="69">
        <f t="shared" si="4"/>
        <v>110.99999999999999</v>
      </c>
      <c r="AC19" s="69">
        <f t="shared" si="4"/>
        <v>340.99999999999994</v>
      </c>
      <c r="AD19" s="69">
        <f t="shared" si="4"/>
        <v>137</v>
      </c>
      <c r="AE19" s="69">
        <f t="shared" si="4"/>
        <v>448</v>
      </c>
      <c r="AF19" s="69">
        <f t="shared" si="4"/>
        <v>185</v>
      </c>
      <c r="AG19" s="69">
        <f t="shared" si="4"/>
        <v>489</v>
      </c>
      <c r="AH19" s="68">
        <f t="shared" si="5"/>
        <v>217.08333333333334</v>
      </c>
      <c r="AI19" s="44"/>
      <c r="AJ19" s="193"/>
      <c r="AK19" s="43"/>
      <c r="AM19" s="44"/>
      <c r="AN19" s="58"/>
      <c r="AO19" s="59"/>
      <c r="AS19" s="197">
        <v>7.62</v>
      </c>
      <c r="AT19" s="195">
        <f t="shared" ca="1" si="7"/>
        <v>8.4649023465841449</v>
      </c>
      <c r="AU19" s="80">
        <f t="shared" ca="1" si="11"/>
        <v>22051.070612851698</v>
      </c>
      <c r="AV19" s="80">
        <f t="shared" ca="1" si="8"/>
        <v>3920.2706128516984</v>
      </c>
      <c r="AW19" s="1"/>
      <c r="AX19" s="1"/>
      <c r="AY19" s="1"/>
      <c r="AZ19" s="1"/>
      <c r="BA19" s="1"/>
      <c r="BB19"/>
      <c r="BC19" s="499">
        <f t="shared" ca="1" si="9"/>
        <v>84.182733835719333</v>
      </c>
      <c r="BD19" s="499">
        <f t="shared" ca="1" si="10"/>
        <v>4004.4533466874177</v>
      </c>
      <c r="BE19"/>
      <c r="BF19"/>
      <c r="BG19"/>
      <c r="BH19"/>
      <c r="BI19"/>
    </row>
    <row r="20" spans="1:61" s="5" customFormat="1" ht="12" customHeight="1">
      <c r="A20" s="5" t="str">
        <f t="shared" si="2"/>
        <v>PA-COFOWR</v>
      </c>
      <c r="B20" s="48" t="s">
        <v>61</v>
      </c>
      <c r="C20" s="48" t="s">
        <v>62</v>
      </c>
      <c r="D20" s="73">
        <v>6.53</v>
      </c>
      <c r="E20" s="192" t="s">
        <v>340</v>
      </c>
      <c r="F20" s="67"/>
      <c r="G20" s="68">
        <v>42.449999999999996</v>
      </c>
      <c r="H20" s="68">
        <v>140.38999999999999</v>
      </c>
      <c r="I20" s="68">
        <v>29.39</v>
      </c>
      <c r="J20" s="68">
        <v>133.86000000000001</v>
      </c>
      <c r="K20" s="68">
        <v>16.330000000000002</v>
      </c>
      <c r="L20" s="68">
        <v>388.53</v>
      </c>
      <c r="M20" s="68">
        <v>202.43</v>
      </c>
      <c r="N20" s="68">
        <v>1090.51</v>
      </c>
      <c r="O20" s="68">
        <v>653</v>
      </c>
      <c r="P20" s="68">
        <v>1736.98</v>
      </c>
      <c r="Q20" s="68">
        <v>538.7299999999999</v>
      </c>
      <c r="R20" s="68">
        <v>1439.8600000000001</v>
      </c>
      <c r="S20" s="68">
        <f t="shared" si="3"/>
        <v>6412.4599999999991</v>
      </c>
      <c r="T20" s="5">
        <v>32001</v>
      </c>
      <c r="V20" s="69">
        <f t="shared" si="4"/>
        <v>6.5007656967840726</v>
      </c>
      <c r="W20" s="69">
        <f t="shared" si="4"/>
        <v>21.499234303215925</v>
      </c>
      <c r="X20" s="69">
        <f t="shared" si="4"/>
        <v>4.5007656967840735</v>
      </c>
      <c r="Y20" s="69">
        <f t="shared" si="4"/>
        <v>20.499234303215928</v>
      </c>
      <c r="Z20" s="69">
        <f t="shared" si="4"/>
        <v>2.5007656967840739</v>
      </c>
      <c r="AA20" s="69">
        <f t="shared" si="4"/>
        <v>59.499234303215921</v>
      </c>
      <c r="AB20" s="69">
        <f t="shared" si="4"/>
        <v>31</v>
      </c>
      <c r="AC20" s="69">
        <f t="shared" si="4"/>
        <v>167</v>
      </c>
      <c r="AD20" s="69">
        <f t="shared" si="4"/>
        <v>100</v>
      </c>
      <c r="AE20" s="69">
        <f t="shared" si="4"/>
        <v>266</v>
      </c>
      <c r="AF20" s="69">
        <f t="shared" si="4"/>
        <v>82.500765696784057</v>
      </c>
      <c r="AG20" s="69">
        <f t="shared" si="4"/>
        <v>220.49923430321593</v>
      </c>
      <c r="AH20" s="68">
        <f t="shared" si="5"/>
        <v>81.833333333333329</v>
      </c>
      <c r="AI20" s="44"/>
      <c r="AJ20" s="193"/>
      <c r="AK20" s="43"/>
      <c r="AM20" s="44"/>
      <c r="AN20" s="58"/>
      <c r="AO20" s="59"/>
      <c r="AS20" s="197">
        <v>7.13</v>
      </c>
      <c r="AT20" s="195">
        <f t="shared" ca="1" si="7"/>
        <v>7.9205713557933004</v>
      </c>
      <c r="AU20" s="80">
        <f t="shared" ca="1" si="11"/>
        <v>7778.0010713890206</v>
      </c>
      <c r="AV20" s="80">
        <f t="shared" ca="1" si="8"/>
        <v>1365.5410713890215</v>
      </c>
      <c r="AW20" s="1"/>
      <c r="AX20" s="1"/>
      <c r="AY20" s="1"/>
      <c r="AZ20" s="1"/>
      <c r="BA20" s="1"/>
      <c r="BB20"/>
      <c r="BC20" s="499">
        <f t="shared" ca="1" si="9"/>
        <v>29.693496767683918</v>
      </c>
      <c r="BD20" s="499">
        <f t="shared" ca="1" si="10"/>
        <v>1395.2345681567053</v>
      </c>
      <c r="BE20"/>
      <c r="BF20"/>
      <c r="BG20"/>
      <c r="BH20"/>
      <c r="BI20"/>
    </row>
    <row r="21" spans="1:61" s="5" customFormat="1" ht="12" customHeight="1">
      <c r="A21" s="5" t="str">
        <f t="shared" si="2"/>
        <v>PA-CRDELCART</v>
      </c>
      <c r="B21" s="48" t="s">
        <v>64</v>
      </c>
      <c r="C21" s="48" t="s">
        <v>65</v>
      </c>
      <c r="D21" s="73">
        <v>20.51</v>
      </c>
      <c r="E21" s="192">
        <v>15</v>
      </c>
      <c r="F21" s="67"/>
      <c r="G21" s="68">
        <v>92.300000000000011</v>
      </c>
      <c r="H21" s="68">
        <v>728.09999999999991</v>
      </c>
      <c r="I21" s="68">
        <v>102.55</v>
      </c>
      <c r="J21" s="68">
        <v>635.80999999999995</v>
      </c>
      <c r="K21" s="68">
        <v>82.04</v>
      </c>
      <c r="L21" s="68">
        <v>922.94999999999993</v>
      </c>
      <c r="M21" s="68">
        <v>92.300000000000011</v>
      </c>
      <c r="N21" s="68">
        <v>1486.97</v>
      </c>
      <c r="O21" s="68">
        <v>492.24</v>
      </c>
      <c r="P21" s="68">
        <v>2009.98</v>
      </c>
      <c r="Q21" s="68">
        <v>235.87</v>
      </c>
      <c r="R21" s="68">
        <v>810.14</v>
      </c>
      <c r="S21" s="68">
        <f t="shared" si="3"/>
        <v>7691.25</v>
      </c>
      <c r="T21" s="5">
        <v>32000</v>
      </c>
      <c r="V21" s="69">
        <f t="shared" si="4"/>
        <v>4.5002437835202347</v>
      </c>
      <c r="W21" s="69">
        <f t="shared" si="4"/>
        <v>35.49975621647976</v>
      </c>
      <c r="X21" s="69">
        <f t="shared" si="4"/>
        <v>4.9999999999999991</v>
      </c>
      <c r="Y21" s="69">
        <f t="shared" si="4"/>
        <v>30.999999999999996</v>
      </c>
      <c r="Z21" s="69">
        <f t="shared" si="4"/>
        <v>4</v>
      </c>
      <c r="AA21" s="69">
        <f t="shared" si="4"/>
        <v>44.999999999999993</v>
      </c>
      <c r="AB21" s="69">
        <f t="shared" si="4"/>
        <v>4.5002437835202347</v>
      </c>
      <c r="AC21" s="69">
        <f t="shared" si="4"/>
        <v>72.499756216479767</v>
      </c>
      <c r="AD21" s="69">
        <f t="shared" si="4"/>
        <v>24</v>
      </c>
      <c r="AE21" s="69">
        <f t="shared" si="4"/>
        <v>98</v>
      </c>
      <c r="AF21" s="69">
        <f t="shared" si="4"/>
        <v>11.500243783520233</v>
      </c>
      <c r="AG21" s="69">
        <f t="shared" si="4"/>
        <v>39.49975621647976</v>
      </c>
      <c r="AH21" s="68">
        <f t="shared" si="5"/>
        <v>31.249999999999996</v>
      </c>
      <c r="AI21" s="44"/>
      <c r="AJ21" s="193"/>
      <c r="AK21" s="43"/>
      <c r="AN21" s="58"/>
      <c r="AO21" s="59"/>
      <c r="AS21" s="197">
        <v>20.51</v>
      </c>
      <c r="AT21" s="195">
        <f t="shared" ca="1" si="7"/>
        <v>22.784140043102472</v>
      </c>
      <c r="AU21" s="80">
        <f t="shared" ca="1" si="11"/>
        <v>8544.0525161634268</v>
      </c>
      <c r="AV21" s="80">
        <f t="shared" ca="1" si="8"/>
        <v>852.80251616342684</v>
      </c>
      <c r="AW21" s="1"/>
      <c r="AX21" s="1"/>
      <c r="AY21" s="1"/>
      <c r="AZ21" s="1"/>
      <c r="BA21" s="1"/>
      <c r="BB21"/>
      <c r="BC21" s="499">
        <f t="shared" ca="1" si="9"/>
        <v>32.617994449094788</v>
      </c>
      <c r="BD21" s="499">
        <f t="shared" ca="1" si="10"/>
        <v>885.42051061252164</v>
      </c>
      <c r="BE21"/>
      <c r="BF21"/>
      <c r="BG21"/>
      <c r="BH21"/>
      <c r="BI21"/>
    </row>
    <row r="22" spans="1:61" s="5" customFormat="1" ht="12" customHeight="1">
      <c r="A22" s="5" t="str">
        <f t="shared" si="2"/>
        <v>PA-CRESTART</v>
      </c>
      <c r="B22" s="48" t="s">
        <v>67</v>
      </c>
      <c r="C22" s="48" t="s">
        <v>68</v>
      </c>
      <c r="D22" s="73">
        <v>10.25</v>
      </c>
      <c r="E22" s="192">
        <v>15</v>
      </c>
      <c r="F22" s="67"/>
      <c r="G22" s="68">
        <v>138.38</v>
      </c>
      <c r="H22" s="68">
        <v>527.87</v>
      </c>
      <c r="I22" s="68">
        <v>107.63000000000001</v>
      </c>
      <c r="J22" s="68">
        <v>363.87</v>
      </c>
      <c r="K22" s="68">
        <v>184.5</v>
      </c>
      <c r="L22" s="68">
        <v>666.25</v>
      </c>
      <c r="M22" s="68">
        <v>87.13</v>
      </c>
      <c r="N22" s="68">
        <v>640.62</v>
      </c>
      <c r="O22" s="68">
        <v>82</v>
      </c>
      <c r="P22" s="68">
        <v>348.5</v>
      </c>
      <c r="Q22" s="68">
        <v>143.5</v>
      </c>
      <c r="R22" s="68">
        <v>451</v>
      </c>
      <c r="S22" s="68">
        <f t="shared" si="3"/>
        <v>3741.25</v>
      </c>
      <c r="T22" s="5">
        <v>32000</v>
      </c>
      <c r="V22" s="69">
        <f t="shared" si="4"/>
        <v>13.500487804878048</v>
      </c>
      <c r="W22" s="69">
        <f t="shared" si="4"/>
        <v>51.499512195121952</v>
      </c>
      <c r="X22" s="69">
        <f t="shared" si="4"/>
        <v>10.50048780487805</v>
      </c>
      <c r="Y22" s="69">
        <f t="shared" si="4"/>
        <v>35.499512195121952</v>
      </c>
      <c r="Z22" s="69">
        <f t="shared" si="4"/>
        <v>18</v>
      </c>
      <c r="AA22" s="69">
        <f t="shared" si="4"/>
        <v>65</v>
      </c>
      <c r="AB22" s="69">
        <f t="shared" si="4"/>
        <v>8.5004878048780483</v>
      </c>
      <c r="AC22" s="69">
        <f t="shared" si="4"/>
        <v>62.499512195121952</v>
      </c>
      <c r="AD22" s="69">
        <f t="shared" si="4"/>
        <v>8</v>
      </c>
      <c r="AE22" s="69">
        <f t="shared" si="4"/>
        <v>34</v>
      </c>
      <c r="AF22" s="69">
        <f t="shared" si="4"/>
        <v>14</v>
      </c>
      <c r="AG22" s="69">
        <f t="shared" si="4"/>
        <v>44</v>
      </c>
      <c r="AH22" s="68">
        <f t="shared" si="5"/>
        <v>30.416666666666668</v>
      </c>
      <c r="AI22" s="44"/>
      <c r="AJ22" s="193"/>
      <c r="AK22" s="43"/>
      <c r="AN22" s="58"/>
      <c r="AO22" s="59"/>
      <c r="AS22" s="197">
        <v>10.25</v>
      </c>
      <c r="AT22" s="195">
        <f t="shared" ca="1" si="7"/>
        <v>11.386515623686021</v>
      </c>
      <c r="AU22" s="80">
        <f t="shared" ca="1" si="11"/>
        <v>4156.0782026453981</v>
      </c>
      <c r="AV22" s="80">
        <f t="shared" ca="1" si="8"/>
        <v>414.82820264539805</v>
      </c>
      <c r="AW22" s="1"/>
      <c r="AX22" s="1"/>
      <c r="AY22" s="1"/>
      <c r="AZ22" s="1"/>
      <c r="BA22" s="1"/>
      <c r="BB22"/>
      <c r="BC22" s="499">
        <f t="shared" ca="1" si="9"/>
        <v>15.86635094850328</v>
      </c>
      <c r="BD22" s="499">
        <f t="shared" ca="1" si="10"/>
        <v>430.69455359390133</v>
      </c>
      <c r="BE22"/>
      <c r="BF22"/>
      <c r="BG22"/>
      <c r="BH22"/>
      <c r="BI22"/>
    </row>
    <row r="23" spans="1:61" s="5" customFormat="1" ht="12" customHeight="1">
      <c r="A23" s="5" t="str">
        <f t="shared" si="2"/>
        <v>PA-CTRIPRCANS</v>
      </c>
      <c r="B23" s="48" t="s">
        <v>70</v>
      </c>
      <c r="C23" s="48" t="s">
        <v>71</v>
      </c>
      <c r="D23" s="73">
        <v>6.17</v>
      </c>
      <c r="E23" s="192">
        <v>17</v>
      </c>
      <c r="F23" s="67"/>
      <c r="G23" s="68">
        <v>9.26</v>
      </c>
      <c r="H23" s="68">
        <v>21.59</v>
      </c>
      <c r="I23" s="68">
        <v>6.17</v>
      </c>
      <c r="J23" s="68">
        <v>37.020000000000003</v>
      </c>
      <c r="K23" s="68">
        <v>18.510000000000002</v>
      </c>
      <c r="L23" s="68">
        <v>43.19</v>
      </c>
      <c r="M23" s="68">
        <v>18.510000000000002</v>
      </c>
      <c r="N23" s="68">
        <v>80.210000000000008</v>
      </c>
      <c r="O23" s="68">
        <v>12.34</v>
      </c>
      <c r="P23" s="68">
        <v>43.19</v>
      </c>
      <c r="Q23" s="68">
        <v>30.85</v>
      </c>
      <c r="R23" s="68">
        <v>67.87</v>
      </c>
      <c r="S23" s="68">
        <f t="shared" si="3"/>
        <v>388.71000000000004</v>
      </c>
      <c r="T23" s="5">
        <v>32001</v>
      </c>
      <c r="V23" s="69">
        <f t="shared" si="4"/>
        <v>1.5008103727714748</v>
      </c>
      <c r="W23" s="69">
        <f t="shared" si="4"/>
        <v>3.499189627228525</v>
      </c>
      <c r="X23" s="69">
        <f t="shared" si="4"/>
        <v>1</v>
      </c>
      <c r="Y23" s="69">
        <f t="shared" si="4"/>
        <v>6.0000000000000009</v>
      </c>
      <c r="Z23" s="69">
        <f t="shared" si="4"/>
        <v>3.0000000000000004</v>
      </c>
      <c r="AA23" s="69">
        <f t="shared" si="4"/>
        <v>7</v>
      </c>
      <c r="AB23" s="69">
        <f t="shared" si="4"/>
        <v>3.0000000000000004</v>
      </c>
      <c r="AC23" s="69">
        <f t="shared" si="4"/>
        <v>13.000000000000002</v>
      </c>
      <c r="AD23" s="69">
        <f t="shared" si="4"/>
        <v>2</v>
      </c>
      <c r="AE23" s="69">
        <f t="shared" si="4"/>
        <v>7</v>
      </c>
      <c r="AF23" s="69">
        <f t="shared" si="4"/>
        <v>5</v>
      </c>
      <c r="AG23" s="69">
        <f t="shared" si="4"/>
        <v>11</v>
      </c>
      <c r="AH23" s="68">
        <f t="shared" si="5"/>
        <v>5.25</v>
      </c>
      <c r="AI23" s="44"/>
      <c r="AJ23" s="193"/>
      <c r="AK23" s="43"/>
      <c r="AN23" s="58"/>
      <c r="AO23" s="59"/>
      <c r="AS23" s="197">
        <v>6.17</v>
      </c>
      <c r="AT23" s="195">
        <f t="shared" ca="1" si="7"/>
        <v>6.8541269656724637</v>
      </c>
      <c r="AU23" s="80">
        <f t="shared" ca="1" si="11"/>
        <v>431.80999883736524</v>
      </c>
      <c r="AV23" s="80">
        <f t="shared" ca="1" si="8"/>
        <v>43.099998837365206</v>
      </c>
      <c r="AW23" s="1"/>
      <c r="AX23" s="1"/>
      <c r="AY23" s="1"/>
      <c r="AZ23" s="1"/>
      <c r="BA23" s="1"/>
      <c r="BB23"/>
      <c r="BC23" s="499">
        <f t="shared" ca="1" si="9"/>
        <v>1.6484889481303602</v>
      </c>
      <c r="BD23" s="499">
        <f t="shared" ca="1" si="10"/>
        <v>44.748487785495563</v>
      </c>
      <c r="BE23"/>
      <c r="BF23"/>
      <c r="BG23"/>
      <c r="BH23"/>
      <c r="BI23"/>
    </row>
    <row r="24" spans="1:61" s="19" customFormat="1" ht="12" customHeight="1">
      <c r="A24" s="71" t="str">
        <f t="shared" si="2"/>
        <v>PA-C60RW1</v>
      </c>
      <c r="B24" s="72" t="s">
        <v>73</v>
      </c>
      <c r="C24" s="72" t="s">
        <v>74</v>
      </c>
      <c r="D24" s="73">
        <v>31.75</v>
      </c>
      <c r="E24" s="192">
        <v>22</v>
      </c>
      <c r="F24" s="67"/>
      <c r="G24" s="75">
        <v>111303.39</v>
      </c>
      <c r="H24" s="75">
        <v>112483.23000000001</v>
      </c>
      <c r="I24" s="75">
        <v>111061.34</v>
      </c>
      <c r="J24" s="75">
        <v>111347.04000000001</v>
      </c>
      <c r="K24" s="75">
        <v>109476.88</v>
      </c>
      <c r="L24" s="75">
        <v>109929.24</v>
      </c>
      <c r="M24" s="75">
        <v>108845.81</v>
      </c>
      <c r="N24" s="75">
        <v>109561.79999999999</v>
      </c>
      <c r="O24" s="75">
        <v>110118.18</v>
      </c>
      <c r="P24" s="75">
        <v>111816.56</v>
      </c>
      <c r="Q24" s="75">
        <v>111966.72</v>
      </c>
      <c r="R24" s="75">
        <v>113371.39</v>
      </c>
      <c r="S24" s="75">
        <f t="shared" si="3"/>
        <v>1331281.5799999998</v>
      </c>
      <c r="T24" s="71">
        <v>32000</v>
      </c>
      <c r="V24" s="75">
        <f t="shared" si="4"/>
        <v>3505.6185826771653</v>
      </c>
      <c r="W24" s="75">
        <f t="shared" si="4"/>
        <v>3542.7788976377956</v>
      </c>
      <c r="X24" s="75">
        <f t="shared" si="4"/>
        <v>3497.994960629921</v>
      </c>
      <c r="Y24" s="75">
        <f t="shared" si="4"/>
        <v>3506.9933858267718</v>
      </c>
      <c r="Z24" s="75">
        <f t="shared" si="4"/>
        <v>3448.0907086614175</v>
      </c>
      <c r="AA24" s="75">
        <f t="shared" si="4"/>
        <v>3462.3382677165355</v>
      </c>
      <c r="AB24" s="75">
        <f t="shared" si="4"/>
        <v>3428.2144881889762</v>
      </c>
      <c r="AC24" s="75">
        <f t="shared" si="4"/>
        <v>3450.7653543307083</v>
      </c>
      <c r="AD24" s="75">
        <f t="shared" si="4"/>
        <v>3468.2891338582676</v>
      </c>
      <c r="AE24" s="75">
        <f t="shared" si="4"/>
        <v>3521.7814173228344</v>
      </c>
      <c r="AF24" s="75">
        <f t="shared" si="4"/>
        <v>3526.5108661417321</v>
      </c>
      <c r="AG24" s="75">
        <f t="shared" si="4"/>
        <v>3570.752440944882</v>
      </c>
      <c r="AH24" s="75">
        <f t="shared" si="5"/>
        <v>3494.1773753280845</v>
      </c>
      <c r="AI24" s="44"/>
      <c r="AJ24" s="193"/>
      <c r="AK24" s="43">
        <v>60</v>
      </c>
      <c r="AL24" s="5">
        <v>1</v>
      </c>
      <c r="AM24" s="44">
        <f t="shared" ref="AM24:AM32" si="12">+AH24*AL24</f>
        <v>3494.1773753280845</v>
      </c>
      <c r="AN24" s="58"/>
      <c r="AO24" s="59"/>
      <c r="AP24" s="5"/>
      <c r="AQ24" s="5"/>
      <c r="AR24" s="5"/>
      <c r="AS24" s="197">
        <v>35.729999999999997</v>
      </c>
      <c r="AT24" s="195">
        <f t="shared" ca="1" si="7"/>
        <v>39.691727144809903</v>
      </c>
      <c r="AU24" s="80">
        <f t="shared" ca="1" si="11"/>
        <v>1664279.2197250845</v>
      </c>
      <c r="AV24" s="80">
        <f t="shared" ca="1" si="8"/>
        <v>332997.63972508465</v>
      </c>
      <c r="AW24" s="1"/>
      <c r="AX24" s="1"/>
      <c r="AY24" s="1"/>
      <c r="AZ24" s="1"/>
      <c r="BA24" s="1"/>
      <c r="BB24"/>
      <c r="BC24" s="499">
        <f t="shared" ca="1" si="9"/>
        <v>6353.5951175441323</v>
      </c>
      <c r="BD24" s="499">
        <f t="shared" ca="1" si="10"/>
        <v>339351.23484262876</v>
      </c>
      <c r="BE24"/>
      <c r="BF24"/>
      <c r="BG24"/>
      <c r="BH24"/>
      <c r="BI24"/>
    </row>
    <row r="25" spans="1:61" s="19" customFormat="1" ht="12" customHeight="1">
      <c r="A25" s="71" t="str">
        <f t="shared" si="2"/>
        <v>PA-C35RE1</v>
      </c>
      <c r="B25" s="72" t="s">
        <v>75</v>
      </c>
      <c r="C25" s="72" t="s">
        <v>76</v>
      </c>
      <c r="D25" s="73">
        <v>14.05</v>
      </c>
      <c r="E25" s="192">
        <v>22</v>
      </c>
      <c r="F25" s="67"/>
      <c r="G25" s="75">
        <v>14594.400000000001</v>
      </c>
      <c r="H25" s="75">
        <v>14854.27</v>
      </c>
      <c r="I25" s="75">
        <v>14562.75</v>
      </c>
      <c r="J25" s="75">
        <v>14977.900000000001</v>
      </c>
      <c r="K25" s="75">
        <v>14485.47</v>
      </c>
      <c r="L25" s="75">
        <v>14611.929999999998</v>
      </c>
      <c r="M25" s="75">
        <v>14411.71</v>
      </c>
      <c r="N25" s="75">
        <v>14692.699999999999</v>
      </c>
      <c r="O25" s="75">
        <v>14580.28</v>
      </c>
      <c r="P25" s="75">
        <v>14882.32</v>
      </c>
      <c r="Q25" s="75">
        <v>14734.86</v>
      </c>
      <c r="R25" s="75">
        <v>14847.210000000001</v>
      </c>
      <c r="S25" s="75">
        <f t="shared" si="3"/>
        <v>176235.80000000002</v>
      </c>
      <c r="T25" s="71">
        <v>32000</v>
      </c>
      <c r="V25" s="75">
        <f t="shared" si="4"/>
        <v>1038.7473309608542</v>
      </c>
      <c r="W25" s="75">
        <f t="shared" si="4"/>
        <v>1057.2434163701068</v>
      </c>
      <c r="X25" s="75">
        <f t="shared" si="4"/>
        <v>1036.494661921708</v>
      </c>
      <c r="Y25" s="75">
        <f t="shared" si="4"/>
        <v>1066.0427046263346</v>
      </c>
      <c r="Z25" s="75">
        <f t="shared" si="4"/>
        <v>1030.9943060498219</v>
      </c>
      <c r="AA25" s="75">
        <f t="shared" si="4"/>
        <v>1039.9950177935941</v>
      </c>
      <c r="AB25" s="75">
        <f t="shared" si="4"/>
        <v>1025.7444839857651</v>
      </c>
      <c r="AC25" s="75">
        <f t="shared" si="4"/>
        <v>1045.7437722419927</v>
      </c>
      <c r="AD25" s="75">
        <f t="shared" si="4"/>
        <v>1037.7423487544484</v>
      </c>
      <c r="AE25" s="75">
        <f t="shared" si="4"/>
        <v>1059.2398576512455</v>
      </c>
      <c r="AF25" s="75">
        <f t="shared" si="4"/>
        <v>1048.7444839857651</v>
      </c>
      <c r="AG25" s="75">
        <f t="shared" si="4"/>
        <v>1056.740925266904</v>
      </c>
      <c r="AH25" s="75">
        <f t="shared" si="5"/>
        <v>1045.2894424673784</v>
      </c>
      <c r="AI25" s="44"/>
      <c r="AJ25" s="193"/>
      <c r="AK25" s="43">
        <v>35</v>
      </c>
      <c r="AL25" s="5">
        <v>1</v>
      </c>
      <c r="AM25" s="44">
        <f t="shared" si="12"/>
        <v>1045.2894424673784</v>
      </c>
      <c r="AN25" s="58"/>
      <c r="AO25" s="59"/>
      <c r="AP25" s="5"/>
      <c r="AQ25" s="5"/>
      <c r="AR25" s="196">
        <f>-AR14</f>
        <v>1</v>
      </c>
      <c r="AS25" s="197">
        <v>15.62</v>
      </c>
      <c r="AT25" s="195">
        <f t="shared" ca="1" si="7"/>
        <v>17.351938930924454</v>
      </c>
      <c r="AU25" s="80">
        <f ca="1">+AT25*(AH25+AR25)*12</f>
        <v>217861.80611717934</v>
      </c>
      <c r="AV25" s="80">
        <f t="shared" ca="1" si="8"/>
        <v>41626.00611717932</v>
      </c>
      <c r="AW25" s="1"/>
      <c r="AX25" s="1"/>
      <c r="AY25" s="1"/>
      <c r="AZ25" s="1"/>
      <c r="BA25" s="1"/>
      <c r="BB25"/>
      <c r="BC25" s="499">
        <f t="shared" ca="1" si="9"/>
        <v>831.7148296029967</v>
      </c>
      <c r="BD25" s="499">
        <f t="shared" ca="1" si="10"/>
        <v>42457.72094678232</v>
      </c>
      <c r="BE25"/>
      <c r="BF25"/>
      <c r="BG25"/>
      <c r="BH25"/>
      <c r="BI25"/>
    </row>
    <row r="26" spans="1:61" s="19" customFormat="1" ht="12" customHeight="1">
      <c r="A26" s="71" t="str">
        <f t="shared" si="2"/>
        <v>PA-C35RM1</v>
      </c>
      <c r="B26" s="72" t="s">
        <v>78</v>
      </c>
      <c r="C26" s="72" t="s">
        <v>79</v>
      </c>
      <c r="D26" s="73">
        <v>8.6</v>
      </c>
      <c r="E26" s="192">
        <v>22</v>
      </c>
      <c r="F26" s="67"/>
      <c r="G26" s="75">
        <v>1195.4000000000001</v>
      </c>
      <c r="H26" s="75">
        <v>1212.6000000000001</v>
      </c>
      <c r="I26" s="75">
        <v>1221.2</v>
      </c>
      <c r="J26" s="75">
        <v>1238.4000000000001</v>
      </c>
      <c r="K26" s="75">
        <v>1182.5</v>
      </c>
      <c r="L26" s="75">
        <v>1225.5</v>
      </c>
      <c r="M26" s="75">
        <v>1156.7</v>
      </c>
      <c r="N26" s="75">
        <v>1173.9000000000001</v>
      </c>
      <c r="O26" s="75">
        <v>1208.3</v>
      </c>
      <c r="P26" s="75">
        <v>1242.7</v>
      </c>
      <c r="Q26" s="75">
        <v>1161</v>
      </c>
      <c r="R26" s="75">
        <v>1169.5999999999999</v>
      </c>
      <c r="S26" s="75">
        <f t="shared" si="3"/>
        <v>14387.800000000001</v>
      </c>
      <c r="T26" s="71">
        <v>32000</v>
      </c>
      <c r="V26" s="75">
        <f t="shared" si="4"/>
        <v>139.00000000000003</v>
      </c>
      <c r="W26" s="75">
        <f t="shared" si="4"/>
        <v>141.00000000000003</v>
      </c>
      <c r="X26" s="75">
        <f t="shared" si="4"/>
        <v>142</v>
      </c>
      <c r="Y26" s="75">
        <f t="shared" si="4"/>
        <v>144.00000000000003</v>
      </c>
      <c r="Z26" s="75">
        <f t="shared" si="4"/>
        <v>137.5</v>
      </c>
      <c r="AA26" s="75">
        <f t="shared" si="4"/>
        <v>142.5</v>
      </c>
      <c r="AB26" s="75">
        <f t="shared" si="4"/>
        <v>134.5</v>
      </c>
      <c r="AC26" s="75">
        <f t="shared" si="4"/>
        <v>136.50000000000003</v>
      </c>
      <c r="AD26" s="75">
        <f t="shared" si="4"/>
        <v>140.5</v>
      </c>
      <c r="AE26" s="75">
        <f t="shared" si="4"/>
        <v>144.5</v>
      </c>
      <c r="AF26" s="75">
        <f t="shared" si="4"/>
        <v>135</v>
      </c>
      <c r="AG26" s="75">
        <f t="shared" si="4"/>
        <v>136</v>
      </c>
      <c r="AH26" s="75">
        <f t="shared" si="5"/>
        <v>139.41666666666669</v>
      </c>
      <c r="AI26" s="44"/>
      <c r="AJ26" s="193"/>
      <c r="AK26" s="43">
        <v>35</v>
      </c>
      <c r="AL26" s="5">
        <v>1</v>
      </c>
      <c r="AM26" s="44">
        <f t="shared" si="12"/>
        <v>139.41666666666669</v>
      </c>
      <c r="AN26" s="58"/>
      <c r="AO26" s="59"/>
      <c r="AP26" s="5"/>
      <c r="AQ26" s="5"/>
      <c r="AR26" s="5"/>
      <c r="AS26" s="197">
        <v>9.32</v>
      </c>
      <c r="AT26" s="195">
        <f t="shared" ca="1" si="7"/>
        <v>10.353397620756461</v>
      </c>
      <c r="AU26" s="80">
        <f t="shared" ca="1" si="11"/>
        <v>17321.234219525562</v>
      </c>
      <c r="AV26" s="80">
        <f t="shared" ca="1" si="8"/>
        <v>2933.4342195255613</v>
      </c>
      <c r="AW26" s="1"/>
      <c r="AX26" s="1"/>
      <c r="AY26" s="1"/>
      <c r="AZ26" s="1"/>
      <c r="BA26" s="1"/>
      <c r="BB26"/>
      <c r="BC26" s="499">
        <f t="shared" ca="1" si="9"/>
        <v>66.125988874147581</v>
      </c>
      <c r="BD26" s="499">
        <f t="shared" ca="1" si="10"/>
        <v>2999.5602083997087</v>
      </c>
      <c r="BE26"/>
      <c r="BF26"/>
      <c r="BG26"/>
      <c r="BH26"/>
      <c r="BI26"/>
    </row>
    <row r="27" spans="1:61" s="19" customFormat="1" ht="12" customHeight="1">
      <c r="A27" s="71" t="str">
        <f t="shared" si="2"/>
        <v>PA-C60RE1</v>
      </c>
      <c r="B27" s="72" t="s">
        <v>81</v>
      </c>
      <c r="C27" s="72" t="s">
        <v>82</v>
      </c>
      <c r="D27" s="73">
        <v>18.190000000000001</v>
      </c>
      <c r="E27" s="192">
        <v>22</v>
      </c>
      <c r="F27" s="67"/>
      <c r="G27" s="75">
        <v>47198.380000000005</v>
      </c>
      <c r="H27" s="75">
        <v>47925.82</v>
      </c>
      <c r="I27" s="75">
        <v>47039.21</v>
      </c>
      <c r="J27" s="75">
        <v>47175.6</v>
      </c>
      <c r="K27" s="75">
        <v>46643.6</v>
      </c>
      <c r="L27" s="75">
        <v>47098.250000000007</v>
      </c>
      <c r="M27" s="75">
        <v>46830.04</v>
      </c>
      <c r="N27" s="75">
        <v>47366.86</v>
      </c>
      <c r="O27" s="75">
        <v>47157.47</v>
      </c>
      <c r="P27" s="75">
        <v>48012.29</v>
      </c>
      <c r="Q27" s="75">
        <v>47549.670000000006</v>
      </c>
      <c r="R27" s="75">
        <v>48168.070000000007</v>
      </c>
      <c r="S27" s="75">
        <f t="shared" si="3"/>
        <v>568165.26</v>
      </c>
      <c r="T27" s="71">
        <v>32000</v>
      </c>
      <c r="V27" s="75">
        <f t="shared" si="4"/>
        <v>2594.7432655305115</v>
      </c>
      <c r="W27" s="75">
        <f t="shared" si="4"/>
        <v>2634.7344694887297</v>
      </c>
      <c r="X27" s="75">
        <f t="shared" si="4"/>
        <v>2585.9928532160525</v>
      </c>
      <c r="Y27" s="75">
        <f t="shared" si="4"/>
        <v>2593.4909290819128</v>
      </c>
      <c r="Z27" s="75">
        <f t="shared" si="4"/>
        <v>2564.2440901594282</v>
      </c>
      <c r="AA27" s="75">
        <f t="shared" si="4"/>
        <v>2589.2385926333154</v>
      </c>
      <c r="AB27" s="75">
        <f t="shared" si="4"/>
        <v>2574.4936778449696</v>
      </c>
      <c r="AC27" s="75">
        <f t="shared" si="4"/>
        <v>2604.0054975261132</v>
      </c>
      <c r="AD27" s="75">
        <f t="shared" si="4"/>
        <v>2592.4942275975809</v>
      </c>
      <c r="AE27" s="75">
        <f t="shared" si="4"/>
        <v>2639.4881803188564</v>
      </c>
      <c r="AF27" s="75">
        <f t="shared" si="4"/>
        <v>2614.055525013744</v>
      </c>
      <c r="AG27" s="75">
        <f t="shared" si="4"/>
        <v>2648.0522264980759</v>
      </c>
      <c r="AH27" s="75">
        <f t="shared" si="5"/>
        <v>2602.9194612424408</v>
      </c>
      <c r="AI27" s="44"/>
      <c r="AJ27" s="193"/>
      <c r="AK27" s="43">
        <v>60</v>
      </c>
      <c r="AL27" s="5">
        <v>1</v>
      </c>
      <c r="AM27" s="44">
        <f t="shared" si="12"/>
        <v>2602.9194612424408</v>
      </c>
      <c r="AN27" s="58"/>
      <c r="AO27" s="59"/>
      <c r="AP27" s="5"/>
      <c r="AQ27" s="5"/>
      <c r="AR27" s="5"/>
      <c r="AS27" s="197">
        <v>20.18</v>
      </c>
      <c r="AT27" s="195">
        <f t="shared" ca="1" si="7"/>
        <v>22.417549783998432</v>
      </c>
      <c r="AU27" s="80">
        <f t="shared" ca="1" si="11"/>
        <v>700212.91927368951</v>
      </c>
      <c r="AV27" s="80">
        <f t="shared" ca="1" si="8"/>
        <v>132047.6592736895</v>
      </c>
      <c r="AW27" s="1"/>
      <c r="AX27" s="1"/>
      <c r="AY27" s="1"/>
      <c r="AZ27" s="1"/>
      <c r="BA27" s="1"/>
      <c r="BB27"/>
      <c r="BC27" s="499">
        <f t="shared" ca="1" si="9"/>
        <v>2673.1508345537882</v>
      </c>
      <c r="BD27" s="499">
        <f t="shared" ca="1" si="10"/>
        <v>134720.81010824328</v>
      </c>
      <c r="BE27"/>
      <c r="BF27"/>
      <c r="BG27"/>
      <c r="BH27"/>
      <c r="BI27"/>
    </row>
    <row r="28" spans="1:61" s="19" customFormat="1" ht="12" customHeight="1">
      <c r="A28" s="71" t="str">
        <f t="shared" si="2"/>
        <v>PA-C60RE2</v>
      </c>
      <c r="B28" s="72" t="s">
        <v>84</v>
      </c>
      <c r="C28" s="72" t="s">
        <v>85</v>
      </c>
      <c r="D28" s="73">
        <v>36.380000000000003</v>
      </c>
      <c r="E28" s="192">
        <v>22</v>
      </c>
      <c r="F28" s="67"/>
      <c r="G28" s="75">
        <v>109.14</v>
      </c>
      <c r="H28" s="75">
        <v>109.14</v>
      </c>
      <c r="I28" s="75">
        <v>109.14</v>
      </c>
      <c r="J28" s="75">
        <v>109.14</v>
      </c>
      <c r="K28" s="75">
        <v>109.14</v>
      </c>
      <c r="L28" s="75">
        <v>109.14</v>
      </c>
      <c r="M28" s="75">
        <v>109.14</v>
      </c>
      <c r="N28" s="75">
        <v>109.14</v>
      </c>
      <c r="O28" s="75">
        <v>109.14</v>
      </c>
      <c r="P28" s="75">
        <v>127.33</v>
      </c>
      <c r="Q28" s="75">
        <v>118.24000000000001</v>
      </c>
      <c r="R28" s="75">
        <v>118.23</v>
      </c>
      <c r="S28" s="75">
        <f t="shared" si="3"/>
        <v>1346.06</v>
      </c>
      <c r="T28" s="71">
        <v>32000</v>
      </c>
      <c r="V28" s="75">
        <f t="shared" si="4"/>
        <v>3</v>
      </c>
      <c r="W28" s="75">
        <f t="shared" si="4"/>
        <v>3</v>
      </c>
      <c r="X28" s="75">
        <f t="shared" si="4"/>
        <v>3</v>
      </c>
      <c r="Y28" s="75">
        <f t="shared" si="4"/>
        <v>3</v>
      </c>
      <c r="Z28" s="75">
        <f t="shared" si="4"/>
        <v>3</v>
      </c>
      <c r="AA28" s="75">
        <f t="shared" si="4"/>
        <v>3</v>
      </c>
      <c r="AB28" s="75">
        <f t="shared" si="4"/>
        <v>3</v>
      </c>
      <c r="AC28" s="75">
        <f t="shared" si="4"/>
        <v>3</v>
      </c>
      <c r="AD28" s="75">
        <f t="shared" si="4"/>
        <v>3</v>
      </c>
      <c r="AE28" s="75">
        <f t="shared" si="4"/>
        <v>3.4999999999999996</v>
      </c>
      <c r="AF28" s="75">
        <f t="shared" si="4"/>
        <v>3.2501374381528314</v>
      </c>
      <c r="AG28" s="75">
        <f t="shared" si="4"/>
        <v>3.2498625618471686</v>
      </c>
      <c r="AH28" s="75">
        <f t="shared" si="5"/>
        <v>3.0833333333333335</v>
      </c>
      <c r="AI28" s="44"/>
      <c r="AJ28" s="193"/>
      <c r="AK28" s="43">
        <v>60</v>
      </c>
      <c r="AL28" s="5">
        <v>2</v>
      </c>
      <c r="AM28" s="44">
        <f t="shared" si="12"/>
        <v>6.166666666666667</v>
      </c>
      <c r="AN28" s="58"/>
      <c r="AO28" s="59"/>
      <c r="AP28" s="5"/>
      <c r="AQ28" s="5"/>
      <c r="AR28" s="5"/>
      <c r="AS28" s="194">
        <f>+AS27*2</f>
        <v>40.36</v>
      </c>
      <c r="AT28" s="195">
        <f t="shared" ca="1" si="7"/>
        <v>44.835099567996863</v>
      </c>
      <c r="AU28" s="80">
        <f t="shared" ca="1" si="11"/>
        <v>1658.8986840158839</v>
      </c>
      <c r="AV28" s="80">
        <f t="shared" ca="1" si="8"/>
        <v>312.83868401588393</v>
      </c>
      <c r="AW28" s="1"/>
      <c r="AX28" s="1"/>
      <c r="AY28" s="1"/>
      <c r="AZ28" s="1"/>
      <c r="BA28" s="1"/>
      <c r="BB28"/>
      <c r="BC28" s="499">
        <f t="shared" ca="1" si="9"/>
        <v>6.3330542461527344</v>
      </c>
      <c r="BD28" s="499">
        <f t="shared" ca="1" si="10"/>
        <v>319.17173826203668</v>
      </c>
      <c r="BE28"/>
      <c r="BF28"/>
      <c r="BG28"/>
      <c r="BH28"/>
      <c r="BI28"/>
    </row>
    <row r="29" spans="1:61" s="19" customFormat="1" ht="12" customHeight="1">
      <c r="A29" s="71" t="str">
        <f t="shared" si="2"/>
        <v>PA-C60RM1</v>
      </c>
      <c r="B29" s="72" t="s">
        <v>86</v>
      </c>
      <c r="C29" s="72" t="s">
        <v>87</v>
      </c>
      <c r="D29" s="73">
        <v>12.33</v>
      </c>
      <c r="E29" s="192">
        <v>22</v>
      </c>
      <c r="F29" s="67"/>
      <c r="G29" s="75">
        <v>2009.79</v>
      </c>
      <c r="H29" s="75">
        <v>2009.79</v>
      </c>
      <c r="I29" s="75">
        <v>2009.79</v>
      </c>
      <c r="J29" s="75">
        <v>2034.45</v>
      </c>
      <c r="K29" s="75">
        <v>1985.13</v>
      </c>
      <c r="L29" s="75">
        <v>2022.1200000000001</v>
      </c>
      <c r="M29" s="75">
        <v>2028.29</v>
      </c>
      <c r="N29" s="75">
        <v>2114.59</v>
      </c>
      <c r="O29" s="75">
        <v>2065.2800000000002</v>
      </c>
      <c r="P29" s="75">
        <v>2077.6</v>
      </c>
      <c r="Q29" s="75">
        <v>1991.3</v>
      </c>
      <c r="R29" s="75">
        <v>1991.29</v>
      </c>
      <c r="S29" s="75">
        <f t="shared" si="3"/>
        <v>24339.42</v>
      </c>
      <c r="T29" s="71">
        <v>32000</v>
      </c>
      <c r="V29" s="75">
        <f t="shared" si="4"/>
        <v>163</v>
      </c>
      <c r="W29" s="75">
        <f t="shared" si="4"/>
        <v>163</v>
      </c>
      <c r="X29" s="75">
        <f t="shared" si="4"/>
        <v>163</v>
      </c>
      <c r="Y29" s="75">
        <f t="shared" si="4"/>
        <v>165</v>
      </c>
      <c r="Z29" s="75">
        <f t="shared" si="4"/>
        <v>161</v>
      </c>
      <c r="AA29" s="75">
        <f t="shared" si="4"/>
        <v>164</v>
      </c>
      <c r="AB29" s="75">
        <f t="shared" si="4"/>
        <v>164.50040551500405</v>
      </c>
      <c r="AC29" s="75">
        <f t="shared" si="4"/>
        <v>171.49959448499595</v>
      </c>
      <c r="AD29" s="75">
        <f t="shared" si="4"/>
        <v>167.50040551500408</v>
      </c>
      <c r="AE29" s="75">
        <f t="shared" si="4"/>
        <v>168.49959448499592</v>
      </c>
      <c r="AF29" s="75">
        <f t="shared" si="4"/>
        <v>161.50040551500405</v>
      </c>
      <c r="AG29" s="75">
        <f t="shared" si="4"/>
        <v>161.49959448499595</v>
      </c>
      <c r="AH29" s="75">
        <f t="shared" si="5"/>
        <v>164.5</v>
      </c>
      <c r="AI29" s="44"/>
      <c r="AJ29" s="193"/>
      <c r="AK29" s="43">
        <v>60</v>
      </c>
      <c r="AL29" s="5">
        <v>1</v>
      </c>
      <c r="AM29" s="44">
        <f t="shared" si="12"/>
        <v>164.5</v>
      </c>
      <c r="AN29" s="58"/>
      <c r="AO29" s="59"/>
      <c r="AP29" s="5"/>
      <c r="AQ29" s="5"/>
      <c r="AR29" s="5"/>
      <c r="AS29" s="197">
        <v>13.25</v>
      </c>
      <c r="AT29" s="195">
        <f t="shared" ca="1" si="7"/>
        <v>14.719154342813638</v>
      </c>
      <c r="AU29" s="80">
        <f t="shared" ca="1" si="11"/>
        <v>29055.610672714123</v>
      </c>
      <c r="AV29" s="80">
        <f t="shared" ca="1" si="8"/>
        <v>4716.190672714125</v>
      </c>
      <c r="AW29" s="1"/>
      <c r="AX29" s="1"/>
      <c r="AY29" s="1"/>
      <c r="AZ29" s="1"/>
      <c r="BA29" s="1"/>
      <c r="BC29" s="499">
        <f t="shared" ca="1" si="9"/>
        <v>110.92344596954963</v>
      </c>
      <c r="BD29" s="499">
        <f t="shared" ca="1" si="10"/>
        <v>4827.1141186836749</v>
      </c>
    </row>
    <row r="30" spans="1:61" s="19" customFormat="1" ht="12" customHeight="1">
      <c r="A30" s="71" t="str">
        <f t="shared" si="2"/>
        <v>PA-C60RW2</v>
      </c>
      <c r="B30" s="72" t="s">
        <v>89</v>
      </c>
      <c r="C30" s="72" t="s">
        <v>90</v>
      </c>
      <c r="D30" s="73">
        <v>63.5</v>
      </c>
      <c r="E30" s="192">
        <v>22</v>
      </c>
      <c r="F30" s="67"/>
      <c r="G30" s="75">
        <v>952.5</v>
      </c>
      <c r="H30" s="75">
        <v>936.63</v>
      </c>
      <c r="I30" s="75">
        <v>936.63</v>
      </c>
      <c r="J30" s="75">
        <v>936.62</v>
      </c>
      <c r="K30" s="75">
        <v>912.81</v>
      </c>
      <c r="L30" s="75">
        <v>928.68</v>
      </c>
      <c r="M30" s="75">
        <v>952.5</v>
      </c>
      <c r="N30" s="75">
        <v>952.5</v>
      </c>
      <c r="O30" s="75">
        <v>952.5</v>
      </c>
      <c r="P30" s="75">
        <v>1016</v>
      </c>
      <c r="Q30" s="75">
        <v>1111.25</v>
      </c>
      <c r="R30" s="75">
        <v>1143</v>
      </c>
      <c r="S30" s="75">
        <f t="shared" si="3"/>
        <v>11731.62</v>
      </c>
      <c r="T30" s="71">
        <v>32000</v>
      </c>
      <c r="V30" s="75">
        <f t="shared" si="4"/>
        <v>15</v>
      </c>
      <c r="W30" s="75">
        <f t="shared" si="4"/>
        <v>14.75007874015748</v>
      </c>
      <c r="X30" s="75">
        <f t="shared" si="4"/>
        <v>14.75007874015748</v>
      </c>
      <c r="Y30" s="75">
        <f t="shared" si="4"/>
        <v>14.74992125984252</v>
      </c>
      <c r="Z30" s="75">
        <f t="shared" si="4"/>
        <v>14.37496062992126</v>
      </c>
      <c r="AA30" s="75">
        <f t="shared" si="4"/>
        <v>14.624881889763779</v>
      </c>
      <c r="AB30" s="75">
        <f t="shared" si="4"/>
        <v>15</v>
      </c>
      <c r="AC30" s="75">
        <f t="shared" si="4"/>
        <v>15</v>
      </c>
      <c r="AD30" s="75">
        <f t="shared" si="4"/>
        <v>15</v>
      </c>
      <c r="AE30" s="75">
        <f t="shared" si="4"/>
        <v>16</v>
      </c>
      <c r="AF30" s="75">
        <f t="shared" si="4"/>
        <v>17.5</v>
      </c>
      <c r="AG30" s="75">
        <f t="shared" si="4"/>
        <v>18</v>
      </c>
      <c r="AH30" s="75">
        <f t="shared" si="5"/>
        <v>15.395826771653544</v>
      </c>
      <c r="AI30" s="44"/>
      <c r="AJ30" s="193"/>
      <c r="AK30" s="43">
        <v>60</v>
      </c>
      <c r="AL30" s="5">
        <v>2</v>
      </c>
      <c r="AM30" s="44">
        <f t="shared" si="12"/>
        <v>30.791653543307088</v>
      </c>
      <c r="AN30" s="58"/>
      <c r="AO30" s="59"/>
      <c r="AP30" s="5"/>
      <c r="AQ30" s="5"/>
      <c r="AR30" s="5"/>
      <c r="AS30" s="194">
        <f>+AS29*2</f>
        <v>26.5</v>
      </c>
      <c r="AT30" s="195">
        <f t="shared" ca="1" si="7"/>
        <v>29.438308685627277</v>
      </c>
      <c r="AU30" s="80">
        <f t="shared" ca="1" si="11"/>
        <v>5438.7252116925774</v>
      </c>
      <c r="AV30" s="80">
        <f t="shared" ca="1" si="8"/>
        <v>-6292.8947883074234</v>
      </c>
      <c r="AW30" s="1"/>
      <c r="AX30" s="1"/>
      <c r="AY30" s="1"/>
      <c r="AZ30" s="1"/>
      <c r="BA30" s="1"/>
      <c r="BC30" s="499">
        <f t="shared" ca="1" si="9"/>
        <v>20.763017131453587</v>
      </c>
      <c r="BD30" s="499">
        <f t="shared" ca="1" si="10"/>
        <v>-6272.1317711759693</v>
      </c>
    </row>
    <row r="31" spans="1:61" s="19" customFormat="1" ht="12" customHeight="1">
      <c r="A31" s="71" t="str">
        <f t="shared" si="2"/>
        <v>PA-C96RE1</v>
      </c>
      <c r="B31" s="72" t="s">
        <v>92</v>
      </c>
      <c r="C31" s="72" t="s">
        <v>93</v>
      </c>
      <c r="D31" s="73">
        <v>23.64</v>
      </c>
      <c r="E31" s="192">
        <v>22</v>
      </c>
      <c r="F31" s="67"/>
      <c r="G31" s="75">
        <v>16536.27</v>
      </c>
      <c r="H31" s="75">
        <v>16890.919999999998</v>
      </c>
      <c r="I31" s="75">
        <v>16902.599999999999</v>
      </c>
      <c r="J31" s="75">
        <v>17198.099999999999</v>
      </c>
      <c r="K31" s="75">
        <v>17286.75</v>
      </c>
      <c r="L31" s="75">
        <v>17738.489999999998</v>
      </c>
      <c r="M31" s="75">
        <v>17487.689999999999</v>
      </c>
      <c r="N31" s="75">
        <v>17735.91</v>
      </c>
      <c r="O31" s="75">
        <v>17919.12</v>
      </c>
      <c r="P31" s="75">
        <v>18415.559999999998</v>
      </c>
      <c r="Q31" s="75">
        <v>18758.34</v>
      </c>
      <c r="R31" s="75">
        <v>19172.04</v>
      </c>
      <c r="S31" s="75">
        <f t="shared" si="3"/>
        <v>212041.79</v>
      </c>
      <c r="T31" s="71">
        <v>32000</v>
      </c>
      <c r="V31" s="75">
        <f t="shared" si="4"/>
        <v>699.50380710659897</v>
      </c>
      <c r="W31" s="75">
        <f t="shared" si="4"/>
        <v>714.50592216582061</v>
      </c>
      <c r="X31" s="75">
        <f t="shared" si="4"/>
        <v>714.99999999999989</v>
      </c>
      <c r="Y31" s="75">
        <f t="shared" si="4"/>
        <v>727.49999999999989</v>
      </c>
      <c r="Z31" s="75">
        <f t="shared" si="4"/>
        <v>731.25</v>
      </c>
      <c r="AA31" s="75">
        <f t="shared" si="4"/>
        <v>750.35913705583744</v>
      </c>
      <c r="AB31" s="75">
        <f t="shared" si="4"/>
        <v>739.74999999999989</v>
      </c>
      <c r="AC31" s="75">
        <f t="shared" si="4"/>
        <v>750.25</v>
      </c>
      <c r="AD31" s="75">
        <f t="shared" si="4"/>
        <v>757.99999999999989</v>
      </c>
      <c r="AE31" s="75">
        <f t="shared" si="4"/>
        <v>778.99999999999989</v>
      </c>
      <c r="AF31" s="75">
        <f t="shared" si="4"/>
        <v>793.5</v>
      </c>
      <c r="AG31" s="75">
        <f t="shared" si="4"/>
        <v>811</v>
      </c>
      <c r="AH31" s="75">
        <f t="shared" si="5"/>
        <v>747.46823886068807</v>
      </c>
      <c r="AI31" s="44"/>
      <c r="AJ31" s="193"/>
      <c r="AK31" s="43">
        <v>96</v>
      </c>
      <c r="AL31" s="5">
        <v>1</v>
      </c>
      <c r="AM31" s="44">
        <f t="shared" si="12"/>
        <v>747.46823886068807</v>
      </c>
      <c r="AN31" s="58"/>
      <c r="AO31" s="59"/>
      <c r="AP31" s="5"/>
      <c r="AQ31" s="5"/>
      <c r="AR31" s="5"/>
      <c r="AS31" s="197">
        <v>26.52</v>
      </c>
      <c r="AT31" s="195">
        <f t="shared" ca="1" si="7"/>
        <v>29.460526277088125</v>
      </c>
      <c r="AU31" s="80">
        <f t="shared" ca="1" si="11"/>
        <v>264249.69230692904</v>
      </c>
      <c r="AV31" s="80">
        <f t="shared" ca="1" si="8"/>
        <v>52207.902306929027</v>
      </c>
      <c r="BC31" s="499">
        <f t="shared" ca="1" si="9"/>
        <v>1008.8064159878053</v>
      </c>
      <c r="BD31" s="499">
        <f t="shared" ca="1" si="10"/>
        <v>53216.708722916832</v>
      </c>
    </row>
    <row r="32" spans="1:61" s="19" customFormat="1" ht="12" customHeight="1">
      <c r="A32" s="71" t="str">
        <f t="shared" si="2"/>
        <v>PA-C96RM1</v>
      </c>
      <c r="B32" s="72" t="s">
        <v>94</v>
      </c>
      <c r="C32" s="72" t="s">
        <v>95</v>
      </c>
      <c r="D32" s="73">
        <v>15.94</v>
      </c>
      <c r="E32" s="192">
        <v>22</v>
      </c>
      <c r="F32" s="67"/>
      <c r="G32" s="75">
        <v>549.92999999999995</v>
      </c>
      <c r="H32" s="75">
        <v>549.92999999999995</v>
      </c>
      <c r="I32" s="75">
        <v>541.96</v>
      </c>
      <c r="J32" s="75">
        <v>557.90000000000009</v>
      </c>
      <c r="K32" s="75">
        <v>581.80999999999995</v>
      </c>
      <c r="L32" s="75">
        <v>613.68999999999994</v>
      </c>
      <c r="M32" s="75">
        <v>557.9</v>
      </c>
      <c r="N32" s="75">
        <v>557.9</v>
      </c>
      <c r="O32" s="75">
        <v>581.80999999999995</v>
      </c>
      <c r="P32" s="75">
        <v>581.80999999999995</v>
      </c>
      <c r="Q32" s="75">
        <v>581.80999999999995</v>
      </c>
      <c r="R32" s="75">
        <v>597.75</v>
      </c>
      <c r="S32" s="75">
        <f t="shared" si="3"/>
        <v>6854.1999999999989</v>
      </c>
      <c r="T32" s="71">
        <v>32000</v>
      </c>
      <c r="V32" s="75">
        <f t="shared" si="4"/>
        <v>34.5</v>
      </c>
      <c r="W32" s="75">
        <f t="shared" si="4"/>
        <v>34.5</v>
      </c>
      <c r="X32" s="75">
        <f t="shared" si="4"/>
        <v>34</v>
      </c>
      <c r="Y32" s="75">
        <f t="shared" si="4"/>
        <v>35.000000000000007</v>
      </c>
      <c r="Z32" s="75">
        <f t="shared" si="4"/>
        <v>36.5</v>
      </c>
      <c r="AA32" s="75">
        <f t="shared" si="4"/>
        <v>38.5</v>
      </c>
      <c r="AB32" s="75">
        <f t="shared" si="4"/>
        <v>35</v>
      </c>
      <c r="AC32" s="75">
        <f t="shared" si="4"/>
        <v>35</v>
      </c>
      <c r="AD32" s="75">
        <f t="shared" si="4"/>
        <v>36.5</v>
      </c>
      <c r="AE32" s="75">
        <f t="shared" si="4"/>
        <v>36.5</v>
      </c>
      <c r="AF32" s="75">
        <f t="shared" si="4"/>
        <v>36.5</v>
      </c>
      <c r="AG32" s="75">
        <f t="shared" si="4"/>
        <v>37.5</v>
      </c>
      <c r="AH32" s="75">
        <f t="shared" si="5"/>
        <v>35.833333333333336</v>
      </c>
      <c r="AI32" s="44"/>
      <c r="AJ32" s="193"/>
      <c r="AK32" s="43">
        <v>96</v>
      </c>
      <c r="AL32" s="5">
        <v>1</v>
      </c>
      <c r="AM32" s="44">
        <f t="shared" si="12"/>
        <v>35.833333333333336</v>
      </c>
      <c r="AN32" s="58"/>
      <c r="AO32" s="59"/>
      <c r="AP32" s="5"/>
      <c r="AQ32" s="5"/>
      <c r="AR32" s="5"/>
      <c r="AS32" s="194">
        <v>17.27</v>
      </c>
      <c r="AT32" s="195">
        <f t="shared" ca="1" si="7"/>
        <v>19.184890226444644</v>
      </c>
      <c r="AU32" s="80">
        <f t="shared" ca="1" si="11"/>
        <v>8249.5027973711967</v>
      </c>
      <c r="AV32" s="80">
        <f t="shared" ca="1" si="8"/>
        <v>1395.3027973711978</v>
      </c>
      <c r="BC32" s="499">
        <f t="shared" ca="1" si="9"/>
        <v>31.493513873352544</v>
      </c>
      <c r="BD32" s="499">
        <f t="shared" ca="1" si="10"/>
        <v>1426.7963112445505</v>
      </c>
    </row>
    <row r="33" spans="1:56" s="5" customFormat="1" ht="12" customHeight="1">
      <c r="A33" s="5" t="str">
        <f t="shared" si="2"/>
        <v>PA-CDRVNRE1</v>
      </c>
      <c r="B33" s="48" t="s">
        <v>97</v>
      </c>
      <c r="C33" s="48" t="s">
        <v>98</v>
      </c>
      <c r="D33" s="73">
        <v>5.39</v>
      </c>
      <c r="E33" s="192">
        <v>19</v>
      </c>
      <c r="F33" s="67"/>
      <c r="G33" s="68">
        <v>97.02</v>
      </c>
      <c r="H33" s="68">
        <v>97.02</v>
      </c>
      <c r="I33" s="68">
        <v>94.33</v>
      </c>
      <c r="J33" s="68">
        <v>91.61999999999999</v>
      </c>
      <c r="K33" s="68">
        <v>84.87</v>
      </c>
      <c r="L33" s="68">
        <v>90.25</v>
      </c>
      <c r="M33" s="68">
        <v>91.63</v>
      </c>
      <c r="N33" s="68">
        <v>91.63</v>
      </c>
      <c r="O33" s="68">
        <v>88.93</v>
      </c>
      <c r="P33" s="68">
        <v>88.93</v>
      </c>
      <c r="Q33" s="68">
        <v>86.24</v>
      </c>
      <c r="R33" s="68">
        <v>86.24</v>
      </c>
      <c r="S33" s="68">
        <f t="shared" si="3"/>
        <v>1088.71</v>
      </c>
      <c r="T33" s="5">
        <v>32000</v>
      </c>
      <c r="V33" s="69">
        <f t="shared" si="4"/>
        <v>18</v>
      </c>
      <c r="W33" s="69">
        <f t="shared" si="4"/>
        <v>18</v>
      </c>
      <c r="X33" s="69">
        <f t="shared" si="4"/>
        <v>17.500927643784788</v>
      </c>
      <c r="Y33" s="69">
        <f t="shared" si="4"/>
        <v>16.998144712430427</v>
      </c>
      <c r="Z33" s="69">
        <f t="shared" si="4"/>
        <v>15.745825602968463</v>
      </c>
      <c r="AA33" s="69">
        <f t="shared" si="4"/>
        <v>16.743970315398887</v>
      </c>
      <c r="AB33" s="69">
        <f t="shared" si="4"/>
        <v>17</v>
      </c>
      <c r="AC33" s="69">
        <f t="shared" si="4"/>
        <v>17</v>
      </c>
      <c r="AD33" s="69">
        <f t="shared" si="4"/>
        <v>16.499072356215216</v>
      </c>
      <c r="AE33" s="69">
        <f t="shared" si="4"/>
        <v>16.499072356215216</v>
      </c>
      <c r="AF33" s="69">
        <f t="shared" si="4"/>
        <v>16</v>
      </c>
      <c r="AG33" s="69">
        <f t="shared" si="4"/>
        <v>16</v>
      </c>
      <c r="AH33" s="68">
        <f t="shared" si="5"/>
        <v>16.83225108225108</v>
      </c>
      <c r="AI33" s="44"/>
      <c r="AJ33" s="193"/>
      <c r="AK33" s="43"/>
      <c r="AN33" s="58"/>
      <c r="AO33" s="59"/>
      <c r="AS33" s="197">
        <v>5.39</v>
      </c>
      <c r="AT33" s="195">
        <f t="shared" ca="1" si="7"/>
        <v>5.9876408986992828</v>
      </c>
      <c r="AU33" s="80">
        <f t="shared" ca="1" si="11"/>
        <v>1209.425699967142</v>
      </c>
      <c r="AV33" s="80">
        <f t="shared" ca="1" si="8"/>
        <v>120.71569996714197</v>
      </c>
      <c r="BC33" s="499">
        <f t="shared" ca="1" si="9"/>
        <v>4.6171346317794857</v>
      </c>
      <c r="BD33" s="499">
        <f t="shared" ca="1" si="10"/>
        <v>125.33283459892147</v>
      </c>
    </row>
    <row r="34" spans="1:56" s="5" customFormat="1" ht="12" customHeight="1">
      <c r="A34" s="5" t="str">
        <f t="shared" si="2"/>
        <v>PA-CDRVNRE2</v>
      </c>
      <c r="B34" s="48" t="s">
        <v>100</v>
      </c>
      <c r="C34" s="48" t="s">
        <v>101</v>
      </c>
      <c r="D34" s="73">
        <v>5.39</v>
      </c>
      <c r="E34" s="192">
        <v>19</v>
      </c>
      <c r="F34" s="67"/>
      <c r="G34" s="68">
        <v>140.13999999999999</v>
      </c>
      <c r="H34" s="68">
        <v>140.13999999999999</v>
      </c>
      <c r="I34" s="68">
        <v>122.62</v>
      </c>
      <c r="J34" s="68">
        <v>122.62</v>
      </c>
      <c r="K34" s="68">
        <v>123.97</v>
      </c>
      <c r="L34" s="68">
        <v>123.97</v>
      </c>
      <c r="M34" s="68">
        <v>123.97</v>
      </c>
      <c r="N34" s="68">
        <v>123.97</v>
      </c>
      <c r="O34" s="68">
        <v>123.97</v>
      </c>
      <c r="P34" s="68">
        <v>123.97</v>
      </c>
      <c r="Q34" s="68">
        <v>123.97</v>
      </c>
      <c r="R34" s="68">
        <v>129.35999999999999</v>
      </c>
      <c r="S34" s="68">
        <f t="shared" si="3"/>
        <v>1522.67</v>
      </c>
      <c r="T34" s="5">
        <v>32000</v>
      </c>
      <c r="V34" s="69">
        <f t="shared" si="4"/>
        <v>26</v>
      </c>
      <c r="W34" s="69">
        <f t="shared" si="4"/>
        <v>26</v>
      </c>
      <c r="X34" s="69">
        <f t="shared" si="4"/>
        <v>22.749536178107608</v>
      </c>
      <c r="Y34" s="69">
        <f t="shared" ref="Y34:AG47" si="13">IFERROR(J34/$D34,0)</f>
        <v>22.749536178107608</v>
      </c>
      <c r="Z34" s="69">
        <f t="shared" si="13"/>
        <v>23</v>
      </c>
      <c r="AA34" s="69">
        <f t="shared" si="13"/>
        <v>23</v>
      </c>
      <c r="AB34" s="69">
        <f t="shared" si="13"/>
        <v>23</v>
      </c>
      <c r="AC34" s="69">
        <f t="shared" si="13"/>
        <v>23</v>
      </c>
      <c r="AD34" s="69">
        <f t="shared" si="13"/>
        <v>23</v>
      </c>
      <c r="AE34" s="69">
        <f t="shared" si="13"/>
        <v>23</v>
      </c>
      <c r="AF34" s="69">
        <f t="shared" si="13"/>
        <v>23</v>
      </c>
      <c r="AG34" s="69">
        <f t="shared" si="13"/>
        <v>24</v>
      </c>
      <c r="AH34" s="68">
        <f t="shared" si="5"/>
        <v>23.541589363017934</v>
      </c>
      <c r="AI34" s="44"/>
      <c r="AJ34" s="193"/>
      <c r="AK34" s="43"/>
      <c r="AN34" s="58"/>
      <c r="AO34" s="59"/>
      <c r="AS34" s="197">
        <v>5.39</v>
      </c>
      <c r="AT34" s="195">
        <f t="shared" ca="1" si="7"/>
        <v>5.9876408986992828</v>
      </c>
      <c r="AU34" s="80">
        <f t="shared" ca="1" si="11"/>
        <v>1691.5029994846823</v>
      </c>
      <c r="AV34" s="80">
        <f t="shared" ca="1" si="8"/>
        <v>168.8329994846822</v>
      </c>
      <c r="BC34" s="499">
        <f t="shared" ca="1" si="9"/>
        <v>6.4575253187457369</v>
      </c>
      <c r="BD34" s="499">
        <f t="shared" ca="1" si="10"/>
        <v>175.29052480342793</v>
      </c>
    </row>
    <row r="35" spans="1:56" s="5" customFormat="1" ht="12" customHeight="1">
      <c r="A35" s="5" t="str">
        <f t="shared" si="2"/>
        <v>PA-CDRVNRM1</v>
      </c>
      <c r="B35" s="48" t="s">
        <v>341</v>
      </c>
      <c r="C35" s="48" t="s">
        <v>342</v>
      </c>
      <c r="D35" s="73">
        <v>5.39</v>
      </c>
      <c r="E35" s="192">
        <v>19</v>
      </c>
      <c r="F35" s="67"/>
      <c r="G35" s="68">
        <v>10.78</v>
      </c>
      <c r="H35" s="68">
        <v>10.78</v>
      </c>
      <c r="I35" s="68">
        <v>10.78</v>
      </c>
      <c r="J35" s="68">
        <v>10.78</v>
      </c>
      <c r="K35" s="68">
        <v>10.78</v>
      </c>
      <c r="L35" s="68">
        <v>10.78</v>
      </c>
      <c r="M35" s="68">
        <v>10.78</v>
      </c>
      <c r="N35" s="68">
        <v>10.78</v>
      </c>
      <c r="O35" s="68">
        <v>10.78</v>
      </c>
      <c r="P35" s="68">
        <v>10.78</v>
      </c>
      <c r="Q35" s="68">
        <v>10.78</v>
      </c>
      <c r="R35" s="68">
        <v>10.78</v>
      </c>
      <c r="S35" s="68">
        <f t="shared" si="3"/>
        <v>129.35999999999999</v>
      </c>
      <c r="T35" s="5">
        <v>32000</v>
      </c>
      <c r="V35" s="69">
        <f t="shared" ref="V35:X47" si="14">IFERROR(G35/$D35,0)</f>
        <v>2</v>
      </c>
      <c r="W35" s="69">
        <f t="shared" si="14"/>
        <v>2</v>
      </c>
      <c r="X35" s="69">
        <f t="shared" si="14"/>
        <v>2</v>
      </c>
      <c r="Y35" s="69">
        <f t="shared" si="13"/>
        <v>2</v>
      </c>
      <c r="Z35" s="69">
        <f t="shared" si="13"/>
        <v>2</v>
      </c>
      <c r="AA35" s="69">
        <f t="shared" si="13"/>
        <v>2</v>
      </c>
      <c r="AB35" s="69">
        <f t="shared" si="13"/>
        <v>2</v>
      </c>
      <c r="AC35" s="69">
        <f t="shared" si="13"/>
        <v>2</v>
      </c>
      <c r="AD35" s="69">
        <f t="shared" si="13"/>
        <v>2</v>
      </c>
      <c r="AE35" s="69">
        <f t="shared" si="13"/>
        <v>2</v>
      </c>
      <c r="AF35" s="69">
        <f t="shared" si="13"/>
        <v>2</v>
      </c>
      <c r="AG35" s="69">
        <f t="shared" si="13"/>
        <v>2</v>
      </c>
      <c r="AH35" s="68">
        <f t="shared" si="5"/>
        <v>2</v>
      </c>
      <c r="AI35" s="44"/>
      <c r="AJ35" s="193"/>
      <c r="AK35" s="43"/>
      <c r="AN35" s="58"/>
      <c r="AO35" s="59"/>
      <c r="AS35" s="197">
        <v>5.39</v>
      </c>
      <c r="AT35" s="195">
        <f t="shared" ca="1" si="7"/>
        <v>5.9876408986992828</v>
      </c>
      <c r="AU35" s="80">
        <f t="shared" ca="1" si="11"/>
        <v>143.70338156878279</v>
      </c>
      <c r="AV35" s="80">
        <f t="shared" ca="1" si="8"/>
        <v>14.343381568782803</v>
      </c>
      <c r="BC35" s="499">
        <f t="shared" ca="1" si="9"/>
        <v>0.54860572233835858</v>
      </c>
      <c r="BD35" s="499">
        <f t="shared" ca="1" si="10"/>
        <v>14.891987291121161</v>
      </c>
    </row>
    <row r="36" spans="1:56" s="5" customFormat="1" ht="12" customHeight="1">
      <c r="A36" s="5" t="str">
        <f t="shared" si="2"/>
        <v>PA-CDRVNRW1</v>
      </c>
      <c r="B36" s="48" t="s">
        <v>102</v>
      </c>
      <c r="C36" s="48" t="s">
        <v>103</v>
      </c>
      <c r="D36" s="73">
        <v>5.39</v>
      </c>
      <c r="E36" s="192">
        <v>19</v>
      </c>
      <c r="F36" s="67"/>
      <c r="G36" s="68">
        <v>150.91999999999999</v>
      </c>
      <c r="H36" s="68">
        <v>150.91999999999999</v>
      </c>
      <c r="I36" s="68">
        <v>150.91999999999999</v>
      </c>
      <c r="J36" s="68">
        <v>150.91999999999999</v>
      </c>
      <c r="K36" s="68">
        <v>146.88</v>
      </c>
      <c r="L36" s="68">
        <v>152.26</v>
      </c>
      <c r="M36" s="68">
        <v>140.13999999999999</v>
      </c>
      <c r="N36" s="68">
        <v>145.52999999999997</v>
      </c>
      <c r="O36" s="68">
        <v>146.19999999999999</v>
      </c>
      <c r="P36" s="68">
        <v>146.19</v>
      </c>
      <c r="Q36" s="68">
        <v>145.53</v>
      </c>
      <c r="R36" s="68">
        <v>146.87</v>
      </c>
      <c r="S36" s="68">
        <f t="shared" si="3"/>
        <v>1773.2800000000002</v>
      </c>
      <c r="T36" s="5">
        <v>32000</v>
      </c>
      <c r="V36" s="69">
        <f t="shared" si="14"/>
        <v>28</v>
      </c>
      <c r="W36" s="69">
        <f t="shared" si="14"/>
        <v>28</v>
      </c>
      <c r="X36" s="69">
        <f t="shared" si="14"/>
        <v>28</v>
      </c>
      <c r="Y36" s="69">
        <f t="shared" si="13"/>
        <v>28</v>
      </c>
      <c r="Z36" s="69">
        <f t="shared" si="13"/>
        <v>27.250463821892396</v>
      </c>
      <c r="AA36" s="69">
        <f t="shared" si="13"/>
        <v>28.24860853432282</v>
      </c>
      <c r="AB36" s="69">
        <f t="shared" si="13"/>
        <v>26</v>
      </c>
      <c r="AC36" s="69">
        <f t="shared" si="13"/>
        <v>26.999999999999996</v>
      </c>
      <c r="AD36" s="69">
        <f t="shared" si="13"/>
        <v>27.12430426716141</v>
      </c>
      <c r="AE36" s="69">
        <f t="shared" si="13"/>
        <v>27.122448979591837</v>
      </c>
      <c r="AF36" s="69">
        <f t="shared" si="13"/>
        <v>27.000000000000004</v>
      </c>
      <c r="AG36" s="69">
        <f t="shared" si="13"/>
        <v>27.248608534322823</v>
      </c>
      <c r="AH36" s="68">
        <f t="shared" si="5"/>
        <v>27.416202844774276</v>
      </c>
      <c r="AI36" s="44"/>
      <c r="AJ36" s="193"/>
      <c r="AK36" s="43"/>
      <c r="AN36" s="58"/>
      <c r="AO36" s="59"/>
      <c r="AS36" s="197">
        <v>5.39</v>
      </c>
      <c r="AT36" s="195">
        <f t="shared" ca="1" si="7"/>
        <v>5.9876408986992828</v>
      </c>
      <c r="AU36" s="80">
        <f t="shared" ca="1" si="11"/>
        <v>1969.9005292848728</v>
      </c>
      <c r="AV36" s="80">
        <f t="shared" ca="1" si="8"/>
        <v>196.62052928487265</v>
      </c>
      <c r="BC36" s="499">
        <f t="shared" ca="1" si="9"/>
        <v>7.520342882716176</v>
      </c>
      <c r="BD36" s="499">
        <f t="shared" ca="1" si="10"/>
        <v>204.14087216758881</v>
      </c>
    </row>
    <row r="37" spans="1:56" s="5" customFormat="1" ht="12" customHeight="1">
      <c r="A37" s="5" t="str">
        <f t="shared" si="2"/>
        <v>PA-CDRVNRW2</v>
      </c>
      <c r="B37" s="48" t="s">
        <v>343</v>
      </c>
      <c r="C37" s="48" t="s">
        <v>344</v>
      </c>
      <c r="D37" s="73">
        <v>5.39</v>
      </c>
      <c r="E37" s="192">
        <v>19</v>
      </c>
      <c r="F37" s="67"/>
      <c r="G37" s="68">
        <v>156.31</v>
      </c>
      <c r="H37" s="68">
        <v>156.31</v>
      </c>
      <c r="I37" s="68">
        <v>149.57</v>
      </c>
      <c r="J37" s="68">
        <v>149.57</v>
      </c>
      <c r="K37" s="68">
        <v>145.53</v>
      </c>
      <c r="L37" s="68">
        <v>144.19</v>
      </c>
      <c r="M37" s="68">
        <v>140.13999999999999</v>
      </c>
      <c r="N37" s="68">
        <v>142.82999999999998</v>
      </c>
      <c r="O37" s="68">
        <v>140.13999999999999</v>
      </c>
      <c r="P37" s="68">
        <v>140.13999999999999</v>
      </c>
      <c r="Q37" s="68">
        <v>137.44999999999999</v>
      </c>
      <c r="R37" s="68">
        <v>145.52000000000001</v>
      </c>
      <c r="S37" s="68">
        <f t="shared" si="3"/>
        <v>1747.6999999999996</v>
      </c>
      <c r="T37" s="5">
        <v>32000</v>
      </c>
      <c r="V37" s="69">
        <f t="shared" si="14"/>
        <v>29.000000000000004</v>
      </c>
      <c r="W37" s="69">
        <f t="shared" si="14"/>
        <v>29.000000000000004</v>
      </c>
      <c r="X37" s="69">
        <f t="shared" si="14"/>
        <v>27.749536178107608</v>
      </c>
      <c r="Y37" s="69">
        <f t="shared" si="13"/>
        <v>27.749536178107608</v>
      </c>
      <c r="Z37" s="69">
        <f t="shared" si="13"/>
        <v>27.000000000000004</v>
      </c>
      <c r="AA37" s="69">
        <f t="shared" si="13"/>
        <v>26.75139146567718</v>
      </c>
      <c r="AB37" s="69">
        <f t="shared" si="13"/>
        <v>26</v>
      </c>
      <c r="AC37" s="69">
        <f t="shared" si="13"/>
        <v>26.499072356215212</v>
      </c>
      <c r="AD37" s="69">
        <f t="shared" si="13"/>
        <v>26</v>
      </c>
      <c r="AE37" s="69">
        <f t="shared" si="13"/>
        <v>26</v>
      </c>
      <c r="AF37" s="69">
        <f t="shared" si="13"/>
        <v>25.500927643784784</v>
      </c>
      <c r="AG37" s="69">
        <f t="shared" si="13"/>
        <v>26.998144712430431</v>
      </c>
      <c r="AH37" s="68">
        <f t="shared" si="5"/>
        <v>27.020717377860237</v>
      </c>
      <c r="AI37" s="44"/>
      <c r="AJ37" s="193"/>
      <c r="AK37" s="43"/>
      <c r="AN37" s="58"/>
      <c r="AO37" s="59"/>
      <c r="AS37" s="197">
        <v>5.39</v>
      </c>
      <c r="AT37" s="195">
        <f t="shared" ca="1" si="7"/>
        <v>5.9876408986992828</v>
      </c>
      <c r="AU37" s="80">
        <f t="shared" ca="1" si="11"/>
        <v>1941.484229806445</v>
      </c>
      <c r="AV37" s="80">
        <f t="shared" ca="1" si="8"/>
        <v>193.78422980644541</v>
      </c>
      <c r="BC37" s="499">
        <f t="shared" ca="1" si="9"/>
        <v>7.4118600875908278</v>
      </c>
      <c r="BD37" s="499">
        <f t="shared" ca="1" si="10"/>
        <v>201.19608989403625</v>
      </c>
    </row>
    <row r="38" spans="1:56" s="5" customFormat="1" ht="12" customHeight="1">
      <c r="A38" s="5" t="str">
        <f t="shared" si="2"/>
        <v>PA-CRCARRYOUT 5-25</v>
      </c>
      <c r="B38" s="48" t="s">
        <v>105</v>
      </c>
      <c r="C38" s="48" t="s">
        <v>106</v>
      </c>
      <c r="D38" s="73">
        <v>1.65</v>
      </c>
      <c r="E38" s="192">
        <v>19</v>
      </c>
      <c r="F38" s="67"/>
      <c r="G38" s="68">
        <v>16.100000000000001</v>
      </c>
      <c r="H38" s="68">
        <v>16.100000000000001</v>
      </c>
      <c r="I38" s="68">
        <v>15.299999999999999</v>
      </c>
      <c r="J38" s="68">
        <v>15.29</v>
      </c>
      <c r="K38" s="68">
        <v>14.49</v>
      </c>
      <c r="L38" s="68">
        <v>14.49</v>
      </c>
      <c r="M38" s="68">
        <v>12.08</v>
      </c>
      <c r="N38" s="68">
        <v>12.07</v>
      </c>
      <c r="O38" s="68">
        <v>9.66</v>
      </c>
      <c r="P38" s="68">
        <v>9.66</v>
      </c>
      <c r="Q38" s="68">
        <v>6.44</v>
      </c>
      <c r="R38" s="68">
        <v>6.44</v>
      </c>
      <c r="S38" s="68">
        <f t="shared" si="3"/>
        <v>148.11999999999998</v>
      </c>
      <c r="T38" s="5">
        <v>32000</v>
      </c>
      <c r="V38" s="69">
        <f t="shared" si="14"/>
        <v>9.7575757575757596</v>
      </c>
      <c r="W38" s="69">
        <f t="shared" si="14"/>
        <v>9.7575757575757596</v>
      </c>
      <c r="X38" s="69">
        <f t="shared" si="14"/>
        <v>9.2727272727272734</v>
      </c>
      <c r="Y38" s="69">
        <f t="shared" si="13"/>
        <v>9.2666666666666675</v>
      </c>
      <c r="Z38" s="69">
        <f t="shared" si="13"/>
        <v>8.7818181818181831</v>
      </c>
      <c r="AA38" s="69">
        <f t="shared" si="13"/>
        <v>8.7818181818181831</v>
      </c>
      <c r="AB38" s="69">
        <f t="shared" si="13"/>
        <v>7.3212121212121213</v>
      </c>
      <c r="AC38" s="69">
        <f t="shared" si="13"/>
        <v>7.3151515151515154</v>
      </c>
      <c r="AD38" s="69">
        <f t="shared" si="13"/>
        <v>5.8545454545454554</v>
      </c>
      <c r="AE38" s="69">
        <f t="shared" si="13"/>
        <v>5.8545454545454554</v>
      </c>
      <c r="AF38" s="69">
        <f t="shared" si="13"/>
        <v>3.9030303030303033</v>
      </c>
      <c r="AG38" s="69">
        <f t="shared" si="13"/>
        <v>3.9030303030303033</v>
      </c>
      <c r="AH38" s="68">
        <f t="shared" si="5"/>
        <v>7.4808080808080826</v>
      </c>
      <c r="AI38" s="44"/>
      <c r="AJ38" s="193"/>
      <c r="AK38" s="43"/>
      <c r="AN38" s="58"/>
      <c r="AO38" s="59"/>
      <c r="AS38" s="197">
        <v>1.65</v>
      </c>
      <c r="AT38" s="195">
        <f t="shared" ca="1" si="7"/>
        <v>1.8329512955201888</v>
      </c>
      <c r="AU38" s="80">
        <f t="shared" ca="1" si="11"/>
        <v>164.54348235906087</v>
      </c>
      <c r="AV38" s="80">
        <f t="shared" ca="1" si="8"/>
        <v>16.423482359060898</v>
      </c>
      <c r="BC38" s="499">
        <f t="shared" ca="1" si="9"/>
        <v>0.6281654266601554</v>
      </c>
      <c r="BD38" s="499">
        <f t="shared" ca="1" si="10"/>
        <v>17.051647785721055</v>
      </c>
    </row>
    <row r="39" spans="1:56" s="5" customFormat="1" ht="12" customHeight="1">
      <c r="A39" s="5" t="str">
        <f t="shared" si="2"/>
        <v>PA-CRCARRYOUT OVER 25</v>
      </c>
      <c r="B39" s="48" t="s">
        <v>108</v>
      </c>
      <c r="C39" s="48" t="s">
        <v>109</v>
      </c>
      <c r="D39" s="73">
        <v>0.83</v>
      </c>
      <c r="E39" s="192">
        <v>19</v>
      </c>
      <c r="F39" s="67"/>
      <c r="G39" s="68">
        <v>6.48</v>
      </c>
      <c r="H39" s="68">
        <v>6.48</v>
      </c>
      <c r="I39" s="68">
        <v>6.08</v>
      </c>
      <c r="J39" s="68">
        <v>6.07</v>
      </c>
      <c r="K39" s="68">
        <v>5.67</v>
      </c>
      <c r="L39" s="68">
        <v>5.67</v>
      </c>
      <c r="M39" s="68">
        <v>4.8600000000000003</v>
      </c>
      <c r="N39" s="68">
        <v>4.8600000000000003</v>
      </c>
      <c r="O39" s="68">
        <v>4.8600000000000003</v>
      </c>
      <c r="P39" s="68">
        <v>4.8600000000000003</v>
      </c>
      <c r="Q39" s="68">
        <v>4.8600000000000003</v>
      </c>
      <c r="R39" s="68">
        <v>4.8600000000000003</v>
      </c>
      <c r="S39" s="68">
        <f t="shared" si="3"/>
        <v>65.61</v>
      </c>
      <c r="T39" s="5">
        <v>32000</v>
      </c>
      <c r="V39" s="69">
        <f t="shared" si="14"/>
        <v>7.8072289156626518</v>
      </c>
      <c r="W39" s="69">
        <f t="shared" si="14"/>
        <v>7.8072289156626518</v>
      </c>
      <c r="X39" s="69">
        <f t="shared" si="14"/>
        <v>7.3253012048192776</v>
      </c>
      <c r="Y39" s="69">
        <f t="shared" si="13"/>
        <v>7.3132530120481931</v>
      </c>
      <c r="Z39" s="69">
        <f t="shared" si="13"/>
        <v>6.8313253012048198</v>
      </c>
      <c r="AA39" s="69">
        <f t="shared" si="13"/>
        <v>6.8313253012048198</v>
      </c>
      <c r="AB39" s="69">
        <f t="shared" si="13"/>
        <v>5.8554216867469888</v>
      </c>
      <c r="AC39" s="69">
        <f t="shared" si="13"/>
        <v>5.8554216867469888</v>
      </c>
      <c r="AD39" s="69">
        <f t="shared" si="13"/>
        <v>5.8554216867469888</v>
      </c>
      <c r="AE39" s="69">
        <f t="shared" si="13"/>
        <v>5.8554216867469888</v>
      </c>
      <c r="AF39" s="69">
        <f t="shared" si="13"/>
        <v>5.8554216867469888</v>
      </c>
      <c r="AG39" s="69">
        <f t="shared" si="13"/>
        <v>5.8554216867469888</v>
      </c>
      <c r="AH39" s="68">
        <f t="shared" si="5"/>
        <v>6.5873493975903621</v>
      </c>
      <c r="AI39" s="44"/>
      <c r="AJ39" s="193"/>
      <c r="AK39" s="43"/>
      <c r="AN39" s="58"/>
      <c r="AO39" s="59"/>
      <c r="AS39" s="197">
        <v>0.83</v>
      </c>
      <c r="AT39" s="195">
        <f t="shared" ca="1" si="7"/>
        <v>0.9220300456253071</v>
      </c>
      <c r="AU39" s="80">
        <f t="shared" ca="1" si="11"/>
        <v>72.884808787320964</v>
      </c>
      <c r="AV39" s="80">
        <f t="shared" ca="1" si="8"/>
        <v>7.2748087873209641</v>
      </c>
      <c r="BC39" s="499">
        <f t="shared" ca="1" si="9"/>
        <v>0.27824691900602744</v>
      </c>
      <c r="BD39" s="499">
        <f t="shared" ca="1" si="10"/>
        <v>7.5530557063269912</v>
      </c>
    </row>
    <row r="40" spans="1:56" s="5" customFormat="1" ht="12" customHeight="1">
      <c r="A40" s="5" t="str">
        <f t="shared" si="2"/>
        <v>PA-CSP35-RES</v>
      </c>
      <c r="B40" s="48" t="s">
        <v>111</v>
      </c>
      <c r="C40" s="48" t="s">
        <v>112</v>
      </c>
      <c r="D40" s="73">
        <v>8.5</v>
      </c>
      <c r="E40" s="192" t="s">
        <v>339</v>
      </c>
      <c r="F40" s="67"/>
      <c r="G40" s="68">
        <v>46.75</v>
      </c>
      <c r="H40" s="68">
        <v>114.75</v>
      </c>
      <c r="I40" s="68">
        <v>59.5</v>
      </c>
      <c r="J40" s="68">
        <v>119</v>
      </c>
      <c r="K40" s="68">
        <v>25.5</v>
      </c>
      <c r="L40" s="68">
        <v>42.5</v>
      </c>
      <c r="M40" s="68">
        <v>21.25</v>
      </c>
      <c r="N40" s="68">
        <v>89.25</v>
      </c>
      <c r="O40" s="68">
        <v>29.75</v>
      </c>
      <c r="P40" s="68">
        <v>63.75</v>
      </c>
      <c r="Q40" s="68">
        <v>38.25</v>
      </c>
      <c r="R40" s="68">
        <v>114.75</v>
      </c>
      <c r="S40" s="68">
        <f t="shared" si="3"/>
        <v>765</v>
      </c>
      <c r="T40" s="5">
        <v>32001</v>
      </c>
      <c r="V40" s="69">
        <f t="shared" si="14"/>
        <v>5.5</v>
      </c>
      <c r="W40" s="69">
        <f t="shared" si="14"/>
        <v>13.5</v>
      </c>
      <c r="X40" s="69">
        <f t="shared" si="14"/>
        <v>7</v>
      </c>
      <c r="Y40" s="69">
        <f t="shared" si="13"/>
        <v>14</v>
      </c>
      <c r="Z40" s="69">
        <f t="shared" si="13"/>
        <v>3</v>
      </c>
      <c r="AA40" s="69">
        <f t="shared" si="13"/>
        <v>5</v>
      </c>
      <c r="AB40" s="69">
        <f t="shared" si="13"/>
        <v>2.5</v>
      </c>
      <c r="AC40" s="69">
        <f t="shared" si="13"/>
        <v>10.5</v>
      </c>
      <c r="AD40" s="69">
        <f t="shared" si="13"/>
        <v>3.5</v>
      </c>
      <c r="AE40" s="69">
        <f t="shared" si="13"/>
        <v>7.5</v>
      </c>
      <c r="AF40" s="69">
        <f t="shared" si="13"/>
        <v>4.5</v>
      </c>
      <c r="AG40" s="69">
        <f t="shared" si="13"/>
        <v>13.5</v>
      </c>
      <c r="AH40" s="68">
        <f t="shared" si="5"/>
        <v>7.5</v>
      </c>
      <c r="AI40" s="44"/>
      <c r="AJ40" s="193"/>
      <c r="AK40" s="43"/>
      <c r="AN40" s="58"/>
      <c r="AO40" s="59"/>
      <c r="AS40" s="197">
        <v>9.16</v>
      </c>
      <c r="AT40" s="195">
        <f t="shared" ca="1" si="7"/>
        <v>10.175656889069655</v>
      </c>
      <c r="AU40" s="80">
        <f t="shared" ca="1" si="11"/>
        <v>915.80912001626905</v>
      </c>
      <c r="AV40" s="80">
        <f t="shared" ca="1" si="8"/>
        <v>150.80912001626905</v>
      </c>
      <c r="BC40" s="499">
        <f t="shared" ca="1" si="9"/>
        <v>3.4962164308576296</v>
      </c>
      <c r="BD40" s="499">
        <f t="shared" ca="1" si="10"/>
        <v>154.30533644712668</v>
      </c>
    </row>
    <row r="41" spans="1:56" s="5" customFormat="1" ht="12" customHeight="1">
      <c r="A41" s="5" t="str">
        <f t="shared" si="2"/>
        <v>PA-CSP60-RES</v>
      </c>
      <c r="B41" s="48" t="s">
        <v>113</v>
      </c>
      <c r="C41" s="48" t="s">
        <v>114</v>
      </c>
      <c r="D41" s="73">
        <v>8.5</v>
      </c>
      <c r="E41" s="192" t="s">
        <v>339</v>
      </c>
      <c r="F41" s="67"/>
      <c r="G41" s="68">
        <v>114.75</v>
      </c>
      <c r="H41" s="68">
        <v>242.25</v>
      </c>
      <c r="I41" s="68">
        <v>72.25</v>
      </c>
      <c r="J41" s="68">
        <v>352.75</v>
      </c>
      <c r="K41" s="68">
        <v>68</v>
      </c>
      <c r="L41" s="68">
        <v>263.5</v>
      </c>
      <c r="M41" s="68">
        <v>59.5</v>
      </c>
      <c r="N41" s="68">
        <v>263.5</v>
      </c>
      <c r="O41" s="68">
        <v>76.5</v>
      </c>
      <c r="P41" s="68">
        <v>382.5</v>
      </c>
      <c r="Q41" s="68">
        <v>182.75</v>
      </c>
      <c r="R41" s="68">
        <v>463.25</v>
      </c>
      <c r="S41" s="68">
        <f t="shared" si="3"/>
        <v>2541.5</v>
      </c>
      <c r="T41" s="5">
        <v>32001</v>
      </c>
      <c r="V41" s="69">
        <f t="shared" si="14"/>
        <v>13.5</v>
      </c>
      <c r="W41" s="69">
        <f t="shared" si="14"/>
        <v>28.5</v>
      </c>
      <c r="X41" s="69">
        <f t="shared" si="14"/>
        <v>8.5</v>
      </c>
      <c r="Y41" s="69">
        <f t="shared" si="13"/>
        <v>41.5</v>
      </c>
      <c r="Z41" s="69">
        <f t="shared" si="13"/>
        <v>8</v>
      </c>
      <c r="AA41" s="69">
        <f t="shared" si="13"/>
        <v>31</v>
      </c>
      <c r="AB41" s="69">
        <f t="shared" si="13"/>
        <v>7</v>
      </c>
      <c r="AC41" s="69">
        <f t="shared" si="13"/>
        <v>31</v>
      </c>
      <c r="AD41" s="69">
        <f t="shared" si="13"/>
        <v>9</v>
      </c>
      <c r="AE41" s="69">
        <f t="shared" si="13"/>
        <v>45</v>
      </c>
      <c r="AF41" s="69">
        <f t="shared" si="13"/>
        <v>21.5</v>
      </c>
      <c r="AG41" s="69">
        <f t="shared" si="13"/>
        <v>54.5</v>
      </c>
      <c r="AH41" s="68">
        <f t="shared" si="5"/>
        <v>24.916666666666668</v>
      </c>
      <c r="AI41" s="44"/>
      <c r="AJ41" s="193"/>
      <c r="AK41" s="43"/>
      <c r="AN41" s="58"/>
      <c r="AO41" s="59"/>
      <c r="AS41" s="197">
        <v>9.16</v>
      </c>
      <c r="AT41" s="195">
        <f t="shared" ca="1" si="7"/>
        <v>10.175656889069655</v>
      </c>
      <c r="AU41" s="80">
        <f t="shared" ca="1" si="11"/>
        <v>3042.5214098318274</v>
      </c>
      <c r="AV41" s="80">
        <f t="shared" ca="1" si="8"/>
        <v>501.02140983182744</v>
      </c>
      <c r="BC41" s="499">
        <f t="shared" ca="1" si="9"/>
        <v>11.615207920293681</v>
      </c>
      <c r="BD41" s="499">
        <f t="shared" ca="1" si="10"/>
        <v>512.63661775212108</v>
      </c>
    </row>
    <row r="42" spans="1:56" s="5" customFormat="1" ht="12" customHeight="1">
      <c r="A42" s="5" t="str">
        <f t="shared" si="2"/>
        <v>PA-CSP96-RES</v>
      </c>
      <c r="B42" s="48" t="s">
        <v>116</v>
      </c>
      <c r="C42" s="48" t="s">
        <v>117</v>
      </c>
      <c r="D42" s="73">
        <v>8.5</v>
      </c>
      <c r="E42" s="192" t="s">
        <v>339</v>
      </c>
      <c r="F42" s="67"/>
      <c r="G42" s="68">
        <v>51</v>
      </c>
      <c r="H42" s="68">
        <v>127.5</v>
      </c>
      <c r="I42" s="68">
        <v>29.75</v>
      </c>
      <c r="J42" s="68">
        <v>106.25</v>
      </c>
      <c r="K42" s="68">
        <v>8.5</v>
      </c>
      <c r="L42" s="68">
        <v>85</v>
      </c>
      <c r="M42" s="68">
        <v>34</v>
      </c>
      <c r="N42" s="68">
        <v>136</v>
      </c>
      <c r="O42" s="68">
        <v>55.25</v>
      </c>
      <c r="P42" s="68">
        <v>140.25</v>
      </c>
      <c r="Q42" s="68">
        <v>59.5</v>
      </c>
      <c r="R42" s="68">
        <v>280.5</v>
      </c>
      <c r="S42" s="68">
        <f t="shared" si="3"/>
        <v>1113.5</v>
      </c>
      <c r="T42" s="5">
        <v>32001</v>
      </c>
      <c r="V42" s="69">
        <f t="shared" si="14"/>
        <v>6</v>
      </c>
      <c r="W42" s="69">
        <f t="shared" si="14"/>
        <v>15</v>
      </c>
      <c r="X42" s="69">
        <f t="shared" si="14"/>
        <v>3.5</v>
      </c>
      <c r="Y42" s="69">
        <f t="shared" si="13"/>
        <v>12.5</v>
      </c>
      <c r="Z42" s="69">
        <f t="shared" si="13"/>
        <v>1</v>
      </c>
      <c r="AA42" s="69">
        <f t="shared" si="13"/>
        <v>10</v>
      </c>
      <c r="AB42" s="69">
        <f t="shared" si="13"/>
        <v>4</v>
      </c>
      <c r="AC42" s="69">
        <f t="shared" si="13"/>
        <v>16</v>
      </c>
      <c r="AD42" s="69">
        <f t="shared" si="13"/>
        <v>6.5</v>
      </c>
      <c r="AE42" s="69">
        <f t="shared" si="13"/>
        <v>16.5</v>
      </c>
      <c r="AF42" s="69">
        <f t="shared" si="13"/>
        <v>7</v>
      </c>
      <c r="AG42" s="69">
        <f t="shared" si="13"/>
        <v>33</v>
      </c>
      <c r="AH42" s="68">
        <f t="shared" si="5"/>
        <v>10.916666666666666</v>
      </c>
      <c r="AI42" s="44"/>
      <c r="AJ42" s="193"/>
      <c r="AK42" s="43"/>
      <c r="AN42" s="58"/>
      <c r="AO42" s="59"/>
      <c r="AS42" s="194">
        <v>9.16</v>
      </c>
      <c r="AT42" s="195">
        <f t="shared" ca="1" si="7"/>
        <v>10.175656889069655</v>
      </c>
      <c r="AU42" s="80">
        <f t="shared" ca="1" si="11"/>
        <v>1333.0110524681249</v>
      </c>
      <c r="AV42" s="80">
        <f t="shared" ca="1" si="8"/>
        <v>219.51105246812494</v>
      </c>
      <c r="BC42" s="499">
        <f t="shared" ca="1" si="9"/>
        <v>5.0889372493594385</v>
      </c>
      <c r="BD42" s="499">
        <f t="shared" ca="1" si="10"/>
        <v>224.59998971748439</v>
      </c>
    </row>
    <row r="43" spans="1:56" s="5" customFormat="1" ht="12" customHeight="1">
      <c r="A43" s="5" t="str">
        <f t="shared" si="2"/>
        <v>PA-CRGATE</v>
      </c>
      <c r="B43" s="48" t="s">
        <v>122</v>
      </c>
      <c r="C43" s="48" t="s">
        <v>123</v>
      </c>
      <c r="D43" s="73">
        <v>2.5299999999999998</v>
      </c>
      <c r="E43" s="192">
        <v>19</v>
      </c>
      <c r="F43" s="67"/>
      <c r="G43" s="68">
        <v>5.0599999999999996</v>
      </c>
      <c r="H43" s="68">
        <v>5.0599999999999996</v>
      </c>
      <c r="I43" s="68">
        <v>5.0599999999999996</v>
      </c>
      <c r="J43" s="68">
        <v>5.0599999999999996</v>
      </c>
      <c r="K43" s="68">
        <v>5.0599999999999996</v>
      </c>
      <c r="L43" s="68">
        <v>5.0599999999999996</v>
      </c>
      <c r="M43" s="68">
        <v>5.0599999999999996</v>
      </c>
      <c r="N43" s="68">
        <v>5.0599999999999996</v>
      </c>
      <c r="O43" s="68">
        <v>5.0599999999999996</v>
      </c>
      <c r="P43" s="68">
        <v>5.0599999999999996</v>
      </c>
      <c r="Q43" s="68">
        <v>0</v>
      </c>
      <c r="R43" s="68">
        <v>0</v>
      </c>
      <c r="S43" s="68">
        <f t="shared" si="3"/>
        <v>50.6</v>
      </c>
      <c r="T43" s="5">
        <v>32001</v>
      </c>
      <c r="V43" s="69">
        <f t="shared" si="14"/>
        <v>2</v>
      </c>
      <c r="W43" s="69">
        <f t="shared" si="14"/>
        <v>2</v>
      </c>
      <c r="X43" s="69">
        <f t="shared" si="14"/>
        <v>2</v>
      </c>
      <c r="Y43" s="69">
        <f t="shared" si="13"/>
        <v>2</v>
      </c>
      <c r="Z43" s="69">
        <f t="shared" si="13"/>
        <v>2</v>
      </c>
      <c r="AA43" s="69">
        <f t="shared" si="13"/>
        <v>2</v>
      </c>
      <c r="AB43" s="69">
        <f t="shared" si="13"/>
        <v>2</v>
      </c>
      <c r="AC43" s="69">
        <f t="shared" si="13"/>
        <v>2</v>
      </c>
      <c r="AD43" s="69">
        <f t="shared" si="13"/>
        <v>2</v>
      </c>
      <c r="AE43" s="69">
        <f t="shared" si="13"/>
        <v>2</v>
      </c>
      <c r="AF43" s="69">
        <f t="shared" si="13"/>
        <v>0</v>
      </c>
      <c r="AG43" s="69">
        <f t="shared" si="13"/>
        <v>0</v>
      </c>
      <c r="AH43" s="68">
        <f t="shared" si="5"/>
        <v>2</v>
      </c>
      <c r="AI43" s="44"/>
      <c r="AJ43" s="193"/>
      <c r="AK43" s="43"/>
      <c r="AN43" s="58"/>
      <c r="AO43" s="59"/>
      <c r="AS43" s="198">
        <v>2.5299999999999998</v>
      </c>
      <c r="AT43" s="195">
        <f t="shared" ca="1" si="7"/>
        <v>2.8105253197976228</v>
      </c>
      <c r="AU43" s="80">
        <f t="shared" ca="1" si="11"/>
        <v>67.452607675142943</v>
      </c>
      <c r="AV43" s="80">
        <f t="shared" ca="1" si="8"/>
        <v>16.852607675142941</v>
      </c>
      <c r="BC43" s="499">
        <f t="shared" ca="1" si="9"/>
        <v>0.25750880844453566</v>
      </c>
      <c r="BD43" s="499">
        <f t="shared" ca="1" si="10"/>
        <v>17.110116483587475</v>
      </c>
    </row>
    <row r="44" spans="1:56" s="5" customFormat="1" ht="12" customHeight="1">
      <c r="A44" s="5" t="str">
        <f t="shared" si="2"/>
        <v>PA-CROLLE-RESI</v>
      </c>
      <c r="B44" s="48" t="s">
        <v>124</v>
      </c>
      <c r="C44" s="48" t="s">
        <v>125</v>
      </c>
      <c r="D44" s="73">
        <v>1.21</v>
      </c>
      <c r="E44" s="192">
        <v>31</v>
      </c>
      <c r="F44" s="67"/>
      <c r="G44" s="68">
        <v>25.71</v>
      </c>
      <c r="H44" s="68">
        <v>25.7</v>
      </c>
      <c r="I44" s="68">
        <v>26.62</v>
      </c>
      <c r="J44" s="68">
        <v>31.450000000000003</v>
      </c>
      <c r="K44" s="68">
        <v>29.04</v>
      </c>
      <c r="L44" s="68">
        <v>29.04</v>
      </c>
      <c r="M44" s="68">
        <v>30.860000000000003</v>
      </c>
      <c r="N44" s="68">
        <v>29.64</v>
      </c>
      <c r="O44" s="68">
        <v>32.67</v>
      </c>
      <c r="P44" s="68">
        <v>32.67</v>
      </c>
      <c r="Q44" s="68">
        <v>35.090000000000003</v>
      </c>
      <c r="R44" s="68">
        <v>35.090000000000003</v>
      </c>
      <c r="S44" s="68">
        <f t="shared" si="3"/>
        <v>363.58000000000004</v>
      </c>
      <c r="T44" s="5">
        <v>32001</v>
      </c>
      <c r="V44" s="69">
        <f t="shared" si="14"/>
        <v>21.24793388429752</v>
      </c>
      <c r="W44" s="69">
        <f t="shared" si="14"/>
        <v>21.239669421487605</v>
      </c>
      <c r="X44" s="69">
        <f t="shared" si="14"/>
        <v>22</v>
      </c>
      <c r="Y44" s="69">
        <f t="shared" si="13"/>
        <v>25.991735537190085</v>
      </c>
      <c r="Z44" s="69">
        <f t="shared" si="13"/>
        <v>24</v>
      </c>
      <c r="AA44" s="69">
        <f t="shared" si="13"/>
        <v>24</v>
      </c>
      <c r="AB44" s="69">
        <f t="shared" si="13"/>
        <v>25.504132231404963</v>
      </c>
      <c r="AC44" s="69">
        <f t="shared" si="13"/>
        <v>24.495867768595044</v>
      </c>
      <c r="AD44" s="69">
        <f t="shared" si="13"/>
        <v>27.000000000000004</v>
      </c>
      <c r="AE44" s="69">
        <f t="shared" si="13"/>
        <v>27.000000000000004</v>
      </c>
      <c r="AF44" s="69">
        <f t="shared" si="13"/>
        <v>29.000000000000004</v>
      </c>
      <c r="AG44" s="69">
        <f t="shared" si="13"/>
        <v>29.000000000000004</v>
      </c>
      <c r="AH44" s="68">
        <f t="shared" si="5"/>
        <v>25.039944903581269</v>
      </c>
      <c r="AI44" s="44"/>
      <c r="AJ44" s="193"/>
      <c r="AK44" s="43"/>
      <c r="AN44" s="58"/>
      <c r="AO44" s="59"/>
      <c r="AS44" s="198">
        <v>1.21</v>
      </c>
      <c r="AT44" s="195">
        <f t="shared" ca="1" si="7"/>
        <v>1.3441642833814718</v>
      </c>
      <c r="AU44" s="80">
        <f t="shared" ca="1" si="11"/>
        <v>403.89359516680622</v>
      </c>
      <c r="AV44" s="80">
        <f t="shared" ca="1" si="8"/>
        <v>40.313595166806181</v>
      </c>
      <c r="BC44" s="499">
        <f t="shared" ca="1" si="9"/>
        <v>1.5419145680873565</v>
      </c>
      <c r="BD44" s="499">
        <f t="shared" ca="1" si="10"/>
        <v>41.855509734893538</v>
      </c>
    </row>
    <row r="45" spans="1:56" s="5" customFormat="1" ht="12" customHeight="1">
      <c r="A45" s="5" t="str">
        <f t="shared" si="2"/>
        <v>PA-CROLLM-RESI</v>
      </c>
      <c r="B45" s="48" t="s">
        <v>126</v>
      </c>
      <c r="C45" s="48" t="s">
        <v>127</v>
      </c>
      <c r="D45" s="73">
        <v>0.56000000000000005</v>
      </c>
      <c r="E45" s="192">
        <v>31</v>
      </c>
      <c r="F45" s="67"/>
      <c r="G45" s="68">
        <v>3.9200000000000004</v>
      </c>
      <c r="H45" s="68">
        <v>3.9200000000000004</v>
      </c>
      <c r="I45" s="68">
        <v>4.4800000000000004</v>
      </c>
      <c r="J45" s="68">
        <v>4.4800000000000004</v>
      </c>
      <c r="K45" s="68">
        <v>4.4800000000000004</v>
      </c>
      <c r="L45" s="68">
        <v>4.4800000000000004</v>
      </c>
      <c r="M45" s="68">
        <v>4.4800000000000004</v>
      </c>
      <c r="N45" s="68">
        <v>4.4800000000000004</v>
      </c>
      <c r="O45" s="68">
        <v>4.4800000000000004</v>
      </c>
      <c r="P45" s="68">
        <v>4.4800000000000004</v>
      </c>
      <c r="Q45" s="68">
        <v>0</v>
      </c>
      <c r="R45" s="68">
        <v>0</v>
      </c>
      <c r="S45" s="68">
        <f t="shared" si="3"/>
        <v>43.680000000000007</v>
      </c>
      <c r="T45" s="5">
        <v>32001</v>
      </c>
      <c r="V45" s="69">
        <f t="shared" si="14"/>
        <v>7</v>
      </c>
      <c r="W45" s="69">
        <f t="shared" si="14"/>
        <v>7</v>
      </c>
      <c r="X45" s="69">
        <f t="shared" si="14"/>
        <v>8</v>
      </c>
      <c r="Y45" s="69">
        <f t="shared" si="13"/>
        <v>8</v>
      </c>
      <c r="Z45" s="69">
        <f t="shared" si="13"/>
        <v>8</v>
      </c>
      <c r="AA45" s="69">
        <f t="shared" si="13"/>
        <v>8</v>
      </c>
      <c r="AB45" s="69">
        <f t="shared" si="13"/>
        <v>8</v>
      </c>
      <c r="AC45" s="69">
        <f t="shared" si="13"/>
        <v>8</v>
      </c>
      <c r="AD45" s="69">
        <f t="shared" si="13"/>
        <v>8</v>
      </c>
      <c r="AE45" s="69">
        <f t="shared" si="13"/>
        <v>8</v>
      </c>
      <c r="AF45" s="69">
        <f t="shared" si="13"/>
        <v>0</v>
      </c>
      <c r="AG45" s="69">
        <f t="shared" si="13"/>
        <v>0</v>
      </c>
      <c r="AH45" s="68">
        <f t="shared" si="5"/>
        <v>7.8</v>
      </c>
      <c r="AI45" s="44"/>
      <c r="AJ45" s="193"/>
      <c r="AK45" s="43"/>
      <c r="AN45" s="58"/>
      <c r="AO45" s="59"/>
      <c r="AS45" s="198">
        <v>0.56000000000000005</v>
      </c>
      <c r="AT45" s="195">
        <f t="shared" ca="1" si="7"/>
        <v>0.6220925609038217</v>
      </c>
      <c r="AU45" s="80">
        <f t="shared" ca="1" si="11"/>
        <v>58.227863700597709</v>
      </c>
      <c r="AV45" s="80">
        <f t="shared" ca="1" si="8"/>
        <v>14.547863700597702</v>
      </c>
      <c r="BC45" s="499">
        <f t="shared" ca="1" si="9"/>
        <v>0.22229218879164664</v>
      </c>
      <c r="BD45" s="499">
        <f t="shared" ca="1" si="10"/>
        <v>14.770155889389349</v>
      </c>
    </row>
    <row r="46" spans="1:56" s="5" customFormat="1" ht="12" customHeight="1">
      <c r="A46" s="5" t="str">
        <f t="shared" si="2"/>
        <v>PA-CROLLW-RESI</v>
      </c>
      <c r="B46" s="48" t="s">
        <v>129</v>
      </c>
      <c r="C46" s="48" t="s">
        <v>130</v>
      </c>
      <c r="D46" s="73">
        <v>2.4249999999999998</v>
      </c>
      <c r="E46" s="192">
        <v>31</v>
      </c>
      <c r="F46" s="67"/>
      <c r="G46" s="68">
        <v>24.25</v>
      </c>
      <c r="H46" s="68">
        <v>24.25</v>
      </c>
      <c r="I46" s="68">
        <v>24.25</v>
      </c>
      <c r="J46" s="68">
        <v>24.25</v>
      </c>
      <c r="K46" s="68">
        <v>24.25</v>
      </c>
      <c r="L46" s="68">
        <v>24.25</v>
      </c>
      <c r="M46" s="68">
        <v>24.25</v>
      </c>
      <c r="N46" s="68">
        <v>24.25</v>
      </c>
      <c r="O46" s="68">
        <v>21.82</v>
      </c>
      <c r="P46" s="68">
        <v>24.240000000000002</v>
      </c>
      <c r="Q46" s="68">
        <v>29.1</v>
      </c>
      <c r="R46" s="68">
        <v>31.520000000000003</v>
      </c>
      <c r="S46" s="68">
        <f t="shared" si="3"/>
        <v>300.68</v>
      </c>
      <c r="T46" s="5">
        <v>32001</v>
      </c>
      <c r="V46" s="69">
        <f t="shared" si="14"/>
        <v>10</v>
      </c>
      <c r="W46" s="69">
        <f t="shared" si="14"/>
        <v>10</v>
      </c>
      <c r="X46" s="69">
        <f t="shared" si="14"/>
        <v>10</v>
      </c>
      <c r="Y46" s="69">
        <f t="shared" si="13"/>
        <v>10</v>
      </c>
      <c r="Z46" s="69">
        <f t="shared" si="13"/>
        <v>10</v>
      </c>
      <c r="AA46" s="69">
        <f t="shared" si="13"/>
        <v>10</v>
      </c>
      <c r="AB46" s="69">
        <f t="shared" si="13"/>
        <v>10</v>
      </c>
      <c r="AC46" s="69">
        <f t="shared" si="13"/>
        <v>10</v>
      </c>
      <c r="AD46" s="69">
        <f t="shared" si="13"/>
        <v>8.9979381443298969</v>
      </c>
      <c r="AE46" s="69">
        <f t="shared" si="13"/>
        <v>9.9958762886597956</v>
      </c>
      <c r="AF46" s="69">
        <f t="shared" si="13"/>
        <v>12.000000000000002</v>
      </c>
      <c r="AG46" s="69">
        <f t="shared" si="13"/>
        <v>12.997938144329899</v>
      </c>
      <c r="AH46" s="68">
        <f t="shared" si="5"/>
        <v>10.332646048109966</v>
      </c>
      <c r="AI46" s="44"/>
      <c r="AJ46" s="193"/>
      <c r="AK46" s="43"/>
      <c r="AN46" s="58"/>
      <c r="AO46" s="59"/>
      <c r="AS46" s="198">
        <v>2.4249999999999998</v>
      </c>
      <c r="AT46" s="195">
        <f t="shared" ca="1" si="7"/>
        <v>2.6938829646281564</v>
      </c>
      <c r="AU46" s="80">
        <f t="shared" ca="1" si="11"/>
        <v>334.01927002243053</v>
      </c>
      <c r="AV46" s="80">
        <f t="shared" ca="1" si="8"/>
        <v>33.339270022430526</v>
      </c>
      <c r="BC46" s="499">
        <f t="shared" ca="1" si="9"/>
        <v>1.2751605487994564</v>
      </c>
      <c r="BD46" s="499">
        <f t="shared" ca="1" si="10"/>
        <v>34.614430571229981</v>
      </c>
    </row>
    <row r="47" spans="1:56" s="19" customFormat="1" ht="12" customHeight="1">
      <c r="A47" s="71" t="str">
        <f t="shared" si="2"/>
        <v>PA-C64RW1</v>
      </c>
      <c r="B47" s="72" t="s">
        <v>345</v>
      </c>
      <c r="C47" s="72" t="s">
        <v>330</v>
      </c>
      <c r="D47" s="73">
        <v>9.5399999999999991</v>
      </c>
      <c r="E47" s="192">
        <v>22</v>
      </c>
      <c r="F47" s="67"/>
      <c r="G47" s="75">
        <v>0</v>
      </c>
      <c r="H47" s="75">
        <v>0</v>
      </c>
      <c r="I47" s="75">
        <v>0</v>
      </c>
      <c r="J47" s="75">
        <v>0</v>
      </c>
      <c r="K47" s="75">
        <v>0</v>
      </c>
      <c r="L47" s="75">
        <v>-7.94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f t="shared" si="3"/>
        <v>-7.94</v>
      </c>
      <c r="T47" s="71">
        <v>32000</v>
      </c>
      <c r="V47" s="75">
        <f t="shared" si="14"/>
        <v>0</v>
      </c>
      <c r="W47" s="75">
        <f t="shared" si="14"/>
        <v>0</v>
      </c>
      <c r="X47" s="75">
        <f t="shared" si="14"/>
        <v>0</v>
      </c>
      <c r="Y47" s="75">
        <f t="shared" si="13"/>
        <v>0</v>
      </c>
      <c r="Z47" s="75">
        <f t="shared" si="13"/>
        <v>0</v>
      </c>
      <c r="AA47" s="75">
        <f t="shared" si="13"/>
        <v>-0.8322851153039833</v>
      </c>
      <c r="AB47" s="75">
        <f t="shared" si="13"/>
        <v>0</v>
      </c>
      <c r="AC47" s="75">
        <f t="shared" si="13"/>
        <v>0</v>
      </c>
      <c r="AD47" s="75">
        <f t="shared" si="13"/>
        <v>0</v>
      </c>
      <c r="AE47" s="75">
        <f t="shared" si="13"/>
        <v>0</v>
      </c>
      <c r="AF47" s="75">
        <f t="shared" si="13"/>
        <v>0</v>
      </c>
      <c r="AG47" s="75">
        <f t="shared" si="13"/>
        <v>0</v>
      </c>
      <c r="AH47" s="75">
        <f t="shared" si="5"/>
        <v>0</v>
      </c>
      <c r="AI47" s="44"/>
      <c r="AJ47" s="193"/>
      <c r="AK47" s="43"/>
      <c r="AL47" s="5">
        <v>1</v>
      </c>
      <c r="AM47" s="44">
        <f>+AH47*AL47</f>
        <v>0</v>
      </c>
      <c r="AN47" s="58"/>
      <c r="AO47" s="59"/>
      <c r="AP47" s="5"/>
      <c r="AQ47" s="5"/>
      <c r="AR47" s="5"/>
      <c r="AS47" s="198">
        <v>9.5399999999999991</v>
      </c>
      <c r="AT47" s="195">
        <f t="shared" ca="1" si="7"/>
        <v>10.597791126825818</v>
      </c>
      <c r="AU47" s="80">
        <f t="shared" ca="1" si="11"/>
        <v>0</v>
      </c>
      <c r="AV47" s="80">
        <f t="shared" ca="1" si="8"/>
        <v>7.94</v>
      </c>
      <c r="BC47" s="499">
        <f ca="1">AU47*BD$2</f>
        <v>0</v>
      </c>
      <c r="BD47" s="499">
        <f t="shared" ca="1" si="10"/>
        <v>7.94</v>
      </c>
    </row>
    <row r="48" spans="1:56" s="5" customFormat="1" ht="12" customHeight="1" thickBot="1">
      <c r="B48" s="48"/>
      <c r="C48" s="48"/>
      <c r="D48" s="199"/>
      <c r="E48" s="199"/>
      <c r="F48" s="67"/>
      <c r="G48" s="68"/>
      <c r="H48" s="68"/>
      <c r="I48" s="68"/>
      <c r="J48" s="69"/>
      <c r="K48" s="69"/>
      <c r="L48" s="69"/>
      <c r="M48" s="69"/>
      <c r="N48" s="69"/>
      <c r="O48" s="69"/>
      <c r="P48" s="69"/>
      <c r="Q48" s="69"/>
      <c r="R48" s="69"/>
      <c r="S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44"/>
      <c r="AJ48"/>
      <c r="AK48" s="43"/>
      <c r="AN48" s="58"/>
      <c r="AO48" s="59"/>
      <c r="AS48" s="41"/>
      <c r="AT48" s="200"/>
      <c r="BC48" s="502"/>
      <c r="BD48" s="502"/>
    </row>
    <row r="49" spans="1:56" s="3" customFormat="1" ht="12" customHeight="1" thickBot="1">
      <c r="B49" s="45"/>
      <c r="C49" s="112" t="s">
        <v>133</v>
      </c>
      <c r="D49" s="199"/>
      <c r="E49" s="199"/>
      <c r="F49" s="114"/>
      <c r="G49" s="201">
        <f t="shared" ref="G49:R49" si="15">SUM(G13:G48)</f>
        <v>282827.83</v>
      </c>
      <c r="H49" s="201">
        <f t="shared" si="15"/>
        <v>289317.33999999997</v>
      </c>
      <c r="I49" s="201">
        <f t="shared" si="15"/>
        <v>282444.39</v>
      </c>
      <c r="J49" s="201">
        <f t="shared" si="15"/>
        <v>286870.67</v>
      </c>
      <c r="K49" s="201">
        <f t="shared" si="15"/>
        <v>279782.15999999997</v>
      </c>
      <c r="L49" s="201">
        <f t="shared" si="15"/>
        <v>286096.1399999999</v>
      </c>
      <c r="M49" s="201">
        <f t="shared" si="15"/>
        <v>281338.48000000004</v>
      </c>
      <c r="N49" s="201">
        <f t="shared" si="15"/>
        <v>289472.78000000009</v>
      </c>
      <c r="O49" s="201">
        <f t="shared" si="15"/>
        <v>286201.62999999995</v>
      </c>
      <c r="P49" s="201">
        <f t="shared" si="15"/>
        <v>296236.79999999993</v>
      </c>
      <c r="Q49" s="201">
        <f t="shared" si="15"/>
        <v>291635.10000000003</v>
      </c>
      <c r="R49" s="201">
        <f t="shared" si="15"/>
        <v>300359.38</v>
      </c>
      <c r="S49" s="201">
        <f>SUM(G49:R49)</f>
        <v>3452582.6999999997</v>
      </c>
      <c r="T49" s="202"/>
      <c r="U49" s="202"/>
      <c r="V49" s="203">
        <f t="shared" ref="V49:AG49" si="16">SUM(V13:V16,V24:V32,V47)</f>
        <v>10928.733766761479</v>
      </c>
      <c r="W49" s="203">
        <f t="shared" si="16"/>
        <v>11070.632148896399</v>
      </c>
      <c r="X49" s="203">
        <f t="shared" si="16"/>
        <v>10913.228846196365</v>
      </c>
      <c r="Y49" s="203">
        <f t="shared" si="16"/>
        <v>11005.520447733086</v>
      </c>
      <c r="Z49" s="203">
        <f t="shared" si="16"/>
        <v>10819.449440654094</v>
      </c>
      <c r="AA49" s="203">
        <f t="shared" si="16"/>
        <v>10926.462803843717</v>
      </c>
      <c r="AB49" s="203">
        <f t="shared" si="16"/>
        <v>10848.314278568459</v>
      </c>
      <c r="AC49" s="203">
        <f t="shared" si="16"/>
        <v>10980.618660713568</v>
      </c>
      <c r="AD49" s="203">
        <f t="shared" si="16"/>
        <v>10975.146228207241</v>
      </c>
      <c r="AE49" s="203">
        <f t="shared" si="16"/>
        <v>11155.121475603879</v>
      </c>
      <c r="AF49" s="203">
        <f t="shared" si="16"/>
        <v>11144.117550277848</v>
      </c>
      <c r="AG49" s="203">
        <f t="shared" si="16"/>
        <v>11292.595378508558</v>
      </c>
      <c r="AH49" s="203">
        <f>SUM(AH47,AH24:AH32,AH13:AH16)</f>
        <v>11005.064442589999</v>
      </c>
      <c r="AI49" s="44"/>
      <c r="AJ49"/>
      <c r="AK49" s="43"/>
      <c r="AL49" s="5"/>
      <c r="AM49" s="118">
        <f>SUM(AM12:AM48)</f>
        <v>11015.241599918863</v>
      </c>
      <c r="AN49"/>
      <c r="AO49" s="118">
        <f>SUM(AO12:AO48)</f>
        <v>0</v>
      </c>
      <c r="AP49"/>
      <c r="AQ49" s="118">
        <f>SUM(AQ12:AQ48)</f>
        <v>0</v>
      </c>
      <c r="AR49" s="5"/>
      <c r="AS49" s="41"/>
      <c r="AT49" s="204"/>
      <c r="AU49" s="119">
        <f ca="1">SUM(AU13:OFFSET(AU49,-1,0))</f>
        <v>4298333.2736540744</v>
      </c>
      <c r="AV49" s="119">
        <f ca="1">SUM(AV13:OFFSET(AV49,-1,0))</f>
        <v>845750.57365407364</v>
      </c>
      <c r="AX49" s="205"/>
      <c r="BC49" s="510">
        <f ca="1">SUM(BC13:OFFSET(BC49,-1,0))</f>
        <v>16409.427563228972</v>
      </c>
      <c r="BD49" s="510">
        <f ca="1">SUM(BD13:OFFSET(BD49,-1,0))</f>
        <v>862160.00121730263</v>
      </c>
    </row>
    <row r="50" spans="1:56" s="5" customFormat="1" ht="12" customHeight="1">
      <c r="B50" s="206"/>
      <c r="C50" s="153"/>
      <c r="D50" s="199"/>
      <c r="E50" s="199"/>
      <c r="F50" s="67"/>
      <c r="G50" s="125"/>
      <c r="H50" s="68" t="str">
        <f>IF(F50="","",(#REF!/F50)+(#REF!/D50))</f>
        <v/>
      </c>
      <c r="I50" s="68" t="str">
        <f>IF(F50="","",H50/12)</f>
        <v/>
      </c>
      <c r="J50" s="207"/>
      <c r="K50" s="89"/>
      <c r="L50" s="19"/>
      <c r="M50" s="19"/>
      <c r="N50" s="19"/>
      <c r="O50" s="19"/>
      <c r="P50" s="19"/>
      <c r="Q50" s="19"/>
      <c r="R50" s="19"/>
      <c r="S50" s="1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44"/>
      <c r="AJ50"/>
      <c r="AK50" s="43"/>
      <c r="AN50" s="58"/>
      <c r="AO50" s="59"/>
      <c r="AS50" s="41"/>
      <c r="AT50" s="200"/>
      <c r="BC50" s="502"/>
      <c r="BD50" s="502"/>
    </row>
    <row r="51" spans="1:56" s="5" customFormat="1" ht="12" customHeight="1">
      <c r="B51" s="64" t="s">
        <v>134</v>
      </c>
      <c r="C51" s="64" t="s">
        <v>134</v>
      </c>
      <c r="D51" s="199"/>
      <c r="E51" s="199"/>
      <c r="F51" s="67"/>
      <c r="G51" s="125"/>
      <c r="H51" s="68" t="str">
        <f>IF(F51="","",(#REF!/F51)+(#REF!/D51))</f>
        <v/>
      </c>
      <c r="I51" s="68" t="str">
        <f>IF(F51="","",H51/12)</f>
        <v/>
      </c>
      <c r="J51" s="207"/>
      <c r="K51" s="89"/>
      <c r="L51" s="19"/>
      <c r="M51" s="19"/>
      <c r="N51" s="19"/>
      <c r="O51" s="19"/>
      <c r="P51" s="19"/>
      <c r="Q51" s="19"/>
      <c r="R51" s="19"/>
      <c r="S51" s="1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44"/>
      <c r="AJ51"/>
      <c r="AK51" s="43"/>
      <c r="AN51" s="58"/>
      <c r="AO51" s="59"/>
      <c r="AS51" s="41"/>
      <c r="AT51" s="200"/>
      <c r="BC51" s="503"/>
      <c r="BD51" s="503"/>
    </row>
    <row r="52" spans="1:56" s="19" customFormat="1" ht="12" customHeight="1">
      <c r="A52" s="71" t="str">
        <f>"PA-C"&amp;B52</f>
        <v>PA-Crecyonlypre</v>
      </c>
      <c r="B52" s="72" t="s">
        <v>135</v>
      </c>
      <c r="C52" s="72" t="s">
        <v>136</v>
      </c>
      <c r="D52" s="73">
        <v>10.87</v>
      </c>
      <c r="E52" s="192">
        <v>22</v>
      </c>
      <c r="F52" s="67"/>
      <c r="G52" s="75">
        <v>622.30999999999995</v>
      </c>
      <c r="H52" s="75">
        <v>622.29999999999995</v>
      </c>
      <c r="I52" s="75">
        <v>630.46</v>
      </c>
      <c r="J52" s="75">
        <v>619.59</v>
      </c>
      <c r="K52" s="75">
        <v>586.98</v>
      </c>
      <c r="L52" s="75">
        <v>597.18000000000006</v>
      </c>
      <c r="M52" s="75">
        <v>597.85</v>
      </c>
      <c r="N52" s="75">
        <v>608.72</v>
      </c>
      <c r="O52" s="75">
        <v>616.87</v>
      </c>
      <c r="P52" s="75">
        <v>627.74</v>
      </c>
      <c r="Q52" s="75">
        <v>611.43999999999994</v>
      </c>
      <c r="R52" s="75">
        <v>649.45999999999992</v>
      </c>
      <c r="S52" s="75">
        <f>SUM(G52:R52)</f>
        <v>7390.9</v>
      </c>
      <c r="T52" s="71">
        <v>32100</v>
      </c>
      <c r="V52" s="75">
        <f t="shared" ref="V52:AG53" si="17">IFERROR(G52/$D52,0)</f>
        <v>57.250229990800364</v>
      </c>
      <c r="W52" s="75">
        <f t="shared" si="17"/>
        <v>57.249310027598895</v>
      </c>
      <c r="X52" s="75">
        <f t="shared" si="17"/>
        <v>58.000000000000007</v>
      </c>
      <c r="Y52" s="75">
        <f t="shared" si="17"/>
        <v>57.000000000000007</v>
      </c>
      <c r="Z52" s="75">
        <f t="shared" si="17"/>
        <v>54.000000000000007</v>
      </c>
      <c r="AA52" s="75">
        <f t="shared" si="17"/>
        <v>54.938362465501392</v>
      </c>
      <c r="AB52" s="75">
        <f t="shared" si="17"/>
        <v>55.000000000000007</v>
      </c>
      <c r="AC52" s="75">
        <f t="shared" si="17"/>
        <v>56.000000000000007</v>
      </c>
      <c r="AD52" s="75">
        <f t="shared" si="17"/>
        <v>56.749770009199636</v>
      </c>
      <c r="AE52" s="75">
        <f t="shared" si="17"/>
        <v>57.749770009199636</v>
      </c>
      <c r="AF52" s="75">
        <f t="shared" si="17"/>
        <v>56.250229990800364</v>
      </c>
      <c r="AG52" s="75">
        <f t="shared" si="17"/>
        <v>59.747930082796685</v>
      </c>
      <c r="AH52" s="75">
        <f>AVERAGE(V52:AG52)</f>
        <v>56.661300214658077</v>
      </c>
      <c r="AI52" s="44"/>
      <c r="AJ52"/>
      <c r="AK52" s="43" t="s">
        <v>137</v>
      </c>
      <c r="AL52" s="5">
        <v>1</v>
      </c>
      <c r="AM52" s="44">
        <f>+AH52*AL52</f>
        <v>56.661300214658077</v>
      </c>
      <c r="AN52" s="58"/>
      <c r="AO52" s="59"/>
      <c r="AP52" s="5"/>
      <c r="AQ52" s="5"/>
      <c r="AR52" s="5"/>
      <c r="AS52" s="194">
        <v>10.87</v>
      </c>
      <c r="AT52" s="195">
        <f ca="1">+AS52*(1+$AZ$2)</f>
        <v>12.075260958972395</v>
      </c>
      <c r="AU52" s="80">
        <f ca="1">+AT52*AH52*12</f>
        <v>8210.3998364000981</v>
      </c>
      <c r="AV52" s="80">
        <f ca="1">+AU52-S52</f>
        <v>819.4998364000985</v>
      </c>
      <c r="BC52" s="499">
        <f t="shared" ref="BC52:BC53" ca="1" si="18">AU52*BD$2</f>
        <v>31.344233404689042</v>
      </c>
      <c r="BD52" s="499">
        <f t="shared" ref="BD52:BD53" ca="1" si="19">+BC52+AV52</f>
        <v>850.84406980478752</v>
      </c>
    </row>
    <row r="53" spans="1:56" s="19" customFormat="1" ht="12" customHeight="1">
      <c r="A53" s="71" t="str">
        <f>"PA-C"&amp;B53</f>
        <v>PA-Crecyrpre</v>
      </c>
      <c r="B53" s="72" t="s">
        <v>138</v>
      </c>
      <c r="C53" s="72" t="s">
        <v>139</v>
      </c>
      <c r="D53" s="73">
        <v>9.5399999999999991</v>
      </c>
      <c r="E53" s="192">
        <v>22</v>
      </c>
      <c r="F53" s="67"/>
      <c r="G53" s="75">
        <v>48596.76</v>
      </c>
      <c r="H53" s="75">
        <v>49240.710000000006</v>
      </c>
      <c r="I53" s="75">
        <v>48909.189999999995</v>
      </c>
      <c r="J53" s="75">
        <v>49400.509999999995</v>
      </c>
      <c r="K53" s="75">
        <v>48737.47</v>
      </c>
      <c r="L53" s="75">
        <v>49247.87</v>
      </c>
      <c r="M53" s="75">
        <v>49016.520000000004</v>
      </c>
      <c r="N53" s="75">
        <v>49603.23000000001</v>
      </c>
      <c r="O53" s="75">
        <v>49558.15</v>
      </c>
      <c r="P53" s="75">
        <v>50311.72</v>
      </c>
      <c r="Q53" s="75">
        <v>50984.150000000009</v>
      </c>
      <c r="R53" s="75">
        <v>51828.43</v>
      </c>
      <c r="S53" s="75">
        <f>SUM(G53:R53)</f>
        <v>595434.71000000008</v>
      </c>
      <c r="T53" s="71">
        <v>32100</v>
      </c>
      <c r="V53" s="75">
        <f t="shared" si="17"/>
        <v>5094.0000000000009</v>
      </c>
      <c r="W53" s="75">
        <f t="shared" si="17"/>
        <v>5161.5000000000009</v>
      </c>
      <c r="X53" s="75">
        <f t="shared" si="17"/>
        <v>5126.7494758909852</v>
      </c>
      <c r="Y53" s="75">
        <f t="shared" si="17"/>
        <v>5178.2505241090148</v>
      </c>
      <c r="Z53" s="75">
        <f t="shared" si="17"/>
        <v>5108.7494758909861</v>
      </c>
      <c r="AA53" s="75">
        <f t="shared" si="17"/>
        <v>5162.2505241090157</v>
      </c>
      <c r="AB53" s="75">
        <f t="shared" si="17"/>
        <v>5138.0000000000009</v>
      </c>
      <c r="AC53" s="75">
        <f t="shared" si="17"/>
        <v>5199.5000000000018</v>
      </c>
      <c r="AD53" s="75">
        <f t="shared" si="17"/>
        <v>5194.7746331236904</v>
      </c>
      <c r="AE53" s="75">
        <f t="shared" si="17"/>
        <v>5273.7651991614266</v>
      </c>
      <c r="AF53" s="75">
        <f t="shared" si="17"/>
        <v>5344.2505241090157</v>
      </c>
      <c r="AG53" s="75">
        <f t="shared" si="17"/>
        <v>5432.7494758909861</v>
      </c>
      <c r="AH53" s="75">
        <f>AVERAGE(V53:AG53)</f>
        <v>5201.2116526904274</v>
      </c>
      <c r="AI53" s="44"/>
      <c r="AJ53"/>
      <c r="AK53" s="43" t="s">
        <v>137</v>
      </c>
      <c r="AL53" s="5">
        <v>1</v>
      </c>
      <c r="AM53" s="44">
        <f>+AH53*AL53</f>
        <v>5201.2116526904274</v>
      </c>
      <c r="AN53" s="58"/>
      <c r="AO53" s="59"/>
      <c r="AP53" s="5"/>
      <c r="AQ53" s="5"/>
      <c r="AR53" s="5"/>
      <c r="AS53" s="194">
        <v>9.5399999999999991</v>
      </c>
      <c r="AT53" s="195">
        <f ca="1">+AS53*(1+$AZ$2)</f>
        <v>10.597791126825818</v>
      </c>
      <c r="AU53" s="80">
        <f ca="1">+AT53*AH53*12</f>
        <v>661456.25641950802</v>
      </c>
      <c r="AV53" s="80">
        <f ca="1">+AU53-S53</f>
        <v>66021.54641950794</v>
      </c>
      <c r="BC53" s="499">
        <f t="shared" ca="1" si="18"/>
        <v>2525.1924024805289</v>
      </c>
      <c r="BD53" s="499">
        <f t="shared" ca="1" si="19"/>
        <v>68546.738821988474</v>
      </c>
    </row>
    <row r="54" spans="1:56" s="5" customFormat="1" ht="12" customHeight="1" thickBot="1">
      <c r="B54" s="48"/>
      <c r="C54" s="48"/>
      <c r="D54" s="199"/>
      <c r="E54" s="199"/>
      <c r="F54" s="67"/>
      <c r="G54" s="68"/>
      <c r="H54" s="68"/>
      <c r="I54" s="68"/>
      <c r="J54" s="69"/>
      <c r="K54" s="69"/>
      <c r="L54" s="69"/>
      <c r="M54" s="69"/>
      <c r="N54" s="69"/>
      <c r="O54" s="69"/>
      <c r="P54" s="69"/>
      <c r="Q54" s="69"/>
      <c r="R54" s="69"/>
      <c r="S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208"/>
      <c r="AI54" s="44"/>
      <c r="AJ54"/>
      <c r="AK54" s="43"/>
      <c r="AN54" s="58"/>
      <c r="AO54" s="59"/>
      <c r="AS54"/>
      <c r="AT54" s="200"/>
      <c r="BC54" s="504"/>
      <c r="BD54" s="504"/>
    </row>
    <row r="55" spans="1:56" s="3" customFormat="1" ht="12" customHeight="1" thickBot="1">
      <c r="B55" s="45"/>
      <c r="C55" s="112" t="s">
        <v>140</v>
      </c>
      <c r="D55" s="199"/>
      <c r="E55" s="199"/>
      <c r="F55" s="114"/>
      <c r="G55" s="115">
        <f t="shared" ref="G55:R55" si="20">SUM(G52:G54)</f>
        <v>49219.07</v>
      </c>
      <c r="H55" s="115">
        <f t="shared" si="20"/>
        <v>49863.010000000009</v>
      </c>
      <c r="I55" s="115">
        <f t="shared" si="20"/>
        <v>49539.649999999994</v>
      </c>
      <c r="J55" s="115">
        <f t="shared" si="20"/>
        <v>50020.099999999991</v>
      </c>
      <c r="K55" s="115">
        <f t="shared" si="20"/>
        <v>49324.450000000004</v>
      </c>
      <c r="L55" s="115">
        <f t="shared" si="20"/>
        <v>49845.05</v>
      </c>
      <c r="M55" s="115">
        <f t="shared" si="20"/>
        <v>49614.37</v>
      </c>
      <c r="N55" s="115">
        <f t="shared" si="20"/>
        <v>50211.950000000012</v>
      </c>
      <c r="O55" s="115">
        <f t="shared" si="20"/>
        <v>50175.020000000004</v>
      </c>
      <c r="P55" s="115">
        <f t="shared" si="20"/>
        <v>50939.46</v>
      </c>
      <c r="Q55" s="115">
        <f t="shared" si="20"/>
        <v>51595.590000000011</v>
      </c>
      <c r="R55" s="115">
        <f t="shared" si="20"/>
        <v>52477.89</v>
      </c>
      <c r="S55" s="115">
        <f>SUM(G55:R55)</f>
        <v>602825.6100000001</v>
      </c>
      <c r="V55" s="203">
        <f t="shared" ref="V55:AH55" si="21">SUM(V52:V53)</f>
        <v>5151.250229990801</v>
      </c>
      <c r="W55" s="203">
        <f t="shared" si="21"/>
        <v>5218.7493100275997</v>
      </c>
      <c r="X55" s="203">
        <f t="shared" si="21"/>
        <v>5184.7494758909852</v>
      </c>
      <c r="Y55" s="203">
        <f t="shared" si="21"/>
        <v>5235.2505241090148</v>
      </c>
      <c r="Z55" s="203">
        <f t="shared" si="21"/>
        <v>5162.7494758909861</v>
      </c>
      <c r="AA55" s="203">
        <f t="shared" si="21"/>
        <v>5217.1888865745168</v>
      </c>
      <c r="AB55" s="203">
        <f t="shared" si="21"/>
        <v>5193.0000000000009</v>
      </c>
      <c r="AC55" s="203">
        <f t="shared" si="21"/>
        <v>5255.5000000000018</v>
      </c>
      <c r="AD55" s="203">
        <f t="shared" si="21"/>
        <v>5251.5244031328903</v>
      </c>
      <c r="AE55" s="203">
        <f t="shared" si="21"/>
        <v>5331.5149691706265</v>
      </c>
      <c r="AF55" s="203">
        <f t="shared" si="21"/>
        <v>5400.5007540998158</v>
      </c>
      <c r="AG55" s="203">
        <f t="shared" si="21"/>
        <v>5492.4974059737824</v>
      </c>
      <c r="AH55" s="203">
        <f t="shared" si="21"/>
        <v>5257.8729529050852</v>
      </c>
      <c r="AI55" s="44"/>
      <c r="AJ55"/>
      <c r="AK55" s="43"/>
      <c r="AL55" s="5"/>
      <c r="AM55" s="118">
        <f>SUM(AM52:AM54)</f>
        <v>5257.8729529050852</v>
      </c>
      <c r="AN55"/>
      <c r="AO55" s="118">
        <f>SUM(AO52:AO54)</f>
        <v>0</v>
      </c>
      <c r="AP55"/>
      <c r="AQ55" s="118">
        <f>SUM(AQ52:AQ54)</f>
        <v>0</v>
      </c>
      <c r="AR55" s="5"/>
      <c r="AS55"/>
      <c r="AT55" s="204"/>
      <c r="AU55" s="119">
        <f ca="1">SUM(AU52:OFFSET(AU55,-1,0))</f>
        <v>669666.65625590808</v>
      </c>
      <c r="AV55" s="119">
        <f ca="1">SUM(AV52:OFFSET(AV55,-1,0))</f>
        <v>66841.046255908033</v>
      </c>
      <c r="AX55" s="205"/>
      <c r="BC55" s="510">
        <f ca="1">SUM(BC52:OFFSET(BC55,-1,0))</f>
        <v>2556.5366358852179</v>
      </c>
      <c r="BD55" s="510">
        <f ca="1">SUM(BD52:OFFSET(BD55,-1,0))</f>
        <v>69397.582891793267</v>
      </c>
    </row>
    <row r="56" spans="1:56" s="5" customFormat="1" ht="12" customHeight="1">
      <c r="B56" s="19"/>
      <c r="C56" s="126"/>
      <c r="D56" s="199"/>
      <c r="E56" s="199"/>
      <c r="F56" s="67"/>
      <c r="G56" s="125"/>
      <c r="H56" s="68" t="str">
        <f>IF(F56="","",(#REF!/F56)+(#REF!/D56))</f>
        <v/>
      </c>
      <c r="I56" s="68" t="str">
        <f>IF(F56="","",H56/12)</f>
        <v/>
      </c>
      <c r="J56" s="207"/>
      <c r="K56" s="89"/>
      <c r="L56" s="19"/>
      <c r="M56" s="19"/>
      <c r="N56" s="19"/>
      <c r="O56" s="19"/>
      <c r="P56" s="19"/>
      <c r="Q56" s="19"/>
      <c r="R56" s="19"/>
      <c r="S56" s="1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8"/>
      <c r="AH56" s="68"/>
      <c r="AI56" s="44"/>
      <c r="AJ56"/>
      <c r="AK56" s="43"/>
      <c r="AN56" s="58"/>
      <c r="AO56" s="59"/>
      <c r="AS56"/>
      <c r="AT56" s="200"/>
      <c r="BC56" s="502"/>
      <c r="BD56" s="502"/>
    </row>
    <row r="57" spans="1:56" s="5" customFormat="1" ht="12" customHeight="1">
      <c r="B57" s="19"/>
      <c r="C57" s="19"/>
      <c r="D57" s="199"/>
      <c r="E57" s="199"/>
      <c r="F57" s="67"/>
      <c r="G57" s="125"/>
      <c r="H57" s="68" t="str">
        <f>IF(F57="","",(#REF!/F57)+(#REF!/D57))</f>
        <v/>
      </c>
      <c r="I57" s="68" t="str">
        <f>IF(F57="","",H57/12)</f>
        <v/>
      </c>
      <c r="J57" s="19"/>
      <c r="K57" s="19"/>
      <c r="L57" s="45">
        <f>+L49-L55</f>
        <v>236251.08999999991</v>
      </c>
      <c r="M57" s="19"/>
      <c r="N57" s="19"/>
      <c r="O57" s="19"/>
      <c r="P57" s="19"/>
      <c r="Q57" s="19"/>
      <c r="R57" s="19"/>
      <c r="S57" s="1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8"/>
      <c r="AH57" s="68"/>
      <c r="AI57" s="44"/>
      <c r="AJ57"/>
      <c r="AK57" s="43"/>
      <c r="AN57" s="58"/>
      <c r="AO57" s="59"/>
      <c r="AS57"/>
      <c r="AT57" s="200"/>
      <c r="BC57" s="502"/>
      <c r="BD57" s="502"/>
    </row>
    <row r="58" spans="1:56" ht="12" customHeight="1">
      <c r="B58" s="50" t="s">
        <v>141</v>
      </c>
      <c r="C58" s="50" t="s">
        <v>141</v>
      </c>
      <c r="D58" s="209"/>
      <c r="E58" s="209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5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8"/>
      <c r="AH58" s="68"/>
      <c r="AJ58"/>
      <c r="AK58" s="43"/>
      <c r="AL58" s="5"/>
      <c r="AM58" s="5"/>
      <c r="AN58" s="58"/>
      <c r="AO58" s="59"/>
      <c r="AP58" s="5"/>
      <c r="AQ58" s="5"/>
      <c r="AR58" s="5"/>
      <c r="AS58"/>
      <c r="AT58" s="200"/>
      <c r="BC58" s="498"/>
      <c r="BD58" s="498"/>
    </row>
    <row r="59" spans="1:56" ht="12" customHeight="1">
      <c r="B59" s="50"/>
      <c r="C59" s="50"/>
      <c r="D59" s="209"/>
      <c r="E59" s="209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5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8"/>
      <c r="AH59" s="68"/>
      <c r="AJ59"/>
      <c r="AK59" s="43"/>
      <c r="AL59" s="5"/>
      <c r="AM59" s="5"/>
      <c r="AN59" s="58"/>
      <c r="AO59" s="59"/>
      <c r="AP59" s="5"/>
      <c r="AQ59" s="5"/>
      <c r="AR59" s="5"/>
      <c r="AS59"/>
      <c r="AT59" s="200"/>
      <c r="BC59" s="506"/>
      <c r="BD59" s="506"/>
    </row>
    <row r="60" spans="1:56" s="5" customFormat="1" ht="12" customHeight="1">
      <c r="B60" s="64" t="s">
        <v>142</v>
      </c>
      <c r="C60" s="64" t="s">
        <v>142</v>
      </c>
      <c r="D60" s="199"/>
      <c r="E60" s="199"/>
      <c r="F60" s="67"/>
      <c r="G60" s="125"/>
      <c r="H60" s="68"/>
      <c r="I60" s="68"/>
      <c r="J60" s="19"/>
      <c r="K60" s="19"/>
      <c r="L60" s="19"/>
      <c r="M60" s="19"/>
      <c r="N60" s="19"/>
      <c r="O60" s="19"/>
      <c r="P60" s="19"/>
      <c r="Q60" s="19"/>
      <c r="R60" s="19"/>
      <c r="S60" s="1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8"/>
      <c r="AH60" s="68"/>
      <c r="AI60" s="44"/>
      <c r="AJ60"/>
      <c r="AK60" s="7"/>
      <c r="AM60" s="131"/>
      <c r="AN60"/>
      <c r="AO60" s="131"/>
      <c r="AP60"/>
      <c r="AQ60" s="131"/>
      <c r="AS60"/>
      <c r="AT60" s="200"/>
      <c r="BC60" s="499">
        <f t="shared" ref="BC60:BC123" ca="1" si="22">AU60*BD$2</f>
        <v>0</v>
      </c>
      <c r="BD60" s="499">
        <f t="shared" ref="BD60:BD123" ca="1" si="23">+BC60+AV60</f>
        <v>0</v>
      </c>
    </row>
    <row r="61" spans="1:56" s="134" customFormat="1" ht="12" customHeight="1">
      <c r="A61" s="5" t="str">
        <f t="shared" ref="A61:A124" si="24">"PA-C"&amp;B61</f>
        <v>PA-CCTIME</v>
      </c>
      <c r="B61" s="48" t="s">
        <v>143</v>
      </c>
      <c r="C61" s="48" t="s">
        <v>144</v>
      </c>
      <c r="D61" s="73">
        <v>58.06</v>
      </c>
      <c r="E61" s="192">
        <v>29</v>
      </c>
      <c r="F61" s="67"/>
      <c r="G61" s="68">
        <v>14.52</v>
      </c>
      <c r="H61" s="68">
        <v>14.52</v>
      </c>
      <c r="I61" s="68">
        <v>81.290000000000006</v>
      </c>
      <c r="J61" s="68">
        <v>29.03</v>
      </c>
      <c r="K61" s="68">
        <v>0</v>
      </c>
      <c r="L61" s="68">
        <v>23.23</v>
      </c>
      <c r="M61" s="68">
        <v>0</v>
      </c>
      <c r="N61" s="68">
        <v>0</v>
      </c>
      <c r="O61" s="68">
        <v>60.98</v>
      </c>
      <c r="P61" s="68">
        <v>29.04</v>
      </c>
      <c r="Q61" s="68">
        <v>66.790000000000006</v>
      </c>
      <c r="R61" s="68">
        <v>217.76</v>
      </c>
      <c r="S61" s="68">
        <f t="shared" ref="S61:S124" si="25">SUM(G61:R61)</f>
        <v>537.16</v>
      </c>
      <c r="T61" s="5">
        <v>33010</v>
      </c>
      <c r="V61" s="69">
        <f t="shared" ref="V61:AG82" si="26">IFERROR(G61/$D61,0)</f>
        <v>0.2500861178091629</v>
      </c>
      <c r="W61" s="69">
        <f t="shared" si="26"/>
        <v>0.2500861178091629</v>
      </c>
      <c r="X61" s="69">
        <f t="shared" si="26"/>
        <v>1.4001033413709956</v>
      </c>
      <c r="Y61" s="69">
        <f t="shared" si="26"/>
        <v>0.5</v>
      </c>
      <c r="Z61" s="69">
        <f t="shared" si="26"/>
        <v>0</v>
      </c>
      <c r="AA61" s="69">
        <f t="shared" si="26"/>
        <v>0.40010334137099551</v>
      </c>
      <c r="AB61" s="69">
        <f t="shared" si="26"/>
        <v>0</v>
      </c>
      <c r="AC61" s="69">
        <f t="shared" si="26"/>
        <v>0</v>
      </c>
      <c r="AD61" s="69">
        <f t="shared" si="26"/>
        <v>1.0502928005511538</v>
      </c>
      <c r="AE61" s="69">
        <f t="shared" si="26"/>
        <v>0.5001722356183258</v>
      </c>
      <c r="AF61" s="69">
        <f t="shared" si="26"/>
        <v>1.1503616947984845</v>
      </c>
      <c r="AG61" s="69">
        <f t="shared" si="26"/>
        <v>3.7506028246641403</v>
      </c>
      <c r="AH61" s="68">
        <f t="shared" ref="AH61:AH103" si="27">IFERROR(AVERAGEIF(V61:AG61,"&gt;0"),0)</f>
        <v>1.0279787193324914</v>
      </c>
      <c r="AI61" s="44"/>
      <c r="AJ61" s="193"/>
      <c r="AK61" s="43"/>
      <c r="AL61" s="5"/>
      <c r="AM61" s="5"/>
      <c r="AN61" s="1"/>
      <c r="AO61" s="137"/>
      <c r="AP61" s="5"/>
      <c r="AQ61" s="5"/>
      <c r="AR61" s="5"/>
      <c r="AS61" s="194">
        <v>58.06</v>
      </c>
      <c r="AT61" s="195">
        <f ca="1">+AS61*(1+$AZ$2)</f>
        <v>64.497668010849793</v>
      </c>
      <c r="AU61" s="80">
        <f t="shared" ref="AU61:AU124" ca="1" si="28">+AT61*AH61*12</f>
        <v>795.62676194070696</v>
      </c>
      <c r="AV61" s="80">
        <f t="shared" ref="AV61:AV124" ca="1" si="29">+AU61-S61</f>
        <v>258.46676194070699</v>
      </c>
      <c r="BC61" s="499">
        <f t="shared" ca="1" si="22"/>
        <v>3.0374051722456485</v>
      </c>
      <c r="BD61" s="499">
        <f t="shared" ca="1" si="23"/>
        <v>261.50416711295264</v>
      </c>
    </row>
    <row r="62" spans="1:56" s="134" customFormat="1" ht="12" customHeight="1">
      <c r="A62" s="5" t="str">
        <f t="shared" si="24"/>
        <v>PA-CCLOCK</v>
      </c>
      <c r="B62" s="48" t="s">
        <v>346</v>
      </c>
      <c r="C62" s="48" t="s">
        <v>347</v>
      </c>
      <c r="D62" s="73">
        <v>1.1200000000000001</v>
      </c>
      <c r="E62" s="192" t="s">
        <v>348</v>
      </c>
      <c r="F62" s="67"/>
      <c r="G62" s="68">
        <v>12</v>
      </c>
      <c r="H62" s="68">
        <v>12</v>
      </c>
      <c r="I62" s="68">
        <v>12</v>
      </c>
      <c r="J62" s="68">
        <v>12</v>
      </c>
      <c r="K62" s="68">
        <v>12</v>
      </c>
      <c r="L62" s="68">
        <v>12</v>
      </c>
      <c r="M62" s="68">
        <v>12</v>
      </c>
      <c r="N62" s="68">
        <v>12</v>
      </c>
      <c r="O62" s="68">
        <v>12</v>
      </c>
      <c r="P62" s="68">
        <v>12</v>
      </c>
      <c r="Q62" s="68">
        <v>12</v>
      </c>
      <c r="R62" s="68">
        <v>12</v>
      </c>
      <c r="S62" s="68">
        <f t="shared" si="25"/>
        <v>144</v>
      </c>
      <c r="T62" s="5">
        <v>33011</v>
      </c>
      <c r="V62" s="68">
        <f t="shared" si="26"/>
        <v>10.714285714285714</v>
      </c>
      <c r="W62" s="68">
        <f t="shared" si="26"/>
        <v>10.714285714285714</v>
      </c>
      <c r="X62" s="68">
        <f t="shared" si="26"/>
        <v>10.714285714285714</v>
      </c>
      <c r="Y62" s="68">
        <f t="shared" si="26"/>
        <v>10.714285714285714</v>
      </c>
      <c r="Z62" s="68">
        <f t="shared" si="26"/>
        <v>10.714285714285714</v>
      </c>
      <c r="AA62" s="68">
        <f t="shared" si="26"/>
        <v>10.714285714285714</v>
      </c>
      <c r="AB62" s="68">
        <f t="shared" si="26"/>
        <v>10.714285714285714</v>
      </c>
      <c r="AC62" s="68">
        <f t="shared" si="26"/>
        <v>10.714285714285714</v>
      </c>
      <c r="AD62" s="68">
        <f t="shared" si="26"/>
        <v>10.714285714285714</v>
      </c>
      <c r="AE62" s="68">
        <f t="shared" si="26"/>
        <v>10.714285714285714</v>
      </c>
      <c r="AF62" s="68">
        <f t="shared" si="26"/>
        <v>10.714285714285714</v>
      </c>
      <c r="AG62" s="68">
        <f t="shared" si="26"/>
        <v>10.714285714285714</v>
      </c>
      <c r="AH62" s="68">
        <f t="shared" si="27"/>
        <v>10.71428571428571</v>
      </c>
      <c r="AI62" s="44"/>
      <c r="AJ62" s="193"/>
      <c r="AK62" s="43"/>
      <c r="AL62" s="5"/>
      <c r="AM62" s="5"/>
      <c r="AN62" s="1"/>
      <c r="AO62" s="137"/>
      <c r="AP62" s="5"/>
      <c r="AQ62" s="5"/>
      <c r="AR62" s="5"/>
      <c r="AS62" s="194">
        <v>1.1200000000000001</v>
      </c>
      <c r="AT62" s="195">
        <f t="shared" ref="AT62:AT125" ca="1" si="30">+AS62*(1+$AZ$2)</f>
        <v>1.2441851218076434</v>
      </c>
      <c r="AU62" s="80">
        <f t="shared" ca="1" si="28"/>
        <v>159.96665851812551</v>
      </c>
      <c r="AV62" s="80">
        <f t="shared" ca="1" si="29"/>
        <v>15.966658518125513</v>
      </c>
      <c r="BC62" s="499">
        <f t="shared" ca="1" si="22"/>
        <v>0.61069282635067734</v>
      </c>
      <c r="BD62" s="499">
        <f t="shared" ca="1" si="23"/>
        <v>16.577351344476192</v>
      </c>
    </row>
    <row r="63" spans="1:56" s="134" customFormat="1" ht="12" customHeight="1">
      <c r="A63" s="5" t="str">
        <f t="shared" si="24"/>
        <v>PA-CDEL2TEMP-COM</v>
      </c>
      <c r="B63" s="48" t="s">
        <v>147</v>
      </c>
      <c r="C63" s="48" t="s">
        <v>148</v>
      </c>
      <c r="D63" s="73">
        <v>35.270000000000003</v>
      </c>
      <c r="E63" s="192" t="s">
        <v>349</v>
      </c>
      <c r="F63" s="67"/>
      <c r="G63" s="68">
        <v>105.81</v>
      </c>
      <c r="H63" s="68">
        <v>70.540000000000006</v>
      </c>
      <c r="I63" s="68">
        <v>105.81</v>
      </c>
      <c r="J63" s="68">
        <v>0</v>
      </c>
      <c r="K63" s="68">
        <v>0</v>
      </c>
      <c r="L63" s="68">
        <v>70.540000000000006</v>
      </c>
      <c r="M63" s="68">
        <v>35.270000000000003</v>
      </c>
      <c r="N63" s="68">
        <v>70.540000000000006</v>
      </c>
      <c r="O63" s="68">
        <v>35.270000000000003</v>
      </c>
      <c r="P63" s="68">
        <v>70.540000000000006</v>
      </c>
      <c r="Q63" s="68">
        <v>70.540000000000006</v>
      </c>
      <c r="R63" s="68">
        <v>105.81</v>
      </c>
      <c r="S63" s="68">
        <f t="shared" si="25"/>
        <v>740.67000000000007</v>
      </c>
      <c r="T63" s="5">
        <v>33010</v>
      </c>
      <c r="V63" s="69">
        <f t="shared" si="26"/>
        <v>3</v>
      </c>
      <c r="W63" s="69">
        <f t="shared" si="26"/>
        <v>2</v>
      </c>
      <c r="X63" s="69">
        <f t="shared" si="26"/>
        <v>3</v>
      </c>
      <c r="Y63" s="69">
        <f t="shared" si="26"/>
        <v>0</v>
      </c>
      <c r="Z63" s="69">
        <f t="shared" si="26"/>
        <v>0</v>
      </c>
      <c r="AA63" s="69">
        <f t="shared" si="26"/>
        <v>2</v>
      </c>
      <c r="AB63" s="69">
        <f t="shared" si="26"/>
        <v>1</v>
      </c>
      <c r="AC63" s="69">
        <f t="shared" si="26"/>
        <v>2</v>
      </c>
      <c r="AD63" s="69">
        <f t="shared" si="26"/>
        <v>1</v>
      </c>
      <c r="AE63" s="69">
        <f t="shared" si="26"/>
        <v>2</v>
      </c>
      <c r="AF63" s="69">
        <f t="shared" si="26"/>
        <v>2</v>
      </c>
      <c r="AG63" s="69">
        <f t="shared" si="26"/>
        <v>3</v>
      </c>
      <c r="AH63" s="68">
        <f t="shared" si="27"/>
        <v>2.1</v>
      </c>
      <c r="AI63" s="44"/>
      <c r="AJ63" s="193"/>
      <c r="AK63" s="43"/>
      <c r="AL63" s="5"/>
      <c r="AM63" s="5"/>
      <c r="AN63" s="1"/>
      <c r="AO63" s="137"/>
      <c r="AP63" s="5"/>
      <c r="AQ63" s="5"/>
      <c r="AR63" s="5"/>
      <c r="AS63" s="194">
        <v>41.06</v>
      </c>
      <c r="AT63" s="195">
        <f t="shared" ca="1" si="30"/>
        <v>45.612715269126639</v>
      </c>
      <c r="AU63" s="80">
        <f t="shared" ca="1" si="28"/>
        <v>1149.4404247819912</v>
      </c>
      <c r="AV63" s="80">
        <f t="shared" ca="1" si="29"/>
        <v>408.7704247819911</v>
      </c>
      <c r="BC63" s="499">
        <f t="shared" ca="1" si="22"/>
        <v>4.3881333037427925</v>
      </c>
      <c r="BD63" s="499">
        <f t="shared" ca="1" si="23"/>
        <v>413.15855808573389</v>
      </c>
    </row>
    <row r="64" spans="1:56" s="19" customFormat="1" ht="12" customHeight="1">
      <c r="A64" s="71" t="str">
        <f t="shared" si="24"/>
        <v>PA-CF4TC-COM</v>
      </c>
      <c r="B64" s="72" t="s">
        <v>350</v>
      </c>
      <c r="C64" s="72" t="s">
        <v>351</v>
      </c>
      <c r="D64" s="73">
        <v>77.709999999999994</v>
      </c>
      <c r="E64" s="192" t="s">
        <v>349</v>
      </c>
      <c r="F64" s="67"/>
      <c r="G64" s="75">
        <v>1010.23</v>
      </c>
      <c r="H64" s="75">
        <v>932.52</v>
      </c>
      <c r="I64" s="75">
        <v>621.67999999999995</v>
      </c>
      <c r="J64" s="75">
        <v>466.26</v>
      </c>
      <c r="K64" s="75">
        <v>77.709999999999994</v>
      </c>
      <c r="L64" s="75">
        <v>699.39</v>
      </c>
      <c r="M64" s="75">
        <v>621.67999999999995</v>
      </c>
      <c r="N64" s="75">
        <v>388.55</v>
      </c>
      <c r="O64" s="75">
        <v>777.1</v>
      </c>
      <c r="P64" s="75">
        <v>621.67999999999995</v>
      </c>
      <c r="Q64" s="75">
        <v>543.97</v>
      </c>
      <c r="R64" s="75">
        <v>621.67999999999995</v>
      </c>
      <c r="S64" s="75">
        <f t="shared" si="25"/>
        <v>7382.4500000000007</v>
      </c>
      <c r="T64" s="71">
        <v>33010</v>
      </c>
      <c r="V64" s="75">
        <f t="shared" si="26"/>
        <v>13.000000000000002</v>
      </c>
      <c r="W64" s="75">
        <f t="shared" si="26"/>
        <v>12</v>
      </c>
      <c r="X64" s="75">
        <f t="shared" si="26"/>
        <v>8</v>
      </c>
      <c r="Y64" s="75">
        <f t="shared" si="26"/>
        <v>6</v>
      </c>
      <c r="Z64" s="75">
        <f t="shared" si="26"/>
        <v>1</v>
      </c>
      <c r="AA64" s="75">
        <f t="shared" si="26"/>
        <v>9</v>
      </c>
      <c r="AB64" s="75">
        <f t="shared" si="26"/>
        <v>8</v>
      </c>
      <c r="AC64" s="75">
        <f t="shared" si="26"/>
        <v>5.0000000000000009</v>
      </c>
      <c r="AD64" s="75">
        <f t="shared" si="26"/>
        <v>10.000000000000002</v>
      </c>
      <c r="AE64" s="75">
        <f t="shared" si="26"/>
        <v>8</v>
      </c>
      <c r="AF64" s="75">
        <f t="shared" si="26"/>
        <v>7.0000000000000009</v>
      </c>
      <c r="AG64" s="75">
        <f t="shared" si="26"/>
        <v>8</v>
      </c>
      <c r="AH64" s="75">
        <f t="shared" si="27"/>
        <v>7.916666666666667</v>
      </c>
      <c r="AI64" s="44"/>
      <c r="AJ64" s="193"/>
      <c r="AK64" s="43" t="s">
        <v>156</v>
      </c>
      <c r="AL64" s="5"/>
      <c r="AM64" s="5"/>
      <c r="AN64" s="1">
        <v>1</v>
      </c>
      <c r="AO64" s="137">
        <f t="shared" ref="AO64:AO87" si="31">+AH64*AN64</f>
        <v>7.916666666666667</v>
      </c>
      <c r="AP64" s="5"/>
      <c r="AQ64" s="5"/>
      <c r="AR64" s="5"/>
      <c r="AS64" s="194">
        <v>89.68</v>
      </c>
      <c r="AT64" s="195">
        <f t="shared" ca="1" si="30"/>
        <v>99.623680110454885</v>
      </c>
      <c r="AU64" s="80">
        <f t="shared" ca="1" si="28"/>
        <v>9464.2496104932143</v>
      </c>
      <c r="AV64" s="80">
        <f t="shared" ca="1" si="29"/>
        <v>2081.7996104932135</v>
      </c>
      <c r="BC64" s="499">
        <f t="shared" ca="1" si="22"/>
        <v>36.130962523453007</v>
      </c>
      <c r="BD64" s="499">
        <f t="shared" ca="1" si="23"/>
        <v>2117.9305730166666</v>
      </c>
    </row>
    <row r="65" spans="1:56" s="19" customFormat="1" ht="12" customHeight="1">
      <c r="A65" s="71" t="str">
        <f t="shared" si="24"/>
        <v>PA-CF1.5YD1M</v>
      </c>
      <c r="B65" s="72" t="s">
        <v>352</v>
      </c>
      <c r="C65" s="72" t="s">
        <v>256</v>
      </c>
      <c r="D65" s="73">
        <v>31</v>
      </c>
      <c r="E65" s="192" t="s">
        <v>349</v>
      </c>
      <c r="F65" s="67"/>
      <c r="G65" s="75">
        <v>217</v>
      </c>
      <c r="H65" s="75">
        <v>248</v>
      </c>
      <c r="I65" s="75">
        <v>279</v>
      </c>
      <c r="J65" s="75">
        <v>310</v>
      </c>
      <c r="K65" s="75">
        <v>310</v>
      </c>
      <c r="L65" s="75">
        <v>310</v>
      </c>
      <c r="M65" s="75">
        <v>325.5</v>
      </c>
      <c r="N65" s="75">
        <v>325.5</v>
      </c>
      <c r="O65" s="75">
        <v>310</v>
      </c>
      <c r="P65" s="75">
        <v>279</v>
      </c>
      <c r="Q65" s="75">
        <v>279</v>
      </c>
      <c r="R65" s="75">
        <v>279</v>
      </c>
      <c r="S65" s="75">
        <f t="shared" si="25"/>
        <v>3472</v>
      </c>
      <c r="T65" s="71">
        <v>33010</v>
      </c>
      <c r="V65" s="75">
        <f t="shared" si="26"/>
        <v>7</v>
      </c>
      <c r="W65" s="75">
        <f t="shared" si="26"/>
        <v>8</v>
      </c>
      <c r="X65" s="75">
        <f t="shared" si="26"/>
        <v>9</v>
      </c>
      <c r="Y65" s="75">
        <f t="shared" si="26"/>
        <v>10</v>
      </c>
      <c r="Z65" s="75">
        <f t="shared" si="26"/>
        <v>10</v>
      </c>
      <c r="AA65" s="75">
        <f t="shared" si="26"/>
        <v>10</v>
      </c>
      <c r="AB65" s="75">
        <f t="shared" si="26"/>
        <v>10.5</v>
      </c>
      <c r="AC65" s="75">
        <f t="shared" si="26"/>
        <v>10.5</v>
      </c>
      <c r="AD65" s="75">
        <f t="shared" si="26"/>
        <v>10</v>
      </c>
      <c r="AE65" s="75">
        <f t="shared" si="26"/>
        <v>9</v>
      </c>
      <c r="AF65" s="75">
        <f t="shared" si="26"/>
        <v>9</v>
      </c>
      <c r="AG65" s="75">
        <f t="shared" si="26"/>
        <v>9</v>
      </c>
      <c r="AH65" s="75">
        <f t="shared" si="27"/>
        <v>9.3333333333333339</v>
      </c>
      <c r="AI65" s="44"/>
      <c r="AJ65" s="193"/>
      <c r="AK65" s="43" t="s">
        <v>162</v>
      </c>
      <c r="AL65" s="5"/>
      <c r="AM65" s="5"/>
      <c r="AN65" s="1">
        <v>1</v>
      </c>
      <c r="AO65" s="137">
        <f t="shared" si="31"/>
        <v>9.3333333333333339</v>
      </c>
      <c r="AP65" s="5"/>
      <c r="AQ65" s="5"/>
      <c r="AR65" s="5"/>
      <c r="AS65" s="194">
        <v>35.880000000000003</v>
      </c>
      <c r="AT65" s="195">
        <f t="shared" ca="1" si="30"/>
        <v>39.858359080766292</v>
      </c>
      <c r="AU65" s="80">
        <f t="shared" ca="1" si="28"/>
        <v>4464.1362170458251</v>
      </c>
      <c r="AV65" s="80">
        <f t="shared" ca="1" si="29"/>
        <v>992.13621704582511</v>
      </c>
      <c r="BC65" s="499">
        <f t="shared" ca="1" si="22"/>
        <v>17.04240114069291</v>
      </c>
      <c r="BD65" s="499">
        <f t="shared" ca="1" si="23"/>
        <v>1009.1786181865181</v>
      </c>
    </row>
    <row r="66" spans="1:56" s="19" customFormat="1" ht="12" customHeight="1">
      <c r="A66" s="71" t="str">
        <f t="shared" si="24"/>
        <v>PA-CF3YD1M</v>
      </c>
      <c r="B66" s="72" t="s">
        <v>353</v>
      </c>
      <c r="C66" s="72" t="s">
        <v>354</v>
      </c>
      <c r="D66" s="73">
        <v>56.85</v>
      </c>
      <c r="E66" s="192" t="s">
        <v>349</v>
      </c>
      <c r="F66" s="67"/>
      <c r="G66" s="75">
        <v>397.95</v>
      </c>
      <c r="H66" s="75">
        <v>454.8</v>
      </c>
      <c r="I66" s="75">
        <v>397.95</v>
      </c>
      <c r="J66" s="75">
        <v>397.95</v>
      </c>
      <c r="K66" s="75">
        <v>397.95</v>
      </c>
      <c r="L66" s="75">
        <v>454.8</v>
      </c>
      <c r="M66" s="75">
        <v>454.8</v>
      </c>
      <c r="N66" s="75">
        <v>511.65</v>
      </c>
      <c r="O66" s="75">
        <v>454.8</v>
      </c>
      <c r="P66" s="75">
        <v>454.8</v>
      </c>
      <c r="Q66" s="75">
        <v>454.8</v>
      </c>
      <c r="R66" s="75">
        <v>511.65</v>
      </c>
      <c r="S66" s="75">
        <f t="shared" si="25"/>
        <v>5343.9000000000005</v>
      </c>
      <c r="T66" s="71">
        <v>33010</v>
      </c>
      <c r="V66" s="75">
        <f t="shared" si="26"/>
        <v>7</v>
      </c>
      <c r="W66" s="75">
        <f t="shared" si="26"/>
        <v>8</v>
      </c>
      <c r="X66" s="75">
        <f t="shared" si="26"/>
        <v>7</v>
      </c>
      <c r="Y66" s="75">
        <f t="shared" si="26"/>
        <v>7</v>
      </c>
      <c r="Z66" s="75">
        <f t="shared" si="26"/>
        <v>7</v>
      </c>
      <c r="AA66" s="75">
        <f t="shared" si="26"/>
        <v>8</v>
      </c>
      <c r="AB66" s="75">
        <f t="shared" si="26"/>
        <v>8</v>
      </c>
      <c r="AC66" s="75">
        <f t="shared" si="26"/>
        <v>9</v>
      </c>
      <c r="AD66" s="75">
        <f t="shared" si="26"/>
        <v>8</v>
      </c>
      <c r="AE66" s="75">
        <f t="shared" si="26"/>
        <v>8</v>
      </c>
      <c r="AF66" s="75">
        <f t="shared" si="26"/>
        <v>8</v>
      </c>
      <c r="AG66" s="75">
        <f t="shared" si="26"/>
        <v>9</v>
      </c>
      <c r="AH66" s="75">
        <f t="shared" si="27"/>
        <v>7.833333333333333</v>
      </c>
      <c r="AI66" s="44"/>
      <c r="AJ66" s="193"/>
      <c r="AK66" s="43" t="s">
        <v>176</v>
      </c>
      <c r="AL66" s="5"/>
      <c r="AM66" s="5"/>
      <c r="AN66" s="1">
        <v>1</v>
      </c>
      <c r="AO66" s="137">
        <f t="shared" si="31"/>
        <v>7.833333333333333</v>
      </c>
      <c r="AP66" s="5"/>
      <c r="AQ66" s="5"/>
      <c r="AR66" s="5"/>
      <c r="AS66" s="194">
        <v>66.09</v>
      </c>
      <c r="AT66" s="195">
        <f t="shared" ca="1" si="30"/>
        <v>73.418030982381381</v>
      </c>
      <c r="AU66" s="80">
        <f t="shared" ca="1" si="28"/>
        <v>6901.2949123438502</v>
      </c>
      <c r="AV66" s="80">
        <f t="shared" ca="1" si="29"/>
        <v>1557.3949123438497</v>
      </c>
      <c r="BC66" s="499">
        <f t="shared" ca="1" si="22"/>
        <v>26.346560805489794</v>
      </c>
      <c r="BD66" s="499">
        <f t="shared" ca="1" si="23"/>
        <v>1583.7414731493395</v>
      </c>
    </row>
    <row r="67" spans="1:56" s="19" customFormat="1" ht="12" customHeight="1">
      <c r="A67" s="71" t="str">
        <f t="shared" si="24"/>
        <v>PA-CF4YD2W</v>
      </c>
      <c r="B67" s="72" t="s">
        <v>355</v>
      </c>
      <c r="C67" s="72" t="s">
        <v>356</v>
      </c>
      <c r="D67" s="73">
        <v>672.97</v>
      </c>
      <c r="E67" s="192" t="s">
        <v>349</v>
      </c>
      <c r="F67" s="67"/>
      <c r="G67" s="75">
        <v>1514.18</v>
      </c>
      <c r="H67" s="75">
        <v>1345.94</v>
      </c>
      <c r="I67" s="75">
        <v>1345.94</v>
      </c>
      <c r="J67" s="75">
        <v>1345.94</v>
      </c>
      <c r="K67" s="75">
        <v>1177.69</v>
      </c>
      <c r="L67" s="75">
        <v>672.97</v>
      </c>
      <c r="M67" s="75">
        <v>672.97</v>
      </c>
      <c r="N67" s="75">
        <v>672.97</v>
      </c>
      <c r="O67" s="75">
        <v>672.97</v>
      </c>
      <c r="P67" s="75">
        <v>672.97</v>
      </c>
      <c r="Q67" s="75">
        <v>672.97</v>
      </c>
      <c r="R67" s="75">
        <v>672.97</v>
      </c>
      <c r="S67" s="75">
        <f t="shared" si="25"/>
        <v>11440.479999999998</v>
      </c>
      <c r="T67" s="71">
        <v>33010</v>
      </c>
      <c r="V67" s="75">
        <f t="shared" si="26"/>
        <v>2.2499962851241513</v>
      </c>
      <c r="W67" s="75">
        <f t="shared" si="26"/>
        <v>2</v>
      </c>
      <c r="X67" s="75">
        <f t="shared" si="26"/>
        <v>2</v>
      </c>
      <c r="Y67" s="75">
        <f t="shared" si="26"/>
        <v>2</v>
      </c>
      <c r="Z67" s="75">
        <f t="shared" si="26"/>
        <v>1.7499888553724534</v>
      </c>
      <c r="AA67" s="75">
        <f t="shared" si="26"/>
        <v>1</v>
      </c>
      <c r="AB67" s="75">
        <f t="shared" si="26"/>
        <v>1</v>
      </c>
      <c r="AC67" s="75">
        <f t="shared" si="26"/>
        <v>1</v>
      </c>
      <c r="AD67" s="75">
        <f t="shared" si="26"/>
        <v>1</v>
      </c>
      <c r="AE67" s="75">
        <f t="shared" si="26"/>
        <v>1</v>
      </c>
      <c r="AF67" s="75">
        <f t="shared" si="26"/>
        <v>1</v>
      </c>
      <c r="AG67" s="75">
        <f t="shared" si="26"/>
        <v>1</v>
      </c>
      <c r="AH67" s="75">
        <f t="shared" si="27"/>
        <v>1.4166654283747171</v>
      </c>
      <c r="AI67" s="44"/>
      <c r="AJ67" s="193"/>
      <c r="AK67" s="43" t="s">
        <v>156</v>
      </c>
      <c r="AL67" s="5"/>
      <c r="AM67" s="5"/>
      <c r="AN67" s="1">
        <v>1</v>
      </c>
      <c r="AO67" s="137">
        <f t="shared" si="31"/>
        <v>1.4166654283747171</v>
      </c>
      <c r="AP67" s="5"/>
      <c r="AQ67" s="5"/>
      <c r="AR67" s="210"/>
      <c r="AS67" s="194">
        <f>2*4.33*89.68</f>
        <v>776.62880000000007</v>
      </c>
      <c r="AT67" s="195">
        <f t="shared" ca="1" si="30"/>
        <v>862.74106975653922</v>
      </c>
      <c r="AU67" s="80">
        <f t="shared" ca="1" si="28"/>
        <v>14666.585365957311</v>
      </c>
      <c r="AV67" s="80">
        <f t="shared" ca="1" si="29"/>
        <v>3226.1053659573136</v>
      </c>
      <c r="BC67" s="499">
        <f t="shared" ca="1" si="22"/>
        <v>55.991533192118773</v>
      </c>
      <c r="BD67" s="499">
        <f t="shared" ca="1" si="23"/>
        <v>3282.0968991494324</v>
      </c>
    </row>
    <row r="68" spans="1:56" s="19" customFormat="1" ht="12" customHeight="1">
      <c r="A68" s="71" t="str">
        <f t="shared" si="24"/>
        <v>PA-CF2YD1W</v>
      </c>
      <c r="B68" s="72" t="s">
        <v>149</v>
      </c>
      <c r="C68" s="72" t="s">
        <v>150</v>
      </c>
      <c r="D68" s="73">
        <v>185.41</v>
      </c>
      <c r="E68" s="192" t="s">
        <v>349</v>
      </c>
      <c r="F68" s="67"/>
      <c r="G68" s="75">
        <v>21785.66</v>
      </c>
      <c r="H68" s="75">
        <v>21090.3</v>
      </c>
      <c r="I68" s="75">
        <v>19560.669999999998</v>
      </c>
      <c r="J68" s="75">
        <v>18077.439999999999</v>
      </c>
      <c r="K68" s="75">
        <v>17474.890000000003</v>
      </c>
      <c r="L68" s="75">
        <v>16779.57</v>
      </c>
      <c r="M68" s="75">
        <v>16594.189999999999</v>
      </c>
      <c r="N68" s="75">
        <v>16408.780000000002</v>
      </c>
      <c r="O68" s="75">
        <v>16825.919999999998</v>
      </c>
      <c r="P68" s="75">
        <v>17011.330000000002</v>
      </c>
      <c r="Q68" s="75">
        <v>19467.990000000002</v>
      </c>
      <c r="R68" s="75">
        <v>19607.09</v>
      </c>
      <c r="S68" s="75">
        <f t="shared" si="25"/>
        <v>220683.83</v>
      </c>
      <c r="T68" s="71">
        <v>33010</v>
      </c>
      <c r="V68" s="75">
        <f t="shared" si="26"/>
        <v>117.49991909821478</v>
      </c>
      <c r="W68" s="75">
        <f t="shared" si="26"/>
        <v>113.74952807291947</v>
      </c>
      <c r="X68" s="75">
        <f t="shared" si="26"/>
        <v>105.49954155655034</v>
      </c>
      <c r="Y68" s="75">
        <f t="shared" si="26"/>
        <v>97.49981122916779</v>
      </c>
      <c r="Z68" s="75">
        <f t="shared" si="26"/>
        <v>94.249986516369148</v>
      </c>
      <c r="AA68" s="75">
        <f t="shared" si="26"/>
        <v>90.49981122916779</v>
      </c>
      <c r="AB68" s="75">
        <f t="shared" si="26"/>
        <v>89.499973032738254</v>
      </c>
      <c r="AC68" s="75">
        <f t="shared" si="26"/>
        <v>88.499973032738268</v>
      </c>
      <c r="AD68" s="75">
        <f t="shared" si="26"/>
        <v>90.74979774553691</v>
      </c>
      <c r="AE68" s="75">
        <f t="shared" si="26"/>
        <v>91.749797745536924</v>
      </c>
      <c r="AF68" s="75">
        <f t="shared" si="26"/>
        <v>104.99967639285909</v>
      </c>
      <c r="AG68" s="75">
        <f t="shared" si="26"/>
        <v>105.74990561458389</v>
      </c>
      <c r="AH68" s="75">
        <f t="shared" si="27"/>
        <v>99.187310105531878</v>
      </c>
      <c r="AI68" s="44"/>
      <c r="AJ68" s="193"/>
      <c r="AK68" s="43" t="s">
        <v>151</v>
      </c>
      <c r="AL68" s="5"/>
      <c r="AM68" s="5"/>
      <c r="AN68" s="1">
        <v>1</v>
      </c>
      <c r="AO68" s="137">
        <f t="shared" si="31"/>
        <v>99.187310105531878</v>
      </c>
      <c r="AP68" s="5"/>
      <c r="AQ68" s="5"/>
      <c r="AR68" s="210"/>
      <c r="AS68" s="194">
        <f>4.33*49.15</f>
        <v>212.81950000000001</v>
      </c>
      <c r="AT68" s="195">
        <f t="shared" ca="1" si="30"/>
        <v>236.41683529512656</v>
      </c>
      <c r="AU68" s="80">
        <f t="shared" ca="1" si="28"/>
        <v>281394.59947903408</v>
      </c>
      <c r="AV68" s="80">
        <f t="shared" ca="1" si="29"/>
        <v>60710.76947903409</v>
      </c>
      <c r="BC68" s="499">
        <f t="shared" ca="1" si="22"/>
        <v>1074.2592541945023</v>
      </c>
      <c r="BD68" s="499">
        <f t="shared" ca="1" si="23"/>
        <v>61785.028733228595</v>
      </c>
    </row>
    <row r="69" spans="1:56" s="19" customFormat="1" ht="12" customHeight="1">
      <c r="A69" s="71" t="str">
        <f t="shared" si="24"/>
        <v>PA-CF2YDEOW</v>
      </c>
      <c r="B69" s="72" t="s">
        <v>152</v>
      </c>
      <c r="C69" s="72" t="s">
        <v>153</v>
      </c>
      <c r="D69" s="73">
        <v>92.92</v>
      </c>
      <c r="E69" s="192" t="s">
        <v>349</v>
      </c>
      <c r="F69" s="67"/>
      <c r="G69" s="75">
        <v>6225.64</v>
      </c>
      <c r="H69" s="75">
        <v>6411.48</v>
      </c>
      <c r="I69" s="75">
        <v>6457.94</v>
      </c>
      <c r="J69" s="75">
        <v>7015.46</v>
      </c>
      <c r="K69" s="75">
        <v>7340.68</v>
      </c>
      <c r="L69" s="75">
        <v>7387.14</v>
      </c>
      <c r="M69" s="75">
        <v>7526.52</v>
      </c>
      <c r="N69" s="75">
        <v>7526.52</v>
      </c>
      <c r="O69" s="75">
        <v>7340.68</v>
      </c>
      <c r="P69" s="75">
        <v>7247.76</v>
      </c>
      <c r="Q69" s="75">
        <v>7572.98</v>
      </c>
      <c r="R69" s="75">
        <v>7805.28</v>
      </c>
      <c r="S69" s="75">
        <f t="shared" si="25"/>
        <v>85858.08</v>
      </c>
      <c r="T69" s="71">
        <v>33010</v>
      </c>
      <c r="V69" s="75">
        <f t="shared" si="26"/>
        <v>67</v>
      </c>
      <c r="W69" s="75">
        <f t="shared" si="26"/>
        <v>69</v>
      </c>
      <c r="X69" s="75">
        <f t="shared" si="26"/>
        <v>69.5</v>
      </c>
      <c r="Y69" s="75">
        <f t="shared" si="26"/>
        <v>75.5</v>
      </c>
      <c r="Z69" s="75">
        <f t="shared" si="26"/>
        <v>79</v>
      </c>
      <c r="AA69" s="75">
        <f t="shared" si="26"/>
        <v>79.5</v>
      </c>
      <c r="AB69" s="75">
        <f t="shared" si="26"/>
        <v>81</v>
      </c>
      <c r="AC69" s="75">
        <f t="shared" si="26"/>
        <v>81</v>
      </c>
      <c r="AD69" s="75">
        <f t="shared" si="26"/>
        <v>79</v>
      </c>
      <c r="AE69" s="75">
        <f t="shared" si="26"/>
        <v>78</v>
      </c>
      <c r="AF69" s="75">
        <f t="shared" si="26"/>
        <v>81.5</v>
      </c>
      <c r="AG69" s="75">
        <f t="shared" si="26"/>
        <v>84</v>
      </c>
      <c r="AH69" s="75">
        <f t="shared" si="27"/>
        <v>77</v>
      </c>
      <c r="AI69" s="44"/>
      <c r="AJ69" s="193"/>
      <c r="AK69" s="43" t="s">
        <v>151</v>
      </c>
      <c r="AL69" s="5"/>
      <c r="AM69" s="5"/>
      <c r="AN69" s="1">
        <v>1</v>
      </c>
      <c r="AO69" s="137">
        <f t="shared" si="31"/>
        <v>77</v>
      </c>
      <c r="AP69" s="5"/>
      <c r="AQ69" s="5"/>
      <c r="AR69" s="210"/>
      <c r="AS69" s="194">
        <f>2.17*49.15</f>
        <v>106.65549999999999</v>
      </c>
      <c r="AT69" s="195">
        <f t="shared" ca="1" si="30"/>
        <v>118.48141630263848</v>
      </c>
      <c r="AU69" s="80">
        <f t="shared" ca="1" si="28"/>
        <v>109476.82866363796</v>
      </c>
      <c r="AV69" s="80">
        <f t="shared" ca="1" si="29"/>
        <v>23618.748663637962</v>
      </c>
      <c r="BC69" s="499">
        <f t="shared" ca="1" si="22"/>
        <v>417.94155442042012</v>
      </c>
      <c r="BD69" s="499">
        <f t="shared" ca="1" si="23"/>
        <v>24036.690218058382</v>
      </c>
    </row>
    <row r="70" spans="1:56" s="19" customFormat="1" ht="12" customHeight="1">
      <c r="A70" s="71" t="str">
        <f t="shared" si="24"/>
        <v>PA-CF4YD1W</v>
      </c>
      <c r="B70" s="72" t="s">
        <v>154</v>
      </c>
      <c r="C70" s="72" t="s">
        <v>155</v>
      </c>
      <c r="D70" s="73">
        <v>336.48</v>
      </c>
      <c r="E70" s="192" t="s">
        <v>349</v>
      </c>
      <c r="F70" s="67"/>
      <c r="G70" s="75">
        <v>21702.959999999999</v>
      </c>
      <c r="H70" s="75">
        <v>20861.759999999998</v>
      </c>
      <c r="I70" s="75">
        <v>21114.12</v>
      </c>
      <c r="J70" s="75">
        <v>20861.759999999998</v>
      </c>
      <c r="K70" s="75">
        <v>20525.28</v>
      </c>
      <c r="L70" s="75">
        <v>19347.599999999999</v>
      </c>
      <c r="M70" s="75">
        <v>19936.439999999999</v>
      </c>
      <c r="N70" s="75">
        <v>20525.28</v>
      </c>
      <c r="O70" s="75">
        <v>20861.759999999998</v>
      </c>
      <c r="P70" s="75">
        <v>20945.88</v>
      </c>
      <c r="Q70" s="75">
        <v>21702.959999999999</v>
      </c>
      <c r="R70" s="75">
        <v>21955.32</v>
      </c>
      <c r="S70" s="75">
        <f t="shared" si="25"/>
        <v>250341.12</v>
      </c>
      <c r="T70" s="71">
        <v>33010</v>
      </c>
      <c r="V70" s="75">
        <f t="shared" si="26"/>
        <v>64.5</v>
      </c>
      <c r="W70" s="75">
        <f t="shared" si="26"/>
        <v>61.999999999999993</v>
      </c>
      <c r="X70" s="75">
        <f t="shared" si="26"/>
        <v>62.749999999999993</v>
      </c>
      <c r="Y70" s="75">
        <f t="shared" si="26"/>
        <v>61.999999999999993</v>
      </c>
      <c r="Z70" s="75">
        <f t="shared" si="26"/>
        <v>60.999999999999993</v>
      </c>
      <c r="AA70" s="75">
        <f t="shared" si="26"/>
        <v>57.499999999999993</v>
      </c>
      <c r="AB70" s="75">
        <f t="shared" si="26"/>
        <v>59.249999999999993</v>
      </c>
      <c r="AC70" s="75">
        <f t="shared" si="26"/>
        <v>60.999999999999993</v>
      </c>
      <c r="AD70" s="75">
        <f t="shared" si="26"/>
        <v>61.999999999999993</v>
      </c>
      <c r="AE70" s="75">
        <f t="shared" si="26"/>
        <v>62.25</v>
      </c>
      <c r="AF70" s="75">
        <f t="shared" si="26"/>
        <v>64.5</v>
      </c>
      <c r="AG70" s="75">
        <f t="shared" si="26"/>
        <v>65.25</v>
      </c>
      <c r="AH70" s="75">
        <f t="shared" si="27"/>
        <v>62</v>
      </c>
      <c r="AI70" s="44"/>
      <c r="AJ70" s="193"/>
      <c r="AK70" s="43" t="s">
        <v>156</v>
      </c>
      <c r="AL70" s="5"/>
      <c r="AM70" s="5"/>
      <c r="AN70" s="1">
        <v>1</v>
      </c>
      <c r="AO70" s="137">
        <f t="shared" si="31"/>
        <v>62</v>
      </c>
      <c r="AP70" s="5"/>
      <c r="AQ70" s="5"/>
      <c r="AR70" s="210"/>
      <c r="AS70" s="194">
        <f>4.33*89.68</f>
        <v>388.31440000000003</v>
      </c>
      <c r="AT70" s="195">
        <f t="shared" ca="1" si="30"/>
        <v>431.37053487826961</v>
      </c>
      <c r="AU70" s="80">
        <f t="shared" ca="1" si="28"/>
        <v>320939.67794943257</v>
      </c>
      <c r="AV70" s="80">
        <f t="shared" ca="1" si="29"/>
        <v>70598.557949432579</v>
      </c>
      <c r="BC70" s="499">
        <f t="shared" ca="1" si="22"/>
        <v>1225.2275619847824</v>
      </c>
      <c r="BD70" s="499">
        <f t="shared" ca="1" si="23"/>
        <v>71823.785511417358</v>
      </c>
    </row>
    <row r="71" spans="1:56" s="19" customFormat="1" ht="12" customHeight="1">
      <c r="A71" s="71" t="str">
        <f t="shared" si="24"/>
        <v>PA-CF6YD1W</v>
      </c>
      <c r="B71" s="72" t="s">
        <v>157</v>
      </c>
      <c r="C71" s="72" t="s">
        <v>158</v>
      </c>
      <c r="D71" s="73">
        <v>470.45</v>
      </c>
      <c r="E71" s="192" t="s">
        <v>349</v>
      </c>
      <c r="F71" s="67"/>
      <c r="G71" s="75">
        <v>21993.52</v>
      </c>
      <c r="H71" s="75">
        <v>23051.99</v>
      </c>
      <c r="I71" s="75">
        <v>21405.46</v>
      </c>
      <c r="J71" s="75">
        <v>20582.150000000001</v>
      </c>
      <c r="K71" s="75">
        <v>18818</v>
      </c>
      <c r="L71" s="75">
        <v>18347.55</v>
      </c>
      <c r="M71" s="75">
        <v>18229.919999999998</v>
      </c>
      <c r="N71" s="75">
        <v>17877.099999999999</v>
      </c>
      <c r="O71" s="75">
        <v>17406.650000000001</v>
      </c>
      <c r="P71" s="75">
        <v>17759.48</v>
      </c>
      <c r="Q71" s="75">
        <v>18818</v>
      </c>
      <c r="R71" s="75">
        <v>19523.64</v>
      </c>
      <c r="S71" s="75">
        <f t="shared" si="25"/>
        <v>233813.46000000002</v>
      </c>
      <c r="T71" s="71">
        <v>33010</v>
      </c>
      <c r="V71" s="75">
        <f t="shared" si="26"/>
        <v>46.749962801572963</v>
      </c>
      <c r="W71" s="75">
        <f t="shared" si="26"/>
        <v>48.999872462535876</v>
      </c>
      <c r="X71" s="75">
        <f t="shared" si="26"/>
        <v>45.499968115633969</v>
      </c>
      <c r="Y71" s="75">
        <f t="shared" si="26"/>
        <v>43.749920289084926</v>
      </c>
      <c r="Z71" s="75">
        <f t="shared" si="26"/>
        <v>40</v>
      </c>
      <c r="AA71" s="75">
        <f t="shared" si="26"/>
        <v>39</v>
      </c>
      <c r="AB71" s="75">
        <f t="shared" si="26"/>
        <v>38.749962801572963</v>
      </c>
      <c r="AC71" s="75">
        <f t="shared" si="26"/>
        <v>38</v>
      </c>
      <c r="AD71" s="75">
        <f t="shared" si="26"/>
        <v>37.000000000000007</v>
      </c>
      <c r="AE71" s="75">
        <f t="shared" si="26"/>
        <v>37.749984057816981</v>
      </c>
      <c r="AF71" s="75">
        <f t="shared" si="26"/>
        <v>40</v>
      </c>
      <c r="AG71" s="75">
        <f t="shared" si="26"/>
        <v>41.499925603145925</v>
      </c>
      <c r="AH71" s="75">
        <f t="shared" si="27"/>
        <v>41.416633010946967</v>
      </c>
      <c r="AI71" s="44"/>
      <c r="AJ71" s="193"/>
      <c r="AK71" s="43" t="s">
        <v>159</v>
      </c>
      <c r="AL71" s="5"/>
      <c r="AM71" s="5"/>
      <c r="AN71" s="1">
        <v>1</v>
      </c>
      <c r="AO71" s="137">
        <f t="shared" si="31"/>
        <v>41.416633010946967</v>
      </c>
      <c r="AP71" s="5"/>
      <c r="AQ71" s="5"/>
      <c r="AR71" s="210"/>
      <c r="AS71" s="194">
        <f>4.33*125.05</f>
        <v>541.4665</v>
      </c>
      <c r="AT71" s="195">
        <f t="shared" ca="1" si="30"/>
        <v>601.50407433683779</v>
      </c>
      <c r="AU71" s="80">
        <f t="shared" ca="1" si="28"/>
        <v>298947.28201677807</v>
      </c>
      <c r="AV71" s="80">
        <f t="shared" ca="1" si="29"/>
        <v>65133.822016778053</v>
      </c>
      <c r="BC71" s="499">
        <f t="shared" ca="1" si="22"/>
        <v>1141.2688261159942</v>
      </c>
      <c r="BD71" s="499">
        <f t="shared" ca="1" si="23"/>
        <v>66275.090842894046</v>
      </c>
    </row>
    <row r="72" spans="1:56" s="19" customFormat="1" ht="12" customHeight="1">
      <c r="A72" s="71" t="str">
        <f t="shared" si="24"/>
        <v>PA-CF6YD2W</v>
      </c>
      <c r="B72" s="72" t="s">
        <v>357</v>
      </c>
      <c r="C72" s="72" t="s">
        <v>358</v>
      </c>
      <c r="D72" s="73">
        <v>940.91</v>
      </c>
      <c r="E72" s="192" t="s">
        <v>349</v>
      </c>
      <c r="F72" s="67"/>
      <c r="G72" s="75">
        <v>940.91</v>
      </c>
      <c r="H72" s="75">
        <v>0</v>
      </c>
      <c r="I72" s="75">
        <v>0</v>
      </c>
      <c r="J72" s="75">
        <v>0</v>
      </c>
      <c r="K72" s="75">
        <v>0</v>
      </c>
      <c r="L72" s="75">
        <v>0</v>
      </c>
      <c r="M72" s="75">
        <v>0</v>
      </c>
      <c r="N72" s="75">
        <v>0</v>
      </c>
      <c r="O72" s="75">
        <v>0</v>
      </c>
      <c r="P72" s="75">
        <v>0</v>
      </c>
      <c r="Q72" s="75">
        <v>0</v>
      </c>
      <c r="R72" s="75">
        <v>117.61</v>
      </c>
      <c r="S72" s="75">
        <f t="shared" si="25"/>
        <v>1058.52</v>
      </c>
      <c r="T72" s="71">
        <v>33010</v>
      </c>
      <c r="V72" s="75">
        <f t="shared" si="26"/>
        <v>1</v>
      </c>
      <c r="W72" s="75">
        <f t="shared" si="26"/>
        <v>0</v>
      </c>
      <c r="X72" s="75">
        <f t="shared" si="26"/>
        <v>0</v>
      </c>
      <c r="Y72" s="75">
        <f t="shared" si="26"/>
        <v>0</v>
      </c>
      <c r="Z72" s="75">
        <f t="shared" si="26"/>
        <v>0</v>
      </c>
      <c r="AA72" s="75">
        <f t="shared" si="26"/>
        <v>0</v>
      </c>
      <c r="AB72" s="75">
        <f t="shared" si="26"/>
        <v>0</v>
      </c>
      <c r="AC72" s="75">
        <f t="shared" si="26"/>
        <v>0</v>
      </c>
      <c r="AD72" s="75">
        <f t="shared" si="26"/>
        <v>0</v>
      </c>
      <c r="AE72" s="75">
        <f t="shared" si="26"/>
        <v>0</v>
      </c>
      <c r="AF72" s="75">
        <f t="shared" si="26"/>
        <v>0</v>
      </c>
      <c r="AG72" s="75">
        <f t="shared" si="26"/>
        <v>0.12499601449660436</v>
      </c>
      <c r="AH72" s="75">
        <f t="shared" si="27"/>
        <v>0.56249800724830212</v>
      </c>
      <c r="AI72" s="44"/>
      <c r="AJ72" s="193"/>
      <c r="AK72" s="43" t="s">
        <v>159</v>
      </c>
      <c r="AL72" s="5"/>
      <c r="AM72" s="5"/>
      <c r="AN72" s="1">
        <v>1</v>
      </c>
      <c r="AO72" s="137">
        <f t="shared" si="31"/>
        <v>0.56249800724830212</v>
      </c>
      <c r="AP72" s="5"/>
      <c r="AQ72" s="5"/>
      <c r="AR72" s="210"/>
      <c r="AS72" s="194">
        <f>+AS71*2</f>
        <v>1082.933</v>
      </c>
      <c r="AT72" s="195">
        <f t="shared" ca="1" si="30"/>
        <v>1203.0081486736756</v>
      </c>
      <c r="AU72" s="80">
        <f t="shared" ca="1" si="28"/>
        <v>8120.2762359889402</v>
      </c>
      <c r="AV72" s="80">
        <f t="shared" ca="1" si="29"/>
        <v>7061.7562359889398</v>
      </c>
      <c r="BC72" s="499">
        <f t="shared" ca="1" si="22"/>
        <v>31.000175231780762</v>
      </c>
      <c r="BD72" s="499">
        <f t="shared" ca="1" si="23"/>
        <v>7092.756411220721</v>
      </c>
    </row>
    <row r="73" spans="1:56" s="19" customFormat="1" ht="12" customHeight="1">
      <c r="A73" s="71" t="str">
        <f t="shared" si="24"/>
        <v>PA-CF3TC-COM</v>
      </c>
      <c r="B73" s="72" t="s">
        <v>359</v>
      </c>
      <c r="C73" s="72" t="s">
        <v>360</v>
      </c>
      <c r="D73" s="73">
        <v>56.85</v>
      </c>
      <c r="E73" s="192" t="s">
        <v>349</v>
      </c>
      <c r="F73" s="67"/>
      <c r="G73" s="75">
        <v>170.55</v>
      </c>
      <c r="H73" s="75">
        <v>170.55</v>
      </c>
      <c r="I73" s="75">
        <v>56.85</v>
      </c>
      <c r="J73" s="75">
        <v>113.7</v>
      </c>
      <c r="K73" s="75">
        <v>56.85</v>
      </c>
      <c r="L73" s="75">
        <v>56.85</v>
      </c>
      <c r="M73" s="75">
        <v>0</v>
      </c>
      <c r="N73" s="75">
        <v>0</v>
      </c>
      <c r="O73" s="75">
        <v>113.7</v>
      </c>
      <c r="P73" s="75">
        <v>56.85</v>
      </c>
      <c r="Q73" s="75">
        <v>227.4</v>
      </c>
      <c r="R73" s="75">
        <v>227.4</v>
      </c>
      <c r="S73" s="75">
        <f t="shared" si="25"/>
        <v>1250.7</v>
      </c>
      <c r="T73" s="71">
        <v>33010</v>
      </c>
      <c r="V73" s="75">
        <f t="shared" si="26"/>
        <v>3</v>
      </c>
      <c r="W73" s="75">
        <f t="shared" si="26"/>
        <v>3</v>
      </c>
      <c r="X73" s="75">
        <f t="shared" si="26"/>
        <v>1</v>
      </c>
      <c r="Y73" s="75">
        <f t="shared" si="26"/>
        <v>2</v>
      </c>
      <c r="Z73" s="75">
        <f t="shared" si="26"/>
        <v>1</v>
      </c>
      <c r="AA73" s="75">
        <f t="shared" si="26"/>
        <v>1</v>
      </c>
      <c r="AB73" s="75">
        <f t="shared" si="26"/>
        <v>0</v>
      </c>
      <c r="AC73" s="75">
        <f t="shared" si="26"/>
        <v>0</v>
      </c>
      <c r="AD73" s="75">
        <f t="shared" si="26"/>
        <v>2</v>
      </c>
      <c r="AE73" s="75">
        <f t="shared" si="26"/>
        <v>1</v>
      </c>
      <c r="AF73" s="75">
        <f t="shared" si="26"/>
        <v>4</v>
      </c>
      <c r="AG73" s="75">
        <f t="shared" si="26"/>
        <v>4</v>
      </c>
      <c r="AH73" s="75">
        <f t="shared" si="27"/>
        <v>2.2000000000000002</v>
      </c>
      <c r="AI73" s="44"/>
      <c r="AJ73" s="193"/>
      <c r="AK73" s="43" t="s">
        <v>176</v>
      </c>
      <c r="AL73" s="5"/>
      <c r="AM73" s="5"/>
      <c r="AN73" s="1">
        <v>1</v>
      </c>
      <c r="AO73" s="137">
        <f t="shared" si="31"/>
        <v>2.2000000000000002</v>
      </c>
      <c r="AP73" s="5"/>
      <c r="AQ73" s="5"/>
      <c r="AR73" s="210"/>
      <c r="AS73" s="194">
        <v>66.09</v>
      </c>
      <c r="AT73" s="195">
        <f t="shared" ca="1" si="30"/>
        <v>73.418030982381381</v>
      </c>
      <c r="AU73" s="80">
        <f t="shared" ca="1" si="28"/>
        <v>1938.2360179348686</v>
      </c>
      <c r="AV73" s="80">
        <f t="shared" ca="1" si="29"/>
        <v>687.5360179348686</v>
      </c>
      <c r="BC73" s="499">
        <f t="shared" ca="1" si="22"/>
        <v>7.3994596304779847</v>
      </c>
      <c r="BD73" s="499">
        <f t="shared" ca="1" si="23"/>
        <v>694.93547756534656</v>
      </c>
    </row>
    <row r="74" spans="1:56" s="19" customFormat="1" ht="12" customHeight="1">
      <c r="A74" s="71" t="str">
        <f t="shared" si="24"/>
        <v>PA-CF1.5YD1W</v>
      </c>
      <c r="B74" s="72" t="s">
        <v>160</v>
      </c>
      <c r="C74" s="72" t="s">
        <v>161</v>
      </c>
      <c r="D74" s="73">
        <v>134.22999999999999</v>
      </c>
      <c r="E74" s="192" t="s">
        <v>349</v>
      </c>
      <c r="F74" s="67"/>
      <c r="G74" s="75">
        <v>6845.72</v>
      </c>
      <c r="H74" s="75">
        <v>6912.83</v>
      </c>
      <c r="I74" s="75">
        <v>6946.4</v>
      </c>
      <c r="J74" s="75">
        <v>6812.16</v>
      </c>
      <c r="K74" s="75">
        <v>6644.3799999999992</v>
      </c>
      <c r="L74" s="75">
        <v>6577.27</v>
      </c>
      <c r="M74" s="75">
        <v>6577.27</v>
      </c>
      <c r="N74" s="75">
        <v>6745.04</v>
      </c>
      <c r="O74" s="75">
        <v>6979.96</v>
      </c>
      <c r="P74" s="75">
        <v>7181.3</v>
      </c>
      <c r="Q74" s="75">
        <v>6946.39</v>
      </c>
      <c r="R74" s="75">
        <v>6845.73</v>
      </c>
      <c r="S74" s="75">
        <f t="shared" si="25"/>
        <v>82014.45</v>
      </c>
      <c r="T74" s="71">
        <v>33010</v>
      </c>
      <c r="V74" s="75">
        <f t="shared" si="26"/>
        <v>50.999925501005741</v>
      </c>
      <c r="W74" s="75">
        <f t="shared" si="26"/>
        <v>51.499888251508608</v>
      </c>
      <c r="X74" s="75">
        <f t="shared" si="26"/>
        <v>51.749981375251437</v>
      </c>
      <c r="Y74" s="75">
        <f t="shared" si="26"/>
        <v>50.749906876257171</v>
      </c>
      <c r="Z74" s="75">
        <f t="shared" si="26"/>
        <v>49.499962750502867</v>
      </c>
      <c r="AA74" s="75">
        <f t="shared" si="26"/>
        <v>49.000000000000007</v>
      </c>
      <c r="AB74" s="75">
        <f t="shared" si="26"/>
        <v>49.000000000000007</v>
      </c>
      <c r="AC74" s="75">
        <f t="shared" si="26"/>
        <v>50.249869626760045</v>
      </c>
      <c r="AD74" s="75">
        <f t="shared" si="26"/>
        <v>52.000000000000007</v>
      </c>
      <c r="AE74" s="75">
        <f t="shared" si="26"/>
        <v>53.499962750502874</v>
      </c>
      <c r="AF74" s="75">
        <f t="shared" si="26"/>
        <v>51.749906876257178</v>
      </c>
      <c r="AG74" s="75">
        <f t="shared" si="26"/>
        <v>51</v>
      </c>
      <c r="AH74" s="75">
        <f t="shared" si="27"/>
        <v>50.916617000670499</v>
      </c>
      <c r="AI74" s="44"/>
      <c r="AJ74" s="193"/>
      <c r="AK74" s="43" t="s">
        <v>162</v>
      </c>
      <c r="AL74" s="5"/>
      <c r="AM74" s="5"/>
      <c r="AN74" s="1">
        <v>1</v>
      </c>
      <c r="AO74" s="137">
        <f t="shared" si="31"/>
        <v>50.916617000670499</v>
      </c>
      <c r="AP74" s="5"/>
      <c r="AQ74" s="5"/>
      <c r="AR74" s="210"/>
      <c r="AS74" s="194">
        <f>35.88*4.33</f>
        <v>155.36040000000003</v>
      </c>
      <c r="AT74" s="195">
        <f t="shared" ca="1" si="30"/>
        <v>172.58669481971805</v>
      </c>
      <c r="AU74" s="80">
        <f t="shared" ca="1" si="28"/>
        <v>105450.36767456625</v>
      </c>
      <c r="AV74" s="80">
        <f t="shared" ca="1" si="29"/>
        <v>23435.917674566255</v>
      </c>
      <c r="BC74" s="499">
        <f t="shared" ca="1" si="22"/>
        <v>402.57003347733348</v>
      </c>
      <c r="BD74" s="499">
        <f t="shared" ca="1" si="23"/>
        <v>23838.487708043587</v>
      </c>
    </row>
    <row r="75" spans="1:56" s="19" customFormat="1" ht="12" customHeight="1">
      <c r="A75" s="71" t="str">
        <f t="shared" si="24"/>
        <v>PA-CF1.5YD2W</v>
      </c>
      <c r="B75" s="72" t="s">
        <v>361</v>
      </c>
      <c r="C75" s="72" t="s">
        <v>362</v>
      </c>
      <c r="D75" s="73">
        <v>268.45999999999998</v>
      </c>
      <c r="E75" s="192" t="s">
        <v>349</v>
      </c>
      <c r="F75" s="67"/>
      <c r="G75" s="75">
        <v>268.45999999999998</v>
      </c>
      <c r="H75" s="75">
        <v>167.78</v>
      </c>
      <c r="I75" s="75">
        <v>0</v>
      </c>
      <c r="J75" s="75">
        <v>0</v>
      </c>
      <c r="K75" s="75">
        <v>0</v>
      </c>
      <c r="L75" s="75">
        <v>0</v>
      </c>
      <c r="M75" s="75">
        <v>0</v>
      </c>
      <c r="N75" s="75">
        <v>0</v>
      </c>
      <c r="O75" s="75">
        <v>0</v>
      </c>
      <c r="P75" s="75">
        <v>0</v>
      </c>
      <c r="Q75" s="75">
        <v>0</v>
      </c>
      <c r="R75" s="75">
        <v>0</v>
      </c>
      <c r="S75" s="75">
        <f t="shared" si="25"/>
        <v>436.24</v>
      </c>
      <c r="T75" s="71">
        <v>33010</v>
      </c>
      <c r="V75" s="75">
        <f t="shared" si="26"/>
        <v>1</v>
      </c>
      <c r="W75" s="75">
        <f t="shared" si="26"/>
        <v>0.62497206287715124</v>
      </c>
      <c r="X75" s="75">
        <f t="shared" si="26"/>
        <v>0</v>
      </c>
      <c r="Y75" s="75">
        <f t="shared" si="26"/>
        <v>0</v>
      </c>
      <c r="Z75" s="75">
        <f t="shared" si="26"/>
        <v>0</v>
      </c>
      <c r="AA75" s="75">
        <f t="shared" si="26"/>
        <v>0</v>
      </c>
      <c r="AB75" s="75">
        <f t="shared" si="26"/>
        <v>0</v>
      </c>
      <c r="AC75" s="75">
        <f t="shared" si="26"/>
        <v>0</v>
      </c>
      <c r="AD75" s="75">
        <f t="shared" si="26"/>
        <v>0</v>
      </c>
      <c r="AE75" s="75">
        <f t="shared" si="26"/>
        <v>0</v>
      </c>
      <c r="AF75" s="75">
        <f t="shared" si="26"/>
        <v>0</v>
      </c>
      <c r="AG75" s="75">
        <f t="shared" si="26"/>
        <v>0</v>
      </c>
      <c r="AH75" s="75">
        <f t="shared" si="27"/>
        <v>0.81248603143857556</v>
      </c>
      <c r="AI75" s="44"/>
      <c r="AJ75" s="193"/>
      <c r="AK75" s="43" t="s">
        <v>162</v>
      </c>
      <c r="AL75" s="5"/>
      <c r="AM75" s="5"/>
      <c r="AN75" s="1">
        <v>1</v>
      </c>
      <c r="AO75" s="137">
        <f t="shared" si="31"/>
        <v>0.81248603143857556</v>
      </c>
      <c r="AP75" s="5"/>
      <c r="AQ75" s="5"/>
      <c r="AR75" s="210"/>
      <c r="AS75" s="194">
        <f>+AS74*2</f>
        <v>310.72080000000005</v>
      </c>
      <c r="AT75" s="195">
        <f t="shared" ca="1" si="30"/>
        <v>345.1733896394361</v>
      </c>
      <c r="AU75" s="80">
        <f t="shared" ca="1" si="28"/>
        <v>3365.3826900761587</v>
      </c>
      <c r="AV75" s="80">
        <f t="shared" ca="1" si="29"/>
        <v>2929.1426900761589</v>
      </c>
      <c r="BC75" s="499">
        <f t="shared" ca="1" si="22"/>
        <v>12.847771440580429</v>
      </c>
      <c r="BD75" s="499">
        <f t="shared" ca="1" si="23"/>
        <v>2941.9904615167393</v>
      </c>
    </row>
    <row r="76" spans="1:56" s="19" customFormat="1" ht="12" customHeight="1">
      <c r="A76" s="71" t="str">
        <f t="shared" si="24"/>
        <v>PA-CF1.5YDEOW</v>
      </c>
      <c r="B76" s="72" t="s">
        <v>163</v>
      </c>
      <c r="C76" s="72" t="s">
        <v>164</v>
      </c>
      <c r="D76" s="73">
        <v>67.27</v>
      </c>
      <c r="E76" s="192" t="s">
        <v>349</v>
      </c>
      <c r="F76" s="67"/>
      <c r="G76" s="75">
        <v>4473.4399999999996</v>
      </c>
      <c r="H76" s="75">
        <v>4372.5200000000004</v>
      </c>
      <c r="I76" s="75">
        <v>4305.28</v>
      </c>
      <c r="J76" s="75">
        <v>4305.2700000000004</v>
      </c>
      <c r="K76" s="75">
        <v>4238.01</v>
      </c>
      <c r="L76" s="75">
        <v>4271.6400000000003</v>
      </c>
      <c r="M76" s="75">
        <v>4271.6400000000003</v>
      </c>
      <c r="N76" s="75">
        <v>4238</v>
      </c>
      <c r="O76" s="75">
        <v>4271.6400000000003</v>
      </c>
      <c r="P76" s="75">
        <v>4238</v>
      </c>
      <c r="Q76" s="75">
        <v>4271.6400000000003</v>
      </c>
      <c r="R76" s="75">
        <v>4406.18</v>
      </c>
      <c r="S76" s="75">
        <f t="shared" si="25"/>
        <v>51663.259999999995</v>
      </c>
      <c r="T76" s="71">
        <v>33010</v>
      </c>
      <c r="V76" s="75">
        <f t="shared" si="26"/>
        <v>66.499777017987213</v>
      </c>
      <c r="W76" s="75">
        <f t="shared" si="26"/>
        <v>64.999554035974441</v>
      </c>
      <c r="X76" s="75">
        <f t="shared" si="26"/>
        <v>64</v>
      </c>
      <c r="Y76" s="75">
        <f t="shared" si="26"/>
        <v>63.999851345324821</v>
      </c>
      <c r="Z76" s="75">
        <f t="shared" si="26"/>
        <v>63.000000000000007</v>
      </c>
      <c r="AA76" s="75">
        <f t="shared" si="26"/>
        <v>63.499925672662414</v>
      </c>
      <c r="AB76" s="75">
        <f t="shared" si="26"/>
        <v>63.499925672662414</v>
      </c>
      <c r="AC76" s="75">
        <f t="shared" si="26"/>
        <v>62.999851345324814</v>
      </c>
      <c r="AD76" s="75">
        <f t="shared" si="26"/>
        <v>63.499925672662414</v>
      </c>
      <c r="AE76" s="75">
        <f t="shared" si="26"/>
        <v>62.999851345324814</v>
      </c>
      <c r="AF76" s="75">
        <f t="shared" si="26"/>
        <v>63.499925672662414</v>
      </c>
      <c r="AG76" s="75">
        <f t="shared" si="26"/>
        <v>65.499925672662414</v>
      </c>
      <c r="AH76" s="75">
        <f t="shared" si="27"/>
        <v>63.999876121104023</v>
      </c>
      <c r="AI76" s="44"/>
      <c r="AJ76" s="193"/>
      <c r="AK76" s="43" t="s">
        <v>162</v>
      </c>
      <c r="AL76" s="5"/>
      <c r="AM76" s="5"/>
      <c r="AN76" s="1">
        <v>1</v>
      </c>
      <c r="AO76" s="137">
        <f t="shared" si="31"/>
        <v>63.999876121104023</v>
      </c>
      <c r="AP76" s="5"/>
      <c r="AQ76" s="5"/>
      <c r="AR76" s="210"/>
      <c r="AS76" s="194">
        <f>35.88*2.17</f>
        <v>77.8596</v>
      </c>
      <c r="AT76" s="195">
        <f t="shared" ca="1" si="30"/>
        <v>86.492639205262847</v>
      </c>
      <c r="AU76" s="80">
        <f t="shared" ca="1" si="28"/>
        <v>66426.21833429001</v>
      </c>
      <c r="AV76" s="80">
        <f t="shared" ca="1" si="29"/>
        <v>14762.958334290015</v>
      </c>
      <c r="BC76" s="499">
        <f t="shared" ca="1" si="22"/>
        <v>253.59043812094313</v>
      </c>
      <c r="BD76" s="499">
        <f t="shared" ca="1" si="23"/>
        <v>15016.548772410959</v>
      </c>
    </row>
    <row r="77" spans="1:56" s="19" customFormat="1" ht="12" customHeight="1">
      <c r="A77" s="71" t="str">
        <f t="shared" si="24"/>
        <v>PA-CF1YD1M</v>
      </c>
      <c r="B77" s="72" t="s">
        <v>165</v>
      </c>
      <c r="C77" s="72" t="s">
        <v>166</v>
      </c>
      <c r="D77" s="73">
        <v>21.69</v>
      </c>
      <c r="E77" s="192" t="s">
        <v>349</v>
      </c>
      <c r="F77" s="67"/>
      <c r="G77" s="75">
        <v>412.11</v>
      </c>
      <c r="H77" s="75">
        <v>433.8</v>
      </c>
      <c r="I77" s="75">
        <v>433.8</v>
      </c>
      <c r="J77" s="75">
        <v>455.49</v>
      </c>
      <c r="K77" s="75">
        <v>455.49</v>
      </c>
      <c r="L77" s="75">
        <v>412.11</v>
      </c>
      <c r="M77" s="75">
        <v>390.42</v>
      </c>
      <c r="N77" s="75">
        <v>412.11</v>
      </c>
      <c r="O77" s="75">
        <v>433.8</v>
      </c>
      <c r="P77" s="75">
        <v>412.11</v>
      </c>
      <c r="Q77" s="75">
        <v>390.42</v>
      </c>
      <c r="R77" s="75">
        <v>412.11</v>
      </c>
      <c r="S77" s="75">
        <f t="shared" si="25"/>
        <v>5053.7700000000004</v>
      </c>
      <c r="T77" s="71">
        <v>33010</v>
      </c>
      <c r="V77" s="75">
        <f t="shared" si="26"/>
        <v>19</v>
      </c>
      <c r="W77" s="75">
        <f t="shared" si="26"/>
        <v>20</v>
      </c>
      <c r="X77" s="75">
        <f t="shared" si="26"/>
        <v>20</v>
      </c>
      <c r="Y77" s="75">
        <f t="shared" si="26"/>
        <v>21</v>
      </c>
      <c r="Z77" s="75">
        <f t="shared" si="26"/>
        <v>21</v>
      </c>
      <c r="AA77" s="75">
        <f t="shared" si="26"/>
        <v>19</v>
      </c>
      <c r="AB77" s="75">
        <f t="shared" si="26"/>
        <v>18</v>
      </c>
      <c r="AC77" s="75">
        <f t="shared" si="26"/>
        <v>19</v>
      </c>
      <c r="AD77" s="75">
        <f t="shared" si="26"/>
        <v>20</v>
      </c>
      <c r="AE77" s="75">
        <f t="shared" si="26"/>
        <v>19</v>
      </c>
      <c r="AF77" s="75">
        <f t="shared" si="26"/>
        <v>18</v>
      </c>
      <c r="AG77" s="75">
        <f t="shared" si="26"/>
        <v>19</v>
      </c>
      <c r="AH77" s="75">
        <f t="shared" si="27"/>
        <v>19.416666666666668</v>
      </c>
      <c r="AI77" s="44"/>
      <c r="AJ77" s="193"/>
      <c r="AK77" s="43" t="s">
        <v>167</v>
      </c>
      <c r="AL77" s="5"/>
      <c r="AM77" s="5"/>
      <c r="AN77" s="1">
        <v>1</v>
      </c>
      <c r="AO77" s="137">
        <f t="shared" si="31"/>
        <v>19.416666666666668</v>
      </c>
      <c r="AP77" s="5"/>
      <c r="AQ77" s="5"/>
      <c r="AR77" s="210"/>
      <c r="AS77" s="194">
        <v>25.11</v>
      </c>
      <c r="AT77" s="195">
        <f t="shared" ca="1" si="30"/>
        <v>27.894186079098148</v>
      </c>
      <c r="AU77" s="80">
        <f t="shared" ca="1" si="28"/>
        <v>6499.3453564298688</v>
      </c>
      <c r="AV77" s="80">
        <f t="shared" ca="1" si="29"/>
        <v>1445.5753564298684</v>
      </c>
      <c r="BC77" s="499">
        <f t="shared" ca="1" si="22"/>
        <v>24.812067851611562</v>
      </c>
      <c r="BD77" s="499">
        <f t="shared" ca="1" si="23"/>
        <v>1470.38742428148</v>
      </c>
    </row>
    <row r="78" spans="1:56" s="19" customFormat="1" ht="12" customHeight="1">
      <c r="A78" s="71" t="str">
        <f t="shared" si="24"/>
        <v>PA-CF1YD1W</v>
      </c>
      <c r="B78" s="72" t="s">
        <v>168</v>
      </c>
      <c r="C78" s="72" t="s">
        <v>169</v>
      </c>
      <c r="D78" s="73">
        <v>93.92</v>
      </c>
      <c r="E78" s="192" t="s">
        <v>349</v>
      </c>
      <c r="F78" s="67"/>
      <c r="G78" s="75">
        <v>13454.04</v>
      </c>
      <c r="H78" s="75">
        <v>13407.08</v>
      </c>
      <c r="I78" s="75">
        <v>13313.16</v>
      </c>
      <c r="J78" s="75">
        <v>13242.72</v>
      </c>
      <c r="K78" s="75">
        <v>13289.68</v>
      </c>
      <c r="L78" s="75">
        <v>13313.16</v>
      </c>
      <c r="M78" s="75">
        <v>12960.96</v>
      </c>
      <c r="N78" s="75">
        <v>12773.12</v>
      </c>
      <c r="O78" s="75">
        <v>12773.12</v>
      </c>
      <c r="P78" s="75">
        <v>12937.48</v>
      </c>
      <c r="Q78" s="75">
        <v>12914</v>
      </c>
      <c r="R78" s="75">
        <v>12843.56</v>
      </c>
      <c r="S78" s="75">
        <f t="shared" si="25"/>
        <v>157222.07999999999</v>
      </c>
      <c r="T78" s="71">
        <v>33010</v>
      </c>
      <c r="V78" s="75">
        <f t="shared" si="26"/>
        <v>143.25</v>
      </c>
      <c r="W78" s="75">
        <f t="shared" si="26"/>
        <v>142.75</v>
      </c>
      <c r="X78" s="75">
        <f t="shared" si="26"/>
        <v>141.75</v>
      </c>
      <c r="Y78" s="75">
        <f t="shared" si="26"/>
        <v>141</v>
      </c>
      <c r="Z78" s="75">
        <f t="shared" si="26"/>
        <v>141.5</v>
      </c>
      <c r="AA78" s="75">
        <f t="shared" si="26"/>
        <v>141.75</v>
      </c>
      <c r="AB78" s="75">
        <f t="shared" si="26"/>
        <v>138</v>
      </c>
      <c r="AC78" s="75">
        <f t="shared" si="26"/>
        <v>136</v>
      </c>
      <c r="AD78" s="75">
        <f t="shared" si="26"/>
        <v>136</v>
      </c>
      <c r="AE78" s="75">
        <f t="shared" si="26"/>
        <v>137.75</v>
      </c>
      <c r="AF78" s="75">
        <f t="shared" si="26"/>
        <v>137.5</v>
      </c>
      <c r="AG78" s="75">
        <f t="shared" si="26"/>
        <v>136.75</v>
      </c>
      <c r="AH78" s="75">
        <f t="shared" si="27"/>
        <v>139.5</v>
      </c>
      <c r="AI78" s="44"/>
      <c r="AJ78" s="193"/>
      <c r="AK78" s="43" t="s">
        <v>167</v>
      </c>
      <c r="AL78" s="5"/>
      <c r="AM78" s="5"/>
      <c r="AN78" s="1">
        <v>1</v>
      </c>
      <c r="AO78" s="137">
        <f t="shared" si="31"/>
        <v>139.5</v>
      </c>
      <c r="AP78" s="5"/>
      <c r="AQ78" s="5"/>
      <c r="AR78" s="210"/>
      <c r="AS78" s="194">
        <f>+AS77*4.33</f>
        <v>108.72629999999999</v>
      </c>
      <c r="AT78" s="195">
        <f t="shared" ca="1" si="30"/>
        <v>120.78182572249497</v>
      </c>
      <c r="AU78" s="80">
        <f t="shared" ca="1" si="28"/>
        <v>202188.77625945659</v>
      </c>
      <c r="AV78" s="80">
        <f t="shared" ca="1" si="29"/>
        <v>44966.696259456599</v>
      </c>
      <c r="BC78" s="499">
        <f t="shared" ca="1" si="22"/>
        <v>771.88106805570067</v>
      </c>
      <c r="BD78" s="499">
        <f t="shared" ca="1" si="23"/>
        <v>45738.577327512299</v>
      </c>
    </row>
    <row r="79" spans="1:56" s="19" customFormat="1" ht="12" customHeight="1">
      <c r="A79" s="71" t="str">
        <f t="shared" si="24"/>
        <v>PA-CF1YDEOW</v>
      </c>
      <c r="B79" s="72" t="s">
        <v>170</v>
      </c>
      <c r="C79" s="72" t="s">
        <v>171</v>
      </c>
      <c r="D79" s="73">
        <v>47.07</v>
      </c>
      <c r="E79" s="192" t="s">
        <v>349</v>
      </c>
      <c r="F79" s="67"/>
      <c r="G79" s="75">
        <v>9461.06</v>
      </c>
      <c r="H79" s="75">
        <v>9413.98</v>
      </c>
      <c r="I79" s="75">
        <v>9390.4500000000007</v>
      </c>
      <c r="J79" s="75">
        <v>9296.31</v>
      </c>
      <c r="K79" s="75">
        <v>9296.32</v>
      </c>
      <c r="L79" s="75">
        <v>9366.93</v>
      </c>
      <c r="M79" s="75">
        <v>9437.52</v>
      </c>
      <c r="N79" s="75">
        <v>9555.2000000000007</v>
      </c>
      <c r="O79" s="75">
        <v>9555.2099999999991</v>
      </c>
      <c r="P79" s="75">
        <v>9461.06</v>
      </c>
      <c r="Q79" s="75">
        <v>9508.1299999999992</v>
      </c>
      <c r="R79" s="75">
        <v>9414</v>
      </c>
      <c r="S79" s="75">
        <f t="shared" si="25"/>
        <v>113156.17000000001</v>
      </c>
      <c r="T79" s="71">
        <v>33010</v>
      </c>
      <c r="V79" s="75">
        <f t="shared" si="26"/>
        <v>200.99978755045674</v>
      </c>
      <c r="W79" s="75">
        <f t="shared" si="26"/>
        <v>199.99957510091352</v>
      </c>
      <c r="X79" s="75">
        <f t="shared" si="26"/>
        <v>199.49968132568517</v>
      </c>
      <c r="Y79" s="75">
        <f t="shared" si="26"/>
        <v>197.49968132568515</v>
      </c>
      <c r="Z79" s="75">
        <f t="shared" si="26"/>
        <v>197.49989377522837</v>
      </c>
      <c r="AA79" s="75">
        <f t="shared" si="26"/>
        <v>199</v>
      </c>
      <c r="AB79" s="75">
        <f t="shared" si="26"/>
        <v>200.49968132568515</v>
      </c>
      <c r="AC79" s="75">
        <f t="shared" si="26"/>
        <v>202.99978755045677</v>
      </c>
      <c r="AD79" s="75">
        <f t="shared" si="26"/>
        <v>202.99999999999997</v>
      </c>
      <c r="AE79" s="75">
        <f t="shared" si="26"/>
        <v>200.99978755045674</v>
      </c>
      <c r="AF79" s="75">
        <f t="shared" si="26"/>
        <v>201.99978755045674</v>
      </c>
      <c r="AG79" s="75">
        <f t="shared" si="26"/>
        <v>200</v>
      </c>
      <c r="AH79" s="75">
        <f t="shared" si="27"/>
        <v>200.33313858791871</v>
      </c>
      <c r="AI79" s="44"/>
      <c r="AJ79" s="193"/>
      <c r="AK79" s="43" t="s">
        <v>167</v>
      </c>
      <c r="AL79" s="5"/>
      <c r="AM79" s="5"/>
      <c r="AN79" s="1">
        <v>1</v>
      </c>
      <c r="AO79" s="137">
        <f t="shared" si="31"/>
        <v>200.33313858791871</v>
      </c>
      <c r="AP79" s="5"/>
      <c r="AQ79" s="5"/>
      <c r="AR79" s="210"/>
      <c r="AS79" s="194">
        <f>+AS77*2.17</f>
        <v>54.488699999999994</v>
      </c>
      <c r="AT79" s="195">
        <f t="shared" ca="1" si="30"/>
        <v>60.530383791642976</v>
      </c>
      <c r="AU79" s="80">
        <f t="shared" ca="1" si="28"/>
        <v>145514.90117893345</v>
      </c>
      <c r="AV79" s="80">
        <f t="shared" ca="1" si="29"/>
        <v>32358.731178933434</v>
      </c>
      <c r="BC79" s="499">
        <f t="shared" ca="1" si="22"/>
        <v>555.52142615414618</v>
      </c>
      <c r="BD79" s="499">
        <f t="shared" ca="1" si="23"/>
        <v>32914.252605087582</v>
      </c>
    </row>
    <row r="80" spans="1:56" s="19" customFormat="1" ht="12" customHeight="1">
      <c r="A80" s="71" t="str">
        <f t="shared" si="24"/>
        <v>PA-CF2YD1M</v>
      </c>
      <c r="B80" s="72" t="s">
        <v>363</v>
      </c>
      <c r="C80" s="72" t="s">
        <v>248</v>
      </c>
      <c r="D80" s="73">
        <v>42.82</v>
      </c>
      <c r="E80" s="192" t="s">
        <v>349</v>
      </c>
      <c r="F80" s="67"/>
      <c r="G80" s="75">
        <v>1198.96</v>
      </c>
      <c r="H80" s="75">
        <v>1156.1400000000001</v>
      </c>
      <c r="I80" s="75">
        <v>1198.96</v>
      </c>
      <c r="J80" s="75">
        <v>1156.1400000000001</v>
      </c>
      <c r="K80" s="75">
        <v>1198.96</v>
      </c>
      <c r="L80" s="75">
        <v>1198.96</v>
      </c>
      <c r="M80" s="75">
        <v>1241.78</v>
      </c>
      <c r="N80" s="75">
        <v>1241.78</v>
      </c>
      <c r="O80" s="75">
        <v>1284.5999999999999</v>
      </c>
      <c r="P80" s="75">
        <v>1327.42</v>
      </c>
      <c r="Q80" s="75">
        <v>1370.24</v>
      </c>
      <c r="R80" s="75">
        <v>1370.24</v>
      </c>
      <c r="S80" s="75">
        <f t="shared" si="25"/>
        <v>14944.180000000002</v>
      </c>
      <c r="T80" s="71">
        <v>33010</v>
      </c>
      <c r="V80" s="75">
        <f t="shared" si="26"/>
        <v>28</v>
      </c>
      <c r="W80" s="75">
        <f t="shared" si="26"/>
        <v>27.000000000000004</v>
      </c>
      <c r="X80" s="75">
        <f t="shared" si="26"/>
        <v>28</v>
      </c>
      <c r="Y80" s="75">
        <f t="shared" si="26"/>
        <v>27.000000000000004</v>
      </c>
      <c r="Z80" s="75">
        <f t="shared" si="26"/>
        <v>28</v>
      </c>
      <c r="AA80" s="75">
        <f t="shared" si="26"/>
        <v>28</v>
      </c>
      <c r="AB80" s="75">
        <f t="shared" si="26"/>
        <v>29</v>
      </c>
      <c r="AC80" s="75">
        <f t="shared" si="26"/>
        <v>29</v>
      </c>
      <c r="AD80" s="75">
        <f t="shared" si="26"/>
        <v>29.999999999999996</v>
      </c>
      <c r="AE80" s="75">
        <f t="shared" si="26"/>
        <v>31</v>
      </c>
      <c r="AF80" s="75">
        <f t="shared" si="26"/>
        <v>32</v>
      </c>
      <c r="AG80" s="75">
        <f t="shared" si="26"/>
        <v>32</v>
      </c>
      <c r="AH80" s="75">
        <f t="shared" si="27"/>
        <v>29.083333333333332</v>
      </c>
      <c r="AI80" s="44"/>
      <c r="AJ80" s="193"/>
      <c r="AK80" s="43" t="s">
        <v>151</v>
      </c>
      <c r="AL80" s="5"/>
      <c r="AM80" s="5"/>
      <c r="AN80" s="1">
        <v>1</v>
      </c>
      <c r="AO80" s="137">
        <f t="shared" si="31"/>
        <v>29.083333333333332</v>
      </c>
      <c r="AP80" s="5"/>
      <c r="AQ80" s="5"/>
      <c r="AR80" s="210"/>
      <c r="AS80" s="194">
        <v>49.15</v>
      </c>
      <c r="AT80" s="195">
        <f t="shared" ca="1" si="30"/>
        <v>54.599731015040774</v>
      </c>
      <c r="AU80" s="80">
        <f t="shared" ca="1" si="28"/>
        <v>19055.306124249229</v>
      </c>
      <c r="AV80" s="80">
        <f t="shared" ca="1" si="29"/>
        <v>4111.1261242492274</v>
      </c>
      <c r="BC80" s="499">
        <f t="shared" ca="1" si="22"/>
        <v>72.746026339461068</v>
      </c>
      <c r="BD80" s="499">
        <f t="shared" ca="1" si="23"/>
        <v>4183.8721505886888</v>
      </c>
    </row>
    <row r="81" spans="1:56" s="19" customFormat="1" ht="12" customHeight="1">
      <c r="A81" s="71" t="str">
        <f t="shared" si="24"/>
        <v>PA-CF2YD2W</v>
      </c>
      <c r="B81" s="72" t="s">
        <v>172</v>
      </c>
      <c r="C81" s="72" t="s">
        <v>173</v>
      </c>
      <c r="D81" s="73">
        <v>370.82</v>
      </c>
      <c r="E81" s="192" t="s">
        <v>349</v>
      </c>
      <c r="F81" s="67"/>
      <c r="G81" s="75">
        <v>370.82</v>
      </c>
      <c r="H81" s="75">
        <v>370.82</v>
      </c>
      <c r="I81" s="75">
        <v>370.82</v>
      </c>
      <c r="J81" s="75">
        <v>370.82</v>
      </c>
      <c r="K81" s="75">
        <v>370.82</v>
      </c>
      <c r="L81" s="75">
        <v>370.82</v>
      </c>
      <c r="M81" s="75">
        <v>370.82</v>
      </c>
      <c r="N81" s="75">
        <v>370.82</v>
      </c>
      <c r="O81" s="75">
        <v>370.82</v>
      </c>
      <c r="P81" s="75">
        <v>370.82</v>
      </c>
      <c r="Q81" s="75">
        <v>370.82</v>
      </c>
      <c r="R81" s="75">
        <v>370.82</v>
      </c>
      <c r="S81" s="75">
        <f t="shared" si="25"/>
        <v>4449.8400000000011</v>
      </c>
      <c r="T81" s="71">
        <v>33010</v>
      </c>
      <c r="V81" s="75">
        <f t="shared" si="26"/>
        <v>1</v>
      </c>
      <c r="W81" s="75">
        <f t="shared" si="26"/>
        <v>1</v>
      </c>
      <c r="X81" s="75">
        <f t="shared" si="26"/>
        <v>1</v>
      </c>
      <c r="Y81" s="75">
        <f t="shared" si="26"/>
        <v>1</v>
      </c>
      <c r="Z81" s="75">
        <f t="shared" si="26"/>
        <v>1</v>
      </c>
      <c r="AA81" s="75">
        <f t="shared" si="26"/>
        <v>1</v>
      </c>
      <c r="AB81" s="75">
        <f t="shared" si="26"/>
        <v>1</v>
      </c>
      <c r="AC81" s="75">
        <f t="shared" si="26"/>
        <v>1</v>
      </c>
      <c r="AD81" s="75">
        <f t="shared" si="26"/>
        <v>1</v>
      </c>
      <c r="AE81" s="75">
        <f t="shared" si="26"/>
        <v>1</v>
      </c>
      <c r="AF81" s="75">
        <f t="shared" si="26"/>
        <v>1</v>
      </c>
      <c r="AG81" s="75">
        <f t="shared" si="26"/>
        <v>1</v>
      </c>
      <c r="AH81" s="75">
        <f t="shared" si="27"/>
        <v>1</v>
      </c>
      <c r="AI81" s="44"/>
      <c r="AJ81" s="193"/>
      <c r="AK81" s="43" t="s">
        <v>151</v>
      </c>
      <c r="AL81" s="5"/>
      <c r="AM81" s="5"/>
      <c r="AN81" s="1">
        <v>1</v>
      </c>
      <c r="AO81" s="137">
        <f t="shared" si="31"/>
        <v>1</v>
      </c>
      <c r="AP81" s="5"/>
      <c r="AQ81" s="5"/>
      <c r="AR81" s="210"/>
      <c r="AS81" s="194">
        <f>+AS80*4.33*2</f>
        <v>425.63900000000001</v>
      </c>
      <c r="AT81" s="195">
        <f t="shared" ca="1" si="30"/>
        <v>472.83367059025312</v>
      </c>
      <c r="AU81" s="80">
        <f t="shared" ca="1" si="28"/>
        <v>5674.0040470830372</v>
      </c>
      <c r="AV81" s="80">
        <f t="shared" ca="1" si="29"/>
        <v>1224.1640470830362</v>
      </c>
      <c r="BC81" s="499">
        <f t="shared" ca="1" si="22"/>
        <v>21.66122365958967</v>
      </c>
      <c r="BD81" s="499">
        <f t="shared" ca="1" si="23"/>
        <v>1245.8252707426259</v>
      </c>
    </row>
    <row r="82" spans="1:56" s="19" customFormat="1" ht="12" customHeight="1">
      <c r="A82" s="71" t="str">
        <f t="shared" si="24"/>
        <v>PA-CF3YD1W</v>
      </c>
      <c r="B82" s="72" t="s">
        <v>174</v>
      </c>
      <c r="C82" s="72" t="s">
        <v>175</v>
      </c>
      <c r="D82" s="73">
        <v>246.16</v>
      </c>
      <c r="E82" s="192" t="s">
        <v>349</v>
      </c>
      <c r="F82" s="67"/>
      <c r="G82" s="75">
        <v>12615.7</v>
      </c>
      <c r="H82" s="75">
        <v>12554.16</v>
      </c>
      <c r="I82" s="75">
        <v>12861.86</v>
      </c>
      <c r="J82" s="75">
        <v>12554.16</v>
      </c>
      <c r="K82" s="75">
        <v>12554.16</v>
      </c>
      <c r="L82" s="75">
        <v>12677.24</v>
      </c>
      <c r="M82" s="75">
        <v>12554.16</v>
      </c>
      <c r="N82" s="75">
        <v>12369.54</v>
      </c>
      <c r="O82" s="75">
        <v>12308</v>
      </c>
      <c r="P82" s="75">
        <v>12369.54</v>
      </c>
      <c r="Q82" s="75">
        <v>12318.96</v>
      </c>
      <c r="R82" s="75">
        <v>12626.66</v>
      </c>
      <c r="S82" s="75">
        <f t="shared" si="25"/>
        <v>150364.14000000001</v>
      </c>
      <c r="T82" s="71">
        <v>33010</v>
      </c>
      <c r="V82" s="75">
        <f t="shared" si="26"/>
        <v>51.250000000000007</v>
      </c>
      <c r="W82" s="75">
        <f t="shared" si="26"/>
        <v>51</v>
      </c>
      <c r="X82" s="75">
        <f t="shared" si="26"/>
        <v>52.25</v>
      </c>
      <c r="Y82" s="75">
        <f t="shared" ref="Y82:AG110" si="32">IFERROR(J82/$D82,0)</f>
        <v>51</v>
      </c>
      <c r="Z82" s="75">
        <f t="shared" si="32"/>
        <v>51</v>
      </c>
      <c r="AA82" s="75">
        <f t="shared" si="32"/>
        <v>51.5</v>
      </c>
      <c r="AB82" s="75">
        <f t="shared" si="32"/>
        <v>51</v>
      </c>
      <c r="AC82" s="75">
        <f t="shared" si="32"/>
        <v>50.250000000000007</v>
      </c>
      <c r="AD82" s="75">
        <f t="shared" si="32"/>
        <v>50</v>
      </c>
      <c r="AE82" s="75">
        <f t="shared" si="32"/>
        <v>50.250000000000007</v>
      </c>
      <c r="AF82" s="75">
        <f t="shared" si="32"/>
        <v>50.044523886902823</v>
      </c>
      <c r="AG82" s="75">
        <f t="shared" si="32"/>
        <v>51.29452388690283</v>
      </c>
      <c r="AH82" s="75">
        <f t="shared" si="27"/>
        <v>50.903253981150478</v>
      </c>
      <c r="AI82" s="44"/>
      <c r="AJ82" s="193"/>
      <c r="AK82" s="43" t="s">
        <v>176</v>
      </c>
      <c r="AL82" s="5"/>
      <c r="AM82" s="5"/>
      <c r="AN82" s="1">
        <v>1</v>
      </c>
      <c r="AO82" s="137">
        <f t="shared" si="31"/>
        <v>50.903253981150478</v>
      </c>
      <c r="AP82" s="5"/>
      <c r="AQ82" s="5"/>
      <c r="AR82" s="210"/>
      <c r="AS82" s="194">
        <f>4.33*66.09</f>
        <v>286.16970000000003</v>
      </c>
      <c r="AT82" s="195">
        <f t="shared" ca="1" si="30"/>
        <v>317.90007415371144</v>
      </c>
      <c r="AU82" s="80">
        <f t="shared" ca="1" si="28"/>
        <v>194185.77858327533</v>
      </c>
      <c r="AV82" s="80">
        <f t="shared" ca="1" si="29"/>
        <v>43821.638583275315</v>
      </c>
      <c r="BC82" s="499">
        <f t="shared" ca="1" si="22"/>
        <v>741.3286184676432</v>
      </c>
      <c r="BD82" s="499">
        <f t="shared" ca="1" si="23"/>
        <v>44562.967201742955</v>
      </c>
    </row>
    <row r="83" spans="1:56" s="19" customFormat="1" ht="12" customHeight="1">
      <c r="A83" s="71" t="str">
        <f t="shared" si="24"/>
        <v>PA-CF3YDEOW</v>
      </c>
      <c r="B83" s="72" t="s">
        <v>177</v>
      </c>
      <c r="C83" s="72" t="s">
        <v>178</v>
      </c>
      <c r="D83" s="73">
        <v>123.36</v>
      </c>
      <c r="E83" s="192" t="s">
        <v>349</v>
      </c>
      <c r="F83" s="67"/>
      <c r="G83" s="75">
        <v>2898.96</v>
      </c>
      <c r="H83" s="75">
        <v>2837.28</v>
      </c>
      <c r="I83" s="75">
        <v>2837.28</v>
      </c>
      <c r="J83" s="75">
        <v>2775.6</v>
      </c>
      <c r="K83" s="75">
        <v>2837.28</v>
      </c>
      <c r="L83" s="75">
        <v>2713.92</v>
      </c>
      <c r="M83" s="75">
        <v>2713.92</v>
      </c>
      <c r="N83" s="75">
        <v>2713.92</v>
      </c>
      <c r="O83" s="75">
        <v>2837.28</v>
      </c>
      <c r="P83" s="75">
        <v>2960.64</v>
      </c>
      <c r="Q83" s="75">
        <v>2960.64</v>
      </c>
      <c r="R83" s="75">
        <v>3084</v>
      </c>
      <c r="S83" s="75">
        <f t="shared" si="25"/>
        <v>34170.719999999994</v>
      </c>
      <c r="T83" s="71">
        <v>33010</v>
      </c>
      <c r="V83" s="75">
        <f t="shared" ref="V83:AA114" si="33">IFERROR(G83/$D83,0)</f>
        <v>23.5</v>
      </c>
      <c r="W83" s="75">
        <f t="shared" si="33"/>
        <v>23</v>
      </c>
      <c r="X83" s="75">
        <f t="shared" si="33"/>
        <v>23</v>
      </c>
      <c r="Y83" s="75">
        <f t="shared" si="32"/>
        <v>22.5</v>
      </c>
      <c r="Z83" s="75">
        <f t="shared" si="32"/>
        <v>23</v>
      </c>
      <c r="AA83" s="75">
        <f t="shared" si="32"/>
        <v>22</v>
      </c>
      <c r="AB83" s="75">
        <f t="shared" si="32"/>
        <v>22</v>
      </c>
      <c r="AC83" s="75">
        <f t="shared" si="32"/>
        <v>22</v>
      </c>
      <c r="AD83" s="75">
        <f t="shared" si="32"/>
        <v>23</v>
      </c>
      <c r="AE83" s="75">
        <f t="shared" si="32"/>
        <v>24</v>
      </c>
      <c r="AF83" s="75">
        <f t="shared" si="32"/>
        <v>24</v>
      </c>
      <c r="AG83" s="75">
        <f t="shared" si="32"/>
        <v>25</v>
      </c>
      <c r="AH83" s="75">
        <f t="shared" si="27"/>
        <v>23.083333333333332</v>
      </c>
      <c r="AI83" s="44"/>
      <c r="AJ83" s="193"/>
      <c r="AK83" s="43" t="s">
        <v>176</v>
      </c>
      <c r="AL83" s="5"/>
      <c r="AM83" s="5"/>
      <c r="AN83" s="1">
        <v>1</v>
      </c>
      <c r="AO83" s="137">
        <f t="shared" si="31"/>
        <v>23.083333333333332</v>
      </c>
      <c r="AP83" s="5"/>
      <c r="AQ83" s="5"/>
      <c r="AR83" s="210"/>
      <c r="AS83" s="194">
        <f>66.09*2.17</f>
        <v>143.4153</v>
      </c>
      <c r="AT83" s="195">
        <f t="shared" ca="1" si="30"/>
        <v>159.31712723176761</v>
      </c>
      <c r="AU83" s="80">
        <f t="shared" ca="1" si="28"/>
        <v>44130.844243199623</v>
      </c>
      <c r="AV83" s="80">
        <f t="shared" ca="1" si="29"/>
        <v>9960.1242431996288</v>
      </c>
      <c r="BC83" s="499">
        <f t="shared" ca="1" si="22"/>
        <v>168.47504504863679</v>
      </c>
      <c r="BD83" s="499">
        <f t="shared" ca="1" si="23"/>
        <v>10128.599288248266</v>
      </c>
    </row>
    <row r="84" spans="1:56" s="19" customFormat="1" ht="12" customHeight="1">
      <c r="A84" s="71" t="str">
        <f t="shared" si="24"/>
        <v>PA-CF4YD1M</v>
      </c>
      <c r="B84" s="72" t="s">
        <v>364</v>
      </c>
      <c r="C84" s="72" t="s">
        <v>365</v>
      </c>
      <c r="D84" s="73">
        <v>77.709999999999994</v>
      </c>
      <c r="E84" s="192" t="s">
        <v>349</v>
      </c>
      <c r="F84" s="67"/>
      <c r="G84" s="75">
        <v>854.81</v>
      </c>
      <c r="H84" s="75">
        <v>854.81</v>
      </c>
      <c r="I84" s="75">
        <v>932.52</v>
      </c>
      <c r="J84" s="75">
        <v>854.81</v>
      </c>
      <c r="K84" s="75">
        <v>1087.94</v>
      </c>
      <c r="L84" s="75">
        <v>1087.94</v>
      </c>
      <c r="M84" s="75">
        <v>1010.23</v>
      </c>
      <c r="N84" s="75">
        <v>1010.23</v>
      </c>
      <c r="O84" s="75">
        <v>1010.23</v>
      </c>
      <c r="P84" s="75">
        <v>1165.6500000000001</v>
      </c>
      <c r="Q84" s="75">
        <v>1087.94</v>
      </c>
      <c r="R84" s="75">
        <v>1087.94</v>
      </c>
      <c r="S84" s="75">
        <f t="shared" si="25"/>
        <v>12045.05</v>
      </c>
      <c r="T84" s="71">
        <v>33010</v>
      </c>
      <c r="V84" s="75">
        <f t="shared" si="33"/>
        <v>11</v>
      </c>
      <c r="W84" s="75">
        <f t="shared" si="33"/>
        <v>11</v>
      </c>
      <c r="X84" s="75">
        <f t="shared" si="33"/>
        <v>12</v>
      </c>
      <c r="Y84" s="75">
        <f t="shared" si="32"/>
        <v>11</v>
      </c>
      <c r="Z84" s="75">
        <f t="shared" si="32"/>
        <v>14.000000000000002</v>
      </c>
      <c r="AA84" s="75">
        <f t="shared" si="32"/>
        <v>14.000000000000002</v>
      </c>
      <c r="AB84" s="75">
        <f t="shared" si="32"/>
        <v>13.000000000000002</v>
      </c>
      <c r="AC84" s="75">
        <f t="shared" si="32"/>
        <v>13.000000000000002</v>
      </c>
      <c r="AD84" s="75">
        <f t="shared" si="32"/>
        <v>13.000000000000002</v>
      </c>
      <c r="AE84" s="75">
        <f t="shared" si="32"/>
        <v>15.000000000000002</v>
      </c>
      <c r="AF84" s="75">
        <f t="shared" si="32"/>
        <v>14.000000000000002</v>
      </c>
      <c r="AG84" s="75">
        <f t="shared" si="32"/>
        <v>14.000000000000002</v>
      </c>
      <c r="AH84" s="75">
        <f t="shared" si="27"/>
        <v>12.916666666666666</v>
      </c>
      <c r="AI84" s="44"/>
      <c r="AJ84" s="193"/>
      <c r="AK84" s="43" t="s">
        <v>156</v>
      </c>
      <c r="AL84" s="5"/>
      <c r="AM84" s="5"/>
      <c r="AN84" s="1">
        <v>1</v>
      </c>
      <c r="AO84" s="137">
        <f t="shared" si="31"/>
        <v>12.916666666666666</v>
      </c>
      <c r="AP84" s="5"/>
      <c r="AQ84" s="5"/>
      <c r="AR84" s="210"/>
      <c r="AS84" s="194">
        <v>89.68</v>
      </c>
      <c r="AT84" s="195">
        <f t="shared" ca="1" si="30"/>
        <v>99.623680110454885</v>
      </c>
      <c r="AU84" s="80">
        <f t="shared" ca="1" si="28"/>
        <v>15441.670417120506</v>
      </c>
      <c r="AV84" s="80">
        <f t="shared" ca="1" si="29"/>
        <v>3396.6204171205063</v>
      </c>
      <c r="BC84" s="499">
        <f t="shared" ca="1" si="22"/>
        <v>58.950517801423324</v>
      </c>
      <c r="BD84" s="499">
        <f t="shared" ca="1" si="23"/>
        <v>3455.5709349219296</v>
      </c>
    </row>
    <row r="85" spans="1:56" s="19" customFormat="1" ht="12" customHeight="1">
      <c r="A85" s="71" t="str">
        <f t="shared" si="24"/>
        <v>PA-CF4YDEOW</v>
      </c>
      <c r="B85" s="72" t="s">
        <v>179</v>
      </c>
      <c r="C85" s="72" t="s">
        <v>180</v>
      </c>
      <c r="D85" s="73">
        <v>168.63</v>
      </c>
      <c r="E85" s="192" t="s">
        <v>349</v>
      </c>
      <c r="F85" s="67"/>
      <c r="G85" s="75">
        <v>2866.71</v>
      </c>
      <c r="H85" s="75">
        <v>3709.86</v>
      </c>
      <c r="I85" s="75">
        <v>3541.23</v>
      </c>
      <c r="J85" s="75">
        <v>3878.49</v>
      </c>
      <c r="K85" s="75">
        <v>3203.97</v>
      </c>
      <c r="L85" s="75">
        <v>3541.23</v>
      </c>
      <c r="M85" s="75">
        <v>3709.86</v>
      </c>
      <c r="N85" s="75">
        <v>3709.86</v>
      </c>
      <c r="O85" s="75">
        <v>3541.22</v>
      </c>
      <c r="P85" s="75">
        <v>3372.6</v>
      </c>
      <c r="Q85" s="75">
        <v>3372.6</v>
      </c>
      <c r="R85" s="75">
        <v>3288.28</v>
      </c>
      <c r="S85" s="75">
        <f t="shared" si="25"/>
        <v>41735.909999999996</v>
      </c>
      <c r="T85" s="71">
        <v>33010</v>
      </c>
      <c r="V85" s="75">
        <f t="shared" si="33"/>
        <v>17</v>
      </c>
      <c r="W85" s="75">
        <f t="shared" si="33"/>
        <v>22</v>
      </c>
      <c r="X85" s="75">
        <f t="shared" si="33"/>
        <v>21</v>
      </c>
      <c r="Y85" s="75">
        <f t="shared" si="32"/>
        <v>23</v>
      </c>
      <c r="Z85" s="75">
        <f t="shared" si="32"/>
        <v>19</v>
      </c>
      <c r="AA85" s="75">
        <f t="shared" si="32"/>
        <v>21</v>
      </c>
      <c r="AB85" s="75">
        <f t="shared" si="32"/>
        <v>22</v>
      </c>
      <c r="AC85" s="75">
        <f t="shared" si="32"/>
        <v>22</v>
      </c>
      <c r="AD85" s="75">
        <f t="shared" si="32"/>
        <v>20.999940698570835</v>
      </c>
      <c r="AE85" s="75">
        <f t="shared" si="32"/>
        <v>20</v>
      </c>
      <c r="AF85" s="75">
        <f t="shared" si="32"/>
        <v>20</v>
      </c>
      <c r="AG85" s="75">
        <f t="shared" si="32"/>
        <v>19.49997034928542</v>
      </c>
      <c r="AH85" s="75">
        <f t="shared" si="27"/>
        <v>20.624992587321355</v>
      </c>
      <c r="AI85" s="44"/>
      <c r="AJ85" s="193"/>
      <c r="AK85" s="43" t="s">
        <v>156</v>
      </c>
      <c r="AL85" s="5"/>
      <c r="AM85" s="5"/>
      <c r="AN85" s="1">
        <v>1</v>
      </c>
      <c r="AO85" s="137">
        <f t="shared" si="31"/>
        <v>20.624992587321355</v>
      </c>
      <c r="AP85" s="5"/>
      <c r="AQ85" s="5"/>
      <c r="AR85" s="210"/>
      <c r="AS85" s="194">
        <f>+AS84*2.17</f>
        <v>194.60560000000001</v>
      </c>
      <c r="AT85" s="195">
        <f t="shared" ca="1" si="30"/>
        <v>216.18338583968708</v>
      </c>
      <c r="AU85" s="80">
        <f t="shared" ca="1" si="28"/>
        <v>53505.368765346939</v>
      </c>
      <c r="AV85" s="80">
        <f t="shared" ca="1" si="29"/>
        <v>11769.458765346943</v>
      </c>
      <c r="BC85" s="499">
        <f t="shared" ca="1" si="22"/>
        <v>204.26347076908274</v>
      </c>
      <c r="BD85" s="499">
        <f t="shared" ca="1" si="23"/>
        <v>11973.722236116026</v>
      </c>
    </row>
    <row r="86" spans="1:56" s="19" customFormat="1" ht="12" customHeight="1">
      <c r="A86" s="71" t="str">
        <f t="shared" si="24"/>
        <v>PA-CF6YDEOW</v>
      </c>
      <c r="B86" s="72" t="s">
        <v>366</v>
      </c>
      <c r="C86" s="72" t="s">
        <v>367</v>
      </c>
      <c r="D86" s="73">
        <v>235.77</v>
      </c>
      <c r="E86" s="192" t="s">
        <v>349</v>
      </c>
      <c r="F86" s="67"/>
      <c r="G86" s="75">
        <v>1414.62</v>
      </c>
      <c r="H86" s="75">
        <v>1414.62</v>
      </c>
      <c r="I86" s="75">
        <v>1650.39</v>
      </c>
      <c r="J86" s="75">
        <v>1650.38</v>
      </c>
      <c r="K86" s="75">
        <v>1886.16</v>
      </c>
      <c r="L86" s="75">
        <v>1650.39</v>
      </c>
      <c r="M86" s="75">
        <v>1650.39</v>
      </c>
      <c r="N86" s="75">
        <v>1650.39</v>
      </c>
      <c r="O86" s="75">
        <v>1650.39</v>
      </c>
      <c r="P86" s="75">
        <v>2357.6999999999998</v>
      </c>
      <c r="Q86" s="75">
        <v>2357.6999999999998</v>
      </c>
      <c r="R86" s="75">
        <v>1768.25</v>
      </c>
      <c r="S86" s="75">
        <f t="shared" si="25"/>
        <v>21101.379999999997</v>
      </c>
      <c r="T86" s="71">
        <v>33010</v>
      </c>
      <c r="V86" s="75">
        <f t="shared" si="33"/>
        <v>5.9999999999999991</v>
      </c>
      <c r="W86" s="75">
        <f t="shared" si="33"/>
        <v>5.9999999999999991</v>
      </c>
      <c r="X86" s="75">
        <f t="shared" si="33"/>
        <v>7</v>
      </c>
      <c r="Y86" s="75">
        <f t="shared" si="32"/>
        <v>6.999957585782755</v>
      </c>
      <c r="Z86" s="75">
        <f t="shared" si="32"/>
        <v>8</v>
      </c>
      <c r="AA86" s="75">
        <f t="shared" si="32"/>
        <v>7</v>
      </c>
      <c r="AB86" s="75">
        <f t="shared" si="32"/>
        <v>7</v>
      </c>
      <c r="AC86" s="75">
        <f t="shared" si="32"/>
        <v>7</v>
      </c>
      <c r="AD86" s="75">
        <f t="shared" si="32"/>
        <v>7</v>
      </c>
      <c r="AE86" s="75">
        <f t="shared" si="32"/>
        <v>9.9999999999999982</v>
      </c>
      <c r="AF86" s="75">
        <f t="shared" si="32"/>
        <v>9.9999999999999982</v>
      </c>
      <c r="AG86" s="75">
        <f t="shared" si="32"/>
        <v>7.4998939644568861</v>
      </c>
      <c r="AH86" s="75">
        <f t="shared" si="27"/>
        <v>7.45832096251997</v>
      </c>
      <c r="AI86" s="44"/>
      <c r="AJ86" s="193"/>
      <c r="AK86" s="43" t="s">
        <v>159</v>
      </c>
      <c r="AL86" s="5"/>
      <c r="AM86" s="5"/>
      <c r="AN86" s="1">
        <v>1</v>
      </c>
      <c r="AO86" s="137">
        <f t="shared" si="31"/>
        <v>7.45832096251997</v>
      </c>
      <c r="AP86" s="5"/>
      <c r="AQ86" s="5"/>
      <c r="AR86" s="210"/>
      <c r="AS86" s="194">
        <f>2.17*125.05</f>
        <v>271.35849999999999</v>
      </c>
      <c r="AT86" s="195">
        <f t="shared" ca="1" si="30"/>
        <v>301.44661462146371</v>
      </c>
      <c r="AU86" s="80">
        <f t="shared" ca="1" si="28"/>
        <v>26979.427258943302</v>
      </c>
      <c r="AV86" s="80">
        <f t="shared" ca="1" si="29"/>
        <v>5878.0472589433048</v>
      </c>
      <c r="BC86" s="499">
        <f t="shared" ca="1" si="22"/>
        <v>102.99735481578314</v>
      </c>
      <c r="BD86" s="499">
        <f t="shared" ca="1" si="23"/>
        <v>5981.044613759088</v>
      </c>
    </row>
    <row r="87" spans="1:56" s="19" customFormat="1" ht="12" customHeight="1">
      <c r="A87" s="71" t="str">
        <f t="shared" si="24"/>
        <v>PA-CF8YD1W</v>
      </c>
      <c r="B87" s="72" t="s">
        <v>368</v>
      </c>
      <c r="C87" s="72" t="s">
        <v>369</v>
      </c>
      <c r="D87" s="73">
        <v>631.27</v>
      </c>
      <c r="E87" s="192" t="s">
        <v>349</v>
      </c>
      <c r="F87" s="67"/>
      <c r="G87" s="75">
        <v>3787.62</v>
      </c>
      <c r="H87" s="75">
        <v>4103.24</v>
      </c>
      <c r="I87" s="75">
        <v>5050.16</v>
      </c>
      <c r="J87" s="75">
        <v>4734.5200000000004</v>
      </c>
      <c r="K87" s="75">
        <v>4418.8900000000003</v>
      </c>
      <c r="L87" s="75">
        <v>4418.8900000000003</v>
      </c>
      <c r="M87" s="75">
        <v>4418.8900000000003</v>
      </c>
      <c r="N87" s="75">
        <v>5050.16</v>
      </c>
      <c r="O87" s="75">
        <v>4892.34</v>
      </c>
      <c r="P87" s="75">
        <v>4418.8900000000003</v>
      </c>
      <c r="Q87" s="75">
        <v>4418.8900000000003</v>
      </c>
      <c r="R87" s="75">
        <v>5050.16</v>
      </c>
      <c r="S87" s="75">
        <f t="shared" si="25"/>
        <v>54762.649999999994</v>
      </c>
      <c r="T87" s="71">
        <v>33010</v>
      </c>
      <c r="V87" s="75">
        <f t="shared" si="33"/>
        <v>6</v>
      </c>
      <c r="W87" s="75">
        <f t="shared" si="33"/>
        <v>6.4999762383766058</v>
      </c>
      <c r="X87" s="75">
        <f t="shared" si="33"/>
        <v>8</v>
      </c>
      <c r="Y87" s="75">
        <f t="shared" si="32"/>
        <v>7.4999920794588695</v>
      </c>
      <c r="Z87" s="75">
        <f t="shared" si="32"/>
        <v>7.0000000000000009</v>
      </c>
      <c r="AA87" s="75">
        <f t="shared" si="32"/>
        <v>7.0000000000000009</v>
      </c>
      <c r="AB87" s="75">
        <f t="shared" si="32"/>
        <v>7.0000000000000009</v>
      </c>
      <c r="AC87" s="75">
        <f t="shared" si="32"/>
        <v>8</v>
      </c>
      <c r="AD87" s="75">
        <f t="shared" si="32"/>
        <v>7.7499960397294352</v>
      </c>
      <c r="AE87" s="75">
        <f t="shared" si="32"/>
        <v>7.0000000000000009</v>
      </c>
      <c r="AF87" s="75">
        <f t="shared" si="32"/>
        <v>7.0000000000000009</v>
      </c>
      <c r="AG87" s="75">
        <f t="shared" si="32"/>
        <v>8</v>
      </c>
      <c r="AH87" s="75">
        <f t="shared" si="27"/>
        <v>7.2291636964637425</v>
      </c>
      <c r="AI87" s="44"/>
      <c r="AJ87" s="193"/>
      <c r="AK87" s="43" t="s">
        <v>370</v>
      </c>
      <c r="AL87" s="5"/>
      <c r="AM87" s="5"/>
      <c r="AN87" s="1">
        <v>1</v>
      </c>
      <c r="AO87" s="137">
        <f t="shared" si="31"/>
        <v>7.2291636964637425</v>
      </c>
      <c r="AP87" s="5"/>
      <c r="AQ87" s="5"/>
      <c r="AR87" s="210"/>
      <c r="AS87" s="194">
        <f>4.33*164.92</f>
        <v>714.10359999999991</v>
      </c>
      <c r="AT87" s="195">
        <f t="shared" ca="1" si="30"/>
        <v>793.28310227613974</v>
      </c>
      <c r="AU87" s="80">
        <f t="shared" ca="1" si="28"/>
        <v>68817.280847913644</v>
      </c>
      <c r="AV87" s="80">
        <f t="shared" ca="1" si="29"/>
        <v>14054.63084791365</v>
      </c>
      <c r="BC87" s="499">
        <f t="shared" ca="1" si="22"/>
        <v>262.71861981800919</v>
      </c>
      <c r="BD87" s="499">
        <f t="shared" ca="1" si="23"/>
        <v>14317.349467731659</v>
      </c>
    </row>
    <row r="88" spans="1:56" s="134" customFormat="1" ht="12" customHeight="1">
      <c r="A88" s="5" t="str">
        <f t="shared" si="24"/>
        <v>PA-CDEL3TEMP-COM</v>
      </c>
      <c r="B88" s="48" t="s">
        <v>371</v>
      </c>
      <c r="C88" s="48" t="s">
        <v>372</v>
      </c>
      <c r="D88" s="73">
        <v>45.13</v>
      </c>
      <c r="E88" s="192" t="s">
        <v>349</v>
      </c>
      <c r="F88" s="67"/>
      <c r="G88" s="68">
        <v>0</v>
      </c>
      <c r="H88" s="68">
        <v>45.13</v>
      </c>
      <c r="I88" s="68">
        <v>45.13</v>
      </c>
      <c r="J88" s="68">
        <v>0</v>
      </c>
      <c r="K88" s="68">
        <v>0</v>
      </c>
      <c r="L88" s="68">
        <v>45.13</v>
      </c>
      <c r="M88" s="68">
        <v>0</v>
      </c>
      <c r="N88" s="68">
        <v>45.13</v>
      </c>
      <c r="O88" s="68">
        <v>45.13</v>
      </c>
      <c r="P88" s="68">
        <v>45.13</v>
      </c>
      <c r="Q88" s="68">
        <v>135.38999999999999</v>
      </c>
      <c r="R88" s="68">
        <v>90.26</v>
      </c>
      <c r="S88" s="68">
        <f t="shared" si="25"/>
        <v>496.43</v>
      </c>
      <c r="T88" s="5">
        <v>33010</v>
      </c>
      <c r="V88" s="69">
        <f t="shared" si="33"/>
        <v>0</v>
      </c>
      <c r="W88" s="69">
        <f t="shared" si="33"/>
        <v>1</v>
      </c>
      <c r="X88" s="69">
        <f t="shared" si="33"/>
        <v>1</v>
      </c>
      <c r="Y88" s="69">
        <f t="shared" si="32"/>
        <v>0</v>
      </c>
      <c r="Z88" s="69">
        <f t="shared" si="32"/>
        <v>0</v>
      </c>
      <c r="AA88" s="69">
        <f t="shared" si="32"/>
        <v>1</v>
      </c>
      <c r="AB88" s="69">
        <f t="shared" si="32"/>
        <v>0</v>
      </c>
      <c r="AC88" s="69">
        <f t="shared" si="32"/>
        <v>1</v>
      </c>
      <c r="AD88" s="69">
        <f t="shared" si="32"/>
        <v>1</v>
      </c>
      <c r="AE88" s="69">
        <f t="shared" si="32"/>
        <v>1</v>
      </c>
      <c r="AF88" s="69">
        <f t="shared" si="32"/>
        <v>2.9999999999999996</v>
      </c>
      <c r="AG88" s="69">
        <f t="shared" si="32"/>
        <v>2</v>
      </c>
      <c r="AH88" s="68">
        <f t="shared" si="27"/>
        <v>1.375</v>
      </c>
      <c r="AI88" s="44"/>
      <c r="AJ88" s="193"/>
      <c r="AK88" s="43"/>
      <c r="AL88" s="5"/>
      <c r="AM88" s="5"/>
      <c r="AN88" s="1"/>
      <c r="AO88" s="138"/>
      <c r="AP88" s="5"/>
      <c r="AQ88" s="5"/>
      <c r="AR88" s="210"/>
      <c r="AS88" s="194">
        <v>52.54</v>
      </c>
      <c r="AT88" s="195">
        <f t="shared" ca="1" si="30"/>
        <v>58.36561276765498</v>
      </c>
      <c r="AU88" s="80">
        <f t="shared" ca="1" si="28"/>
        <v>963.03261066630716</v>
      </c>
      <c r="AV88" s="80">
        <f t="shared" ca="1" si="29"/>
        <v>466.60261066630716</v>
      </c>
      <c r="BC88" s="499">
        <f t="shared" ca="1" si="22"/>
        <v>3.6764980423032352</v>
      </c>
      <c r="BD88" s="499">
        <f t="shared" ca="1" si="23"/>
        <v>470.27910870861041</v>
      </c>
    </row>
    <row r="89" spans="1:56" s="134" customFormat="1" ht="12" customHeight="1">
      <c r="A89" s="5" t="str">
        <f t="shared" si="24"/>
        <v>PA-CDEL4TEMP-COM</v>
      </c>
      <c r="B89" s="48" t="s">
        <v>373</v>
      </c>
      <c r="C89" s="48" t="s">
        <v>374</v>
      </c>
      <c r="D89" s="73">
        <v>45.13</v>
      </c>
      <c r="E89" s="192" t="s">
        <v>349</v>
      </c>
      <c r="F89" s="67"/>
      <c r="G89" s="68">
        <v>45.13</v>
      </c>
      <c r="H89" s="68">
        <v>180.52</v>
      </c>
      <c r="I89" s="68">
        <v>135.38999999999999</v>
      </c>
      <c r="J89" s="68">
        <v>180.52</v>
      </c>
      <c r="K89" s="68">
        <v>0</v>
      </c>
      <c r="L89" s="68">
        <v>180.52</v>
      </c>
      <c r="M89" s="68">
        <v>90.26</v>
      </c>
      <c r="N89" s="68">
        <v>90.26</v>
      </c>
      <c r="O89" s="68">
        <v>225.65</v>
      </c>
      <c r="P89" s="68">
        <v>45.13</v>
      </c>
      <c r="Q89" s="68">
        <v>135.38999999999999</v>
      </c>
      <c r="R89" s="68">
        <v>180.52</v>
      </c>
      <c r="S89" s="68">
        <f t="shared" si="25"/>
        <v>1489.29</v>
      </c>
      <c r="T89" s="5">
        <v>33010</v>
      </c>
      <c r="V89" s="69">
        <f t="shared" si="33"/>
        <v>1</v>
      </c>
      <c r="W89" s="69">
        <f t="shared" si="33"/>
        <v>4</v>
      </c>
      <c r="X89" s="69">
        <f t="shared" si="33"/>
        <v>2.9999999999999996</v>
      </c>
      <c r="Y89" s="69">
        <f t="shared" si="32"/>
        <v>4</v>
      </c>
      <c r="Z89" s="69">
        <f t="shared" si="32"/>
        <v>0</v>
      </c>
      <c r="AA89" s="69">
        <f t="shared" si="32"/>
        <v>4</v>
      </c>
      <c r="AB89" s="69">
        <f t="shared" si="32"/>
        <v>2</v>
      </c>
      <c r="AC89" s="69">
        <f t="shared" si="32"/>
        <v>2</v>
      </c>
      <c r="AD89" s="69">
        <f t="shared" si="32"/>
        <v>5</v>
      </c>
      <c r="AE89" s="69">
        <f t="shared" si="32"/>
        <v>1</v>
      </c>
      <c r="AF89" s="69">
        <f t="shared" si="32"/>
        <v>2.9999999999999996</v>
      </c>
      <c r="AG89" s="69">
        <f t="shared" si="32"/>
        <v>4</v>
      </c>
      <c r="AH89" s="68">
        <f t="shared" si="27"/>
        <v>3</v>
      </c>
      <c r="AI89" s="44"/>
      <c r="AJ89" s="193"/>
      <c r="AK89" s="43"/>
      <c r="AL89" s="5"/>
      <c r="AM89" s="5"/>
      <c r="AN89" s="1"/>
      <c r="AO89" s="138"/>
      <c r="AP89" s="5"/>
      <c r="AQ89" s="5"/>
      <c r="AR89" s="210"/>
      <c r="AS89" s="194">
        <v>52.54</v>
      </c>
      <c r="AT89" s="195">
        <f t="shared" ca="1" si="30"/>
        <v>58.36561276765498</v>
      </c>
      <c r="AU89" s="80">
        <f t="shared" ca="1" si="28"/>
        <v>2101.1620596355797</v>
      </c>
      <c r="AV89" s="80">
        <f t="shared" ca="1" si="29"/>
        <v>611.87205963557972</v>
      </c>
      <c r="BC89" s="499">
        <f t="shared" ca="1" si="22"/>
        <v>8.02145027411615</v>
      </c>
      <c r="BD89" s="499">
        <f t="shared" ca="1" si="23"/>
        <v>619.89350990969592</v>
      </c>
    </row>
    <row r="90" spans="1:56" s="19" customFormat="1" ht="12" customHeight="1">
      <c r="A90" s="71" t="str">
        <f t="shared" si="24"/>
        <v>PA-CF2YDTPU</v>
      </c>
      <c r="B90" s="72" t="s">
        <v>375</v>
      </c>
      <c r="C90" s="72" t="s">
        <v>376</v>
      </c>
      <c r="D90" s="73">
        <v>40.36</v>
      </c>
      <c r="E90" s="192" t="s">
        <v>349</v>
      </c>
      <c r="F90" s="67"/>
      <c r="G90" s="75">
        <v>443.96</v>
      </c>
      <c r="H90" s="75">
        <v>322.88</v>
      </c>
      <c r="I90" s="75">
        <v>242.16</v>
      </c>
      <c r="J90" s="75">
        <v>121.08</v>
      </c>
      <c r="K90" s="75">
        <v>161.44</v>
      </c>
      <c r="L90" s="75">
        <v>0</v>
      </c>
      <c r="M90" s="75">
        <v>121.08</v>
      </c>
      <c r="N90" s="75">
        <v>161.44</v>
      </c>
      <c r="O90" s="75">
        <v>322.88</v>
      </c>
      <c r="P90" s="75">
        <v>322.88</v>
      </c>
      <c r="Q90" s="75">
        <v>161.44</v>
      </c>
      <c r="R90" s="75">
        <v>80.72</v>
      </c>
      <c r="S90" s="75">
        <f t="shared" si="25"/>
        <v>2461.96</v>
      </c>
      <c r="T90" s="71">
        <v>33010</v>
      </c>
      <c r="V90" s="75">
        <f t="shared" si="33"/>
        <v>11</v>
      </c>
      <c r="W90" s="75">
        <f t="shared" si="33"/>
        <v>8</v>
      </c>
      <c r="X90" s="75">
        <f t="shared" si="33"/>
        <v>6</v>
      </c>
      <c r="Y90" s="75">
        <f t="shared" si="32"/>
        <v>3</v>
      </c>
      <c r="Z90" s="75">
        <f t="shared" si="32"/>
        <v>4</v>
      </c>
      <c r="AA90" s="75">
        <f t="shared" si="32"/>
        <v>0</v>
      </c>
      <c r="AB90" s="75">
        <f t="shared" si="32"/>
        <v>3</v>
      </c>
      <c r="AC90" s="75">
        <f t="shared" si="32"/>
        <v>4</v>
      </c>
      <c r="AD90" s="75">
        <f t="shared" si="32"/>
        <v>8</v>
      </c>
      <c r="AE90" s="75">
        <f t="shared" si="32"/>
        <v>8</v>
      </c>
      <c r="AF90" s="75">
        <f t="shared" si="32"/>
        <v>4</v>
      </c>
      <c r="AG90" s="75">
        <f t="shared" si="32"/>
        <v>2</v>
      </c>
      <c r="AH90" s="75">
        <f t="shared" si="27"/>
        <v>5.5454545454545459</v>
      </c>
      <c r="AI90" s="44"/>
      <c r="AJ90" s="193"/>
      <c r="AK90" s="43" t="s">
        <v>151</v>
      </c>
      <c r="AL90" s="5"/>
      <c r="AM90" s="5"/>
      <c r="AN90" s="1">
        <v>1</v>
      </c>
      <c r="AO90" s="137">
        <f>+AH90*AN90</f>
        <v>5.5454545454545459</v>
      </c>
      <c r="AP90" s="5"/>
      <c r="AQ90" s="5"/>
      <c r="AR90" s="210"/>
      <c r="AS90" s="194">
        <v>46.69</v>
      </c>
      <c r="AT90" s="195">
        <f t="shared" ca="1" si="30"/>
        <v>51.866967265356131</v>
      </c>
      <c r="AU90" s="80">
        <f t="shared" ca="1" si="28"/>
        <v>3451.5109125673353</v>
      </c>
      <c r="AV90" s="80">
        <f t="shared" ca="1" si="29"/>
        <v>989.55091256733522</v>
      </c>
      <c r="BC90" s="499">
        <f t="shared" ca="1" si="22"/>
        <v>13.176576756068949</v>
      </c>
      <c r="BD90" s="499">
        <f t="shared" ca="1" si="23"/>
        <v>1002.7274893234041</v>
      </c>
    </row>
    <row r="91" spans="1:56" s="5" customFormat="1" ht="12" customHeight="1">
      <c r="A91" s="5" t="str">
        <f t="shared" si="24"/>
        <v>PA-CSP35-COM</v>
      </c>
      <c r="B91" s="48" t="s">
        <v>377</v>
      </c>
      <c r="C91" s="48" t="s">
        <v>378</v>
      </c>
      <c r="D91" s="73">
        <v>8</v>
      </c>
      <c r="E91" s="192" t="s">
        <v>348</v>
      </c>
      <c r="F91" s="67"/>
      <c r="G91" s="68">
        <v>4</v>
      </c>
      <c r="H91" s="68">
        <v>4</v>
      </c>
      <c r="I91" s="68">
        <v>0</v>
      </c>
      <c r="J91" s="68">
        <v>0</v>
      </c>
      <c r="K91" s="68">
        <v>0</v>
      </c>
      <c r="L91" s="68">
        <v>0</v>
      </c>
      <c r="M91" s="68">
        <v>0</v>
      </c>
      <c r="N91" s="68">
        <v>0</v>
      </c>
      <c r="O91" s="68">
        <v>0</v>
      </c>
      <c r="P91" s="68">
        <v>0</v>
      </c>
      <c r="Q91" s="68">
        <v>4</v>
      </c>
      <c r="R91" s="68">
        <v>4</v>
      </c>
      <c r="S91" s="68">
        <f t="shared" si="25"/>
        <v>16</v>
      </c>
      <c r="T91" s="5">
        <v>33011</v>
      </c>
      <c r="V91" s="69">
        <f t="shared" si="33"/>
        <v>0.5</v>
      </c>
      <c r="W91" s="69">
        <f t="shared" si="33"/>
        <v>0.5</v>
      </c>
      <c r="X91" s="69">
        <f t="shared" si="33"/>
        <v>0</v>
      </c>
      <c r="Y91" s="69">
        <f t="shared" si="32"/>
        <v>0</v>
      </c>
      <c r="Z91" s="69">
        <f t="shared" si="32"/>
        <v>0</v>
      </c>
      <c r="AA91" s="69">
        <f t="shared" si="32"/>
        <v>0</v>
      </c>
      <c r="AB91" s="69">
        <f t="shared" si="32"/>
        <v>0</v>
      </c>
      <c r="AC91" s="69">
        <f t="shared" si="32"/>
        <v>0</v>
      </c>
      <c r="AD91" s="69">
        <f t="shared" si="32"/>
        <v>0</v>
      </c>
      <c r="AE91" s="69">
        <f t="shared" si="32"/>
        <v>0</v>
      </c>
      <c r="AF91" s="69">
        <f t="shared" si="32"/>
        <v>0.5</v>
      </c>
      <c r="AG91" s="69">
        <f t="shared" si="32"/>
        <v>0.5</v>
      </c>
      <c r="AH91" s="68">
        <f t="shared" si="27"/>
        <v>0.5</v>
      </c>
      <c r="AI91" s="44"/>
      <c r="AJ91" s="193"/>
      <c r="AK91" s="43"/>
      <c r="AN91" s="1"/>
      <c r="AO91" s="138"/>
      <c r="AR91" s="210"/>
      <c r="AS91" s="194">
        <v>8.7200000000000006</v>
      </c>
      <c r="AT91" s="195">
        <f t="shared" ca="1" si="30"/>
        <v>9.6868698769309383</v>
      </c>
      <c r="AU91" s="80">
        <f t="shared" ca="1" si="28"/>
        <v>58.12121926158563</v>
      </c>
      <c r="AV91" s="80">
        <f t="shared" ca="1" si="29"/>
        <v>42.12121926158563</v>
      </c>
      <c r="BC91" s="499">
        <f t="shared" ca="1" si="22"/>
        <v>0.2218850602407462</v>
      </c>
      <c r="BD91" s="499">
        <f t="shared" ca="1" si="23"/>
        <v>42.343104321826374</v>
      </c>
    </row>
    <row r="92" spans="1:56" s="5" customFormat="1" ht="12" customHeight="1">
      <c r="A92" s="5" t="str">
        <f t="shared" si="24"/>
        <v>PA-CSP1.5-COM</v>
      </c>
      <c r="B92" s="48" t="s">
        <v>181</v>
      </c>
      <c r="C92" s="48" t="s">
        <v>182</v>
      </c>
      <c r="D92" s="73">
        <v>34</v>
      </c>
      <c r="E92" s="192" t="s">
        <v>349</v>
      </c>
      <c r="F92" s="67"/>
      <c r="G92" s="68">
        <v>34</v>
      </c>
      <c r="H92" s="68">
        <v>68</v>
      </c>
      <c r="I92" s="68">
        <v>68</v>
      </c>
      <c r="J92" s="68">
        <v>34</v>
      </c>
      <c r="K92" s="68">
        <v>0</v>
      </c>
      <c r="L92" s="68">
        <v>0</v>
      </c>
      <c r="M92" s="68">
        <v>0</v>
      </c>
      <c r="N92" s="68">
        <v>0</v>
      </c>
      <c r="O92" s="68">
        <v>0</v>
      </c>
      <c r="P92" s="68">
        <v>0</v>
      </c>
      <c r="Q92" s="68">
        <v>68</v>
      </c>
      <c r="R92" s="68">
        <v>0</v>
      </c>
      <c r="S92" s="68">
        <f t="shared" si="25"/>
        <v>272</v>
      </c>
      <c r="T92" s="5">
        <v>33010</v>
      </c>
      <c r="V92" s="69">
        <f t="shared" si="33"/>
        <v>1</v>
      </c>
      <c r="W92" s="69">
        <f t="shared" si="33"/>
        <v>2</v>
      </c>
      <c r="X92" s="69">
        <f t="shared" si="33"/>
        <v>2</v>
      </c>
      <c r="Y92" s="69">
        <f t="shared" si="32"/>
        <v>1</v>
      </c>
      <c r="Z92" s="69">
        <f t="shared" si="32"/>
        <v>0</v>
      </c>
      <c r="AA92" s="69">
        <f t="shared" si="32"/>
        <v>0</v>
      </c>
      <c r="AB92" s="69">
        <f t="shared" si="32"/>
        <v>0</v>
      </c>
      <c r="AC92" s="69">
        <f t="shared" si="32"/>
        <v>0</v>
      </c>
      <c r="AD92" s="69">
        <f t="shared" si="32"/>
        <v>0</v>
      </c>
      <c r="AE92" s="69">
        <f t="shared" si="32"/>
        <v>0</v>
      </c>
      <c r="AF92" s="69">
        <f t="shared" si="32"/>
        <v>2</v>
      </c>
      <c r="AG92" s="69">
        <f t="shared" si="32"/>
        <v>0</v>
      </c>
      <c r="AH92" s="68">
        <f t="shared" si="27"/>
        <v>1.6</v>
      </c>
      <c r="AI92" s="44"/>
      <c r="AJ92" s="193"/>
      <c r="AK92" s="43"/>
      <c r="AN92" s="1"/>
      <c r="AO92" s="138"/>
      <c r="AR92" s="210"/>
      <c r="AS92" s="194">
        <v>38.880000000000003</v>
      </c>
      <c r="AT92" s="195">
        <f t="shared" ca="1" si="30"/>
        <v>43.190997799893907</v>
      </c>
      <c r="AU92" s="80">
        <f t="shared" ca="1" si="28"/>
        <v>829.2671577579631</v>
      </c>
      <c r="AV92" s="80">
        <f t="shared" ca="1" si="29"/>
        <v>557.2671577579631</v>
      </c>
      <c r="BC92" s="499">
        <f t="shared" ca="1" si="22"/>
        <v>3.165831611801913</v>
      </c>
      <c r="BD92" s="499">
        <f t="shared" ca="1" si="23"/>
        <v>560.43298936976498</v>
      </c>
    </row>
    <row r="93" spans="1:56" s="134" customFormat="1" ht="12" customHeight="1">
      <c r="A93" s="5" t="str">
        <f t="shared" si="24"/>
        <v>PA-CSP2-COM</v>
      </c>
      <c r="B93" s="48" t="s">
        <v>183</v>
      </c>
      <c r="C93" s="48" t="s">
        <v>184</v>
      </c>
      <c r="D93" s="73">
        <v>45.82</v>
      </c>
      <c r="E93" s="192" t="s">
        <v>349</v>
      </c>
      <c r="F93" s="67"/>
      <c r="G93" s="68">
        <v>137.46</v>
      </c>
      <c r="H93" s="68">
        <v>45.82</v>
      </c>
      <c r="I93" s="68">
        <v>91.64</v>
      </c>
      <c r="J93" s="68">
        <v>45.82</v>
      </c>
      <c r="K93" s="68">
        <v>0</v>
      </c>
      <c r="L93" s="68">
        <v>45.82</v>
      </c>
      <c r="M93" s="68">
        <v>45.82</v>
      </c>
      <c r="N93" s="68">
        <v>45.82</v>
      </c>
      <c r="O93" s="68">
        <v>45.82</v>
      </c>
      <c r="P93" s="68">
        <v>183.28</v>
      </c>
      <c r="Q93" s="68">
        <v>137.46</v>
      </c>
      <c r="R93" s="68">
        <v>137.46</v>
      </c>
      <c r="S93" s="68">
        <f t="shared" si="25"/>
        <v>962.22</v>
      </c>
      <c r="T93" s="5">
        <v>33010</v>
      </c>
      <c r="V93" s="69">
        <f t="shared" si="33"/>
        <v>3</v>
      </c>
      <c r="W93" s="69">
        <f t="shared" si="33"/>
        <v>1</v>
      </c>
      <c r="X93" s="69">
        <f t="shared" si="33"/>
        <v>2</v>
      </c>
      <c r="Y93" s="69">
        <f t="shared" si="32"/>
        <v>1</v>
      </c>
      <c r="Z93" s="69">
        <f t="shared" si="32"/>
        <v>0</v>
      </c>
      <c r="AA93" s="69">
        <f t="shared" si="32"/>
        <v>1</v>
      </c>
      <c r="AB93" s="69">
        <f t="shared" si="32"/>
        <v>1</v>
      </c>
      <c r="AC93" s="69">
        <f t="shared" si="32"/>
        <v>1</v>
      </c>
      <c r="AD93" s="69">
        <f t="shared" si="32"/>
        <v>1</v>
      </c>
      <c r="AE93" s="69">
        <f t="shared" si="32"/>
        <v>4</v>
      </c>
      <c r="AF93" s="69">
        <f t="shared" si="32"/>
        <v>3</v>
      </c>
      <c r="AG93" s="69">
        <f t="shared" si="32"/>
        <v>3</v>
      </c>
      <c r="AH93" s="68">
        <f t="shared" si="27"/>
        <v>1.9090909090909092</v>
      </c>
      <c r="AI93" s="44"/>
      <c r="AJ93" s="193"/>
      <c r="AK93" s="43"/>
      <c r="AL93" s="5"/>
      <c r="AM93" s="5"/>
      <c r="AN93" s="1"/>
      <c r="AO93" s="138"/>
      <c r="AP93" s="5"/>
      <c r="AQ93" s="5"/>
      <c r="AR93" s="210"/>
      <c r="AS93" s="194">
        <v>52.15</v>
      </c>
      <c r="AT93" s="195">
        <f t="shared" ca="1" si="30"/>
        <v>57.93236973416839</v>
      </c>
      <c r="AU93" s="80">
        <f t="shared" ca="1" si="28"/>
        <v>1327.1779248191303</v>
      </c>
      <c r="AV93" s="80">
        <f t="shared" ca="1" si="29"/>
        <v>364.95792481913031</v>
      </c>
      <c r="BC93" s="499">
        <f t="shared" ca="1" si="22"/>
        <v>5.066668551348064</v>
      </c>
      <c r="BD93" s="499">
        <f t="shared" ca="1" si="23"/>
        <v>370.02459337047839</v>
      </c>
    </row>
    <row r="94" spans="1:56" s="134" customFormat="1" ht="12" customHeight="1">
      <c r="A94" s="5" t="str">
        <f t="shared" si="24"/>
        <v>PA-CDEL1.5TEMP-COM</v>
      </c>
      <c r="B94" s="48" t="s">
        <v>145</v>
      </c>
      <c r="C94" s="48" t="s">
        <v>146</v>
      </c>
      <c r="D94" s="73">
        <v>26.04</v>
      </c>
      <c r="E94" s="192" t="s">
        <v>349</v>
      </c>
      <c r="F94" s="67"/>
      <c r="G94" s="68">
        <v>0</v>
      </c>
      <c r="H94" s="68">
        <v>26.04</v>
      </c>
      <c r="I94" s="68">
        <v>0</v>
      </c>
      <c r="J94" s="68">
        <v>0</v>
      </c>
      <c r="K94" s="68">
        <v>0</v>
      </c>
      <c r="L94" s="68">
        <v>0</v>
      </c>
      <c r="M94" s="68">
        <v>0</v>
      </c>
      <c r="N94" s="68">
        <v>26.04</v>
      </c>
      <c r="O94" s="68">
        <v>0</v>
      </c>
      <c r="P94" s="68">
        <v>0</v>
      </c>
      <c r="Q94" s="68">
        <v>0</v>
      </c>
      <c r="R94" s="68">
        <v>52.08</v>
      </c>
      <c r="S94" s="68">
        <f t="shared" si="25"/>
        <v>104.16</v>
      </c>
      <c r="T94" s="5">
        <v>33010</v>
      </c>
      <c r="V94" s="69">
        <f t="shared" si="33"/>
        <v>0</v>
      </c>
      <c r="W94" s="69">
        <f t="shared" si="33"/>
        <v>1</v>
      </c>
      <c r="X94" s="69">
        <f t="shared" si="33"/>
        <v>0</v>
      </c>
      <c r="Y94" s="69">
        <f t="shared" si="32"/>
        <v>0</v>
      </c>
      <c r="Z94" s="69">
        <f t="shared" si="32"/>
        <v>0</v>
      </c>
      <c r="AA94" s="69">
        <f t="shared" si="32"/>
        <v>0</v>
      </c>
      <c r="AB94" s="69">
        <f t="shared" si="32"/>
        <v>0</v>
      </c>
      <c r="AC94" s="69">
        <f t="shared" si="32"/>
        <v>1</v>
      </c>
      <c r="AD94" s="69">
        <f t="shared" si="32"/>
        <v>0</v>
      </c>
      <c r="AE94" s="69">
        <f t="shared" si="32"/>
        <v>0</v>
      </c>
      <c r="AF94" s="69">
        <f t="shared" si="32"/>
        <v>0</v>
      </c>
      <c r="AG94" s="69">
        <f t="shared" si="32"/>
        <v>2</v>
      </c>
      <c r="AH94" s="68">
        <f t="shared" si="27"/>
        <v>1.3333333333333333</v>
      </c>
      <c r="AI94" s="44"/>
      <c r="AJ94" s="193"/>
      <c r="AK94" s="43"/>
      <c r="AL94" s="5"/>
      <c r="AM94" s="5"/>
      <c r="AN94" s="1"/>
      <c r="AO94" s="138"/>
      <c r="AP94" s="5"/>
      <c r="AQ94" s="5"/>
      <c r="AR94" s="210"/>
      <c r="AS94" s="194">
        <v>30.32</v>
      </c>
      <c r="AT94" s="195">
        <f t="shared" ca="1" si="30"/>
        <v>33.681868654649776</v>
      </c>
      <c r="AU94" s="80">
        <f t="shared" ca="1" si="28"/>
        <v>538.90989847439641</v>
      </c>
      <c r="AV94" s="80">
        <f t="shared" ca="1" si="29"/>
        <v>434.74989847439645</v>
      </c>
      <c r="BC94" s="499">
        <f t="shared" ca="1" si="22"/>
        <v>2.0573562772169494</v>
      </c>
      <c r="BD94" s="499">
        <f t="shared" ca="1" si="23"/>
        <v>436.80725475161341</v>
      </c>
    </row>
    <row r="95" spans="1:56" s="134" customFormat="1" ht="12" customHeight="1">
      <c r="A95" s="5" t="str">
        <f t="shared" si="24"/>
        <v>PA-CDEL1TEMP-COM</v>
      </c>
      <c r="B95" s="48" t="s">
        <v>185</v>
      </c>
      <c r="C95" s="48" t="s">
        <v>186</v>
      </c>
      <c r="D95" s="73">
        <v>19.78</v>
      </c>
      <c r="E95" s="192" t="s">
        <v>349</v>
      </c>
      <c r="F95" s="67"/>
      <c r="G95" s="68">
        <v>0</v>
      </c>
      <c r="H95" s="68">
        <v>19.78</v>
      </c>
      <c r="I95" s="68">
        <v>0</v>
      </c>
      <c r="J95" s="68">
        <v>0</v>
      </c>
      <c r="K95" s="68">
        <v>0</v>
      </c>
      <c r="L95" s="68">
        <v>19.78</v>
      </c>
      <c r="M95" s="68">
        <v>0</v>
      </c>
      <c r="N95" s="68">
        <v>0</v>
      </c>
      <c r="O95" s="68">
        <v>0</v>
      </c>
      <c r="P95" s="68">
        <v>0</v>
      </c>
      <c r="Q95" s="68">
        <v>39.56</v>
      </c>
      <c r="R95" s="68">
        <v>0</v>
      </c>
      <c r="S95" s="68">
        <f t="shared" si="25"/>
        <v>79.12</v>
      </c>
      <c r="T95" s="5">
        <v>33010</v>
      </c>
      <c r="V95" s="69">
        <f t="shared" si="33"/>
        <v>0</v>
      </c>
      <c r="W95" s="69">
        <f t="shared" si="33"/>
        <v>1</v>
      </c>
      <c r="X95" s="69">
        <f t="shared" si="33"/>
        <v>0</v>
      </c>
      <c r="Y95" s="69">
        <f t="shared" si="32"/>
        <v>0</v>
      </c>
      <c r="Z95" s="69">
        <f t="shared" si="32"/>
        <v>0</v>
      </c>
      <c r="AA95" s="69">
        <f t="shared" si="32"/>
        <v>1</v>
      </c>
      <c r="AB95" s="69">
        <f t="shared" si="32"/>
        <v>0</v>
      </c>
      <c r="AC95" s="69">
        <f t="shared" si="32"/>
        <v>0</v>
      </c>
      <c r="AD95" s="69">
        <f t="shared" si="32"/>
        <v>0</v>
      </c>
      <c r="AE95" s="69">
        <f t="shared" si="32"/>
        <v>0</v>
      </c>
      <c r="AF95" s="69">
        <f t="shared" si="32"/>
        <v>2</v>
      </c>
      <c r="AG95" s="69">
        <f t="shared" si="32"/>
        <v>0</v>
      </c>
      <c r="AH95" s="68">
        <f t="shared" si="27"/>
        <v>1.3333333333333333</v>
      </c>
      <c r="AI95" s="44"/>
      <c r="AJ95" s="193"/>
      <c r="AK95" s="43"/>
      <c r="AL95" s="5"/>
      <c r="AM95" s="5"/>
      <c r="AN95" s="1"/>
      <c r="AO95" s="138"/>
      <c r="AP95" s="5"/>
      <c r="AQ95" s="5"/>
      <c r="AR95" s="210"/>
      <c r="AS95" s="194">
        <v>23.03</v>
      </c>
      <c r="AT95" s="195">
        <f t="shared" ca="1" si="30"/>
        <v>25.583556567169669</v>
      </c>
      <c r="AU95" s="80">
        <f t="shared" ca="1" si="28"/>
        <v>409.33690507471471</v>
      </c>
      <c r="AV95" s="80">
        <f t="shared" ca="1" si="29"/>
        <v>330.2169050747147</v>
      </c>
      <c r="BC95" s="499">
        <f t="shared" ca="1" si="22"/>
        <v>1.5626950878729007</v>
      </c>
      <c r="BD95" s="499">
        <f t="shared" ca="1" si="23"/>
        <v>331.7796001625876</v>
      </c>
    </row>
    <row r="96" spans="1:56" s="134" customFormat="1" ht="12" customHeight="1">
      <c r="A96" s="5" t="str">
        <f t="shared" si="24"/>
        <v>PA-CSP1-COM</v>
      </c>
      <c r="B96" s="48" t="s">
        <v>187</v>
      </c>
      <c r="C96" s="48" t="s">
        <v>188</v>
      </c>
      <c r="D96" s="73">
        <v>24.69</v>
      </c>
      <c r="E96" s="192" t="s">
        <v>349</v>
      </c>
      <c r="F96" s="67"/>
      <c r="G96" s="68">
        <v>148.13999999999999</v>
      </c>
      <c r="H96" s="68">
        <v>197.52</v>
      </c>
      <c r="I96" s="68">
        <v>74.069999999999993</v>
      </c>
      <c r="J96" s="68">
        <v>49.38</v>
      </c>
      <c r="K96" s="68">
        <v>98.76</v>
      </c>
      <c r="L96" s="68">
        <v>49.38</v>
      </c>
      <c r="M96" s="68">
        <v>24.69</v>
      </c>
      <c r="N96" s="68">
        <v>24.69</v>
      </c>
      <c r="O96" s="68">
        <v>0</v>
      </c>
      <c r="P96" s="68">
        <v>123.45</v>
      </c>
      <c r="Q96" s="68">
        <v>197.52</v>
      </c>
      <c r="R96" s="68">
        <v>98.76</v>
      </c>
      <c r="S96" s="68">
        <f t="shared" si="25"/>
        <v>1086.3600000000001</v>
      </c>
      <c r="T96" s="5">
        <v>33010</v>
      </c>
      <c r="V96" s="69">
        <f t="shared" si="33"/>
        <v>5.9999999999999991</v>
      </c>
      <c r="W96" s="69">
        <f t="shared" si="33"/>
        <v>8</v>
      </c>
      <c r="X96" s="69">
        <f t="shared" si="33"/>
        <v>2.9999999999999996</v>
      </c>
      <c r="Y96" s="69">
        <f t="shared" si="32"/>
        <v>2</v>
      </c>
      <c r="Z96" s="69">
        <f t="shared" si="32"/>
        <v>4</v>
      </c>
      <c r="AA96" s="69">
        <f t="shared" si="32"/>
        <v>2</v>
      </c>
      <c r="AB96" s="69">
        <f t="shared" si="32"/>
        <v>1</v>
      </c>
      <c r="AC96" s="69">
        <f t="shared" si="32"/>
        <v>1</v>
      </c>
      <c r="AD96" s="69">
        <f t="shared" si="32"/>
        <v>0</v>
      </c>
      <c r="AE96" s="69">
        <f t="shared" si="32"/>
        <v>5</v>
      </c>
      <c r="AF96" s="69">
        <f t="shared" si="32"/>
        <v>8</v>
      </c>
      <c r="AG96" s="69">
        <f t="shared" si="32"/>
        <v>4</v>
      </c>
      <c r="AH96" s="68">
        <f t="shared" si="27"/>
        <v>4</v>
      </c>
      <c r="AI96" s="44"/>
      <c r="AJ96" s="193"/>
      <c r="AK96" s="43"/>
      <c r="AL96" s="5"/>
      <c r="AM96" s="5"/>
      <c r="AN96" s="1"/>
      <c r="AO96" s="138"/>
      <c r="AP96" s="5"/>
      <c r="AQ96" s="5"/>
      <c r="AR96" s="210"/>
      <c r="AS96" s="194">
        <v>28.11</v>
      </c>
      <c r="AT96" s="195">
        <f t="shared" ca="1" si="30"/>
        <v>31.226824798225763</v>
      </c>
      <c r="AU96" s="80">
        <f t="shared" ca="1" si="28"/>
        <v>1498.8875903148366</v>
      </c>
      <c r="AV96" s="80">
        <f t="shared" ca="1" si="29"/>
        <v>412.52759031483652</v>
      </c>
      <c r="BC96" s="499">
        <f t="shared" ca="1" si="22"/>
        <v>5.7221917829058491</v>
      </c>
      <c r="BD96" s="499">
        <f t="shared" ca="1" si="23"/>
        <v>418.24978209774235</v>
      </c>
    </row>
    <row r="97" spans="1:56" s="134" customFormat="1" ht="12" customHeight="1">
      <c r="A97" s="5" t="str">
        <f t="shared" si="24"/>
        <v>PA-CF2YDEX</v>
      </c>
      <c r="B97" s="48" t="s">
        <v>379</v>
      </c>
      <c r="C97" s="48" t="s">
        <v>380</v>
      </c>
      <c r="D97" s="73">
        <v>42.82</v>
      </c>
      <c r="E97" s="192" t="s">
        <v>349</v>
      </c>
      <c r="F97" s="67"/>
      <c r="G97" s="68">
        <v>0</v>
      </c>
      <c r="H97" s="68">
        <v>0</v>
      </c>
      <c r="I97" s="68">
        <v>0</v>
      </c>
      <c r="J97" s="68">
        <v>0</v>
      </c>
      <c r="K97" s="68">
        <v>0</v>
      </c>
      <c r="L97" s="68">
        <v>42.82</v>
      </c>
      <c r="M97" s="68">
        <v>0</v>
      </c>
      <c r="N97" s="68">
        <v>0</v>
      </c>
      <c r="O97" s="68">
        <v>85.64</v>
      </c>
      <c r="P97" s="68">
        <v>42.82</v>
      </c>
      <c r="Q97" s="68">
        <v>128.46</v>
      </c>
      <c r="R97" s="68">
        <v>0</v>
      </c>
      <c r="S97" s="68">
        <f t="shared" si="25"/>
        <v>299.74</v>
      </c>
      <c r="T97" s="5">
        <v>33011</v>
      </c>
      <c r="V97" s="69">
        <f t="shared" si="33"/>
        <v>0</v>
      </c>
      <c r="W97" s="69">
        <f t="shared" si="33"/>
        <v>0</v>
      </c>
      <c r="X97" s="69">
        <f t="shared" si="33"/>
        <v>0</v>
      </c>
      <c r="Y97" s="69">
        <f t="shared" si="32"/>
        <v>0</v>
      </c>
      <c r="Z97" s="69">
        <f t="shared" si="32"/>
        <v>0</v>
      </c>
      <c r="AA97" s="69">
        <f t="shared" si="32"/>
        <v>1</v>
      </c>
      <c r="AB97" s="69">
        <f t="shared" si="32"/>
        <v>0</v>
      </c>
      <c r="AC97" s="69">
        <f t="shared" si="32"/>
        <v>0</v>
      </c>
      <c r="AD97" s="69">
        <f t="shared" si="32"/>
        <v>2</v>
      </c>
      <c r="AE97" s="69">
        <f t="shared" si="32"/>
        <v>1</v>
      </c>
      <c r="AF97" s="69">
        <f t="shared" si="32"/>
        <v>3</v>
      </c>
      <c r="AG97" s="69">
        <f t="shared" si="32"/>
        <v>0</v>
      </c>
      <c r="AH97" s="68">
        <f t="shared" si="27"/>
        <v>1.75</v>
      </c>
      <c r="AI97" s="44"/>
      <c r="AJ97" s="193"/>
      <c r="AK97" s="43"/>
      <c r="AL97" s="5"/>
      <c r="AM97" s="5"/>
      <c r="AN97" s="1"/>
      <c r="AO97" s="138"/>
      <c r="AP97" s="5"/>
      <c r="AQ97" s="5"/>
      <c r="AR97" s="210"/>
      <c r="AS97" s="194">
        <v>49.15</v>
      </c>
      <c r="AT97" s="195">
        <f t="shared" ca="1" si="30"/>
        <v>54.599731015040774</v>
      </c>
      <c r="AU97" s="80">
        <f t="shared" ca="1" si="28"/>
        <v>1146.5943513158563</v>
      </c>
      <c r="AV97" s="80">
        <f t="shared" ca="1" si="29"/>
        <v>846.85435131585632</v>
      </c>
      <c r="BC97" s="499">
        <f t="shared" ca="1" si="22"/>
        <v>4.3772680605406373</v>
      </c>
      <c r="BD97" s="499">
        <f t="shared" ca="1" si="23"/>
        <v>851.23161937639691</v>
      </c>
    </row>
    <row r="98" spans="1:56" s="5" customFormat="1" ht="12" customHeight="1">
      <c r="A98" s="5" t="str">
        <f t="shared" si="24"/>
        <v>PA-CF2YDEXCO</v>
      </c>
      <c r="B98" s="48" t="s">
        <v>189</v>
      </c>
      <c r="C98" s="48" t="s">
        <v>190</v>
      </c>
      <c r="D98" s="73">
        <v>45.82</v>
      </c>
      <c r="E98" s="192" t="s">
        <v>381</v>
      </c>
      <c r="F98" s="67"/>
      <c r="G98" s="68">
        <v>45.82</v>
      </c>
      <c r="H98" s="68">
        <v>0</v>
      </c>
      <c r="I98" s="68">
        <v>45.82</v>
      </c>
      <c r="J98" s="68">
        <v>0</v>
      </c>
      <c r="K98" s="68">
        <v>0</v>
      </c>
      <c r="L98" s="68">
        <v>0</v>
      </c>
      <c r="M98" s="68">
        <v>45.82</v>
      </c>
      <c r="N98" s="68">
        <v>0</v>
      </c>
      <c r="O98" s="68">
        <v>45.82</v>
      </c>
      <c r="P98" s="68">
        <v>0</v>
      </c>
      <c r="Q98" s="68">
        <v>45.82</v>
      </c>
      <c r="R98" s="68">
        <v>0</v>
      </c>
      <c r="S98" s="68">
        <f t="shared" si="25"/>
        <v>229.1</v>
      </c>
      <c r="T98" s="5">
        <v>33011</v>
      </c>
      <c r="V98" s="69">
        <f t="shared" si="33"/>
        <v>1</v>
      </c>
      <c r="W98" s="69">
        <f t="shared" si="33"/>
        <v>0</v>
      </c>
      <c r="X98" s="69">
        <f t="shared" si="33"/>
        <v>1</v>
      </c>
      <c r="Y98" s="69">
        <f t="shared" si="32"/>
        <v>0</v>
      </c>
      <c r="Z98" s="69">
        <f t="shared" si="32"/>
        <v>0</v>
      </c>
      <c r="AA98" s="69">
        <f t="shared" si="32"/>
        <v>0</v>
      </c>
      <c r="AB98" s="69">
        <f t="shared" si="32"/>
        <v>1</v>
      </c>
      <c r="AC98" s="69">
        <f t="shared" si="32"/>
        <v>0</v>
      </c>
      <c r="AD98" s="69">
        <f t="shared" si="32"/>
        <v>1</v>
      </c>
      <c r="AE98" s="69">
        <f t="shared" si="32"/>
        <v>0</v>
      </c>
      <c r="AF98" s="69">
        <f t="shared" si="32"/>
        <v>1</v>
      </c>
      <c r="AG98" s="69">
        <f t="shared" si="32"/>
        <v>0</v>
      </c>
      <c r="AH98" s="68">
        <f t="shared" si="27"/>
        <v>1</v>
      </c>
      <c r="AI98" s="44"/>
      <c r="AJ98" s="193"/>
      <c r="AK98" s="43"/>
      <c r="AN98" s="1"/>
      <c r="AO98" s="138"/>
      <c r="AR98" s="210"/>
      <c r="AS98" s="194">
        <v>52.15</v>
      </c>
      <c r="AT98" s="195">
        <f t="shared" ca="1" si="30"/>
        <v>57.93236973416839</v>
      </c>
      <c r="AU98" s="80">
        <f t="shared" ca="1" si="28"/>
        <v>695.18843681002068</v>
      </c>
      <c r="AV98" s="80">
        <f t="shared" ca="1" si="29"/>
        <v>466.08843681002065</v>
      </c>
      <c r="BC98" s="499">
        <f t="shared" ca="1" si="22"/>
        <v>2.6539692411823195</v>
      </c>
      <c r="BD98" s="499">
        <f t="shared" ca="1" si="23"/>
        <v>468.74240605120298</v>
      </c>
    </row>
    <row r="99" spans="1:56" s="19" customFormat="1" ht="12" customHeight="1">
      <c r="A99" s="71" t="str">
        <f t="shared" si="24"/>
        <v>PA-CF1YDTPU</v>
      </c>
      <c r="B99" s="72" t="s">
        <v>382</v>
      </c>
      <c r="C99" s="72" t="s">
        <v>270</v>
      </c>
      <c r="D99" s="73">
        <v>26.71</v>
      </c>
      <c r="E99" s="192" t="s">
        <v>349</v>
      </c>
      <c r="F99" s="67"/>
      <c r="G99" s="75">
        <v>53.42</v>
      </c>
      <c r="H99" s="75">
        <v>80.13</v>
      </c>
      <c r="I99" s="75">
        <v>213.68</v>
      </c>
      <c r="J99" s="75">
        <v>80.13</v>
      </c>
      <c r="K99" s="75">
        <v>26.71</v>
      </c>
      <c r="L99" s="75">
        <v>0</v>
      </c>
      <c r="M99" s="75">
        <v>0</v>
      </c>
      <c r="N99" s="75">
        <v>26.71</v>
      </c>
      <c r="O99" s="75">
        <v>26.71</v>
      </c>
      <c r="P99" s="75">
        <v>0</v>
      </c>
      <c r="Q99" s="75">
        <v>26.71</v>
      </c>
      <c r="R99" s="75">
        <v>80.13</v>
      </c>
      <c r="S99" s="75">
        <f t="shared" si="25"/>
        <v>614.32999999999993</v>
      </c>
      <c r="T99" s="71">
        <v>33010</v>
      </c>
      <c r="V99" s="75">
        <f t="shared" si="33"/>
        <v>2</v>
      </c>
      <c r="W99" s="75">
        <f t="shared" si="33"/>
        <v>2.9999999999999996</v>
      </c>
      <c r="X99" s="75">
        <f t="shared" si="33"/>
        <v>8</v>
      </c>
      <c r="Y99" s="75">
        <f t="shared" si="32"/>
        <v>2.9999999999999996</v>
      </c>
      <c r="Z99" s="75">
        <f t="shared" si="32"/>
        <v>1</v>
      </c>
      <c r="AA99" s="75">
        <f t="shared" si="32"/>
        <v>0</v>
      </c>
      <c r="AB99" s="75">
        <f t="shared" si="32"/>
        <v>0</v>
      </c>
      <c r="AC99" s="75">
        <f t="shared" si="32"/>
        <v>1</v>
      </c>
      <c r="AD99" s="75">
        <f t="shared" si="32"/>
        <v>1</v>
      </c>
      <c r="AE99" s="75">
        <f t="shared" si="32"/>
        <v>0</v>
      </c>
      <c r="AF99" s="75">
        <f t="shared" si="32"/>
        <v>1</v>
      </c>
      <c r="AG99" s="75">
        <f t="shared" si="32"/>
        <v>2.9999999999999996</v>
      </c>
      <c r="AH99" s="75">
        <f t="shared" si="27"/>
        <v>2.5555555555555554</v>
      </c>
      <c r="AI99" s="44"/>
      <c r="AJ99" s="193"/>
      <c r="AK99" s="43" t="s">
        <v>167</v>
      </c>
      <c r="AL99" s="5"/>
      <c r="AM99" s="5"/>
      <c r="AN99" s="1">
        <v>1</v>
      </c>
      <c r="AO99" s="137">
        <f>+AH99*AN99</f>
        <v>2.5555555555555554</v>
      </c>
      <c r="AP99" s="5"/>
      <c r="AQ99" s="5"/>
      <c r="AR99" s="210"/>
      <c r="AS99" s="194">
        <v>30.13</v>
      </c>
      <c r="AT99" s="195">
        <f t="shared" ca="1" si="30"/>
        <v>33.470801535771692</v>
      </c>
      <c r="AU99" s="80">
        <f t="shared" ca="1" si="28"/>
        <v>1026.4379137636652</v>
      </c>
      <c r="AV99" s="80">
        <f t="shared" ca="1" si="29"/>
        <v>412.10791376366524</v>
      </c>
      <c r="BC99" s="499">
        <f t="shared" ca="1" si="22"/>
        <v>3.918555756784778</v>
      </c>
      <c r="BD99" s="499">
        <f t="shared" ca="1" si="23"/>
        <v>416.02646952045001</v>
      </c>
    </row>
    <row r="100" spans="1:56" s="19" customFormat="1" ht="12" customHeight="1">
      <c r="A100" s="71" t="str">
        <f t="shared" si="24"/>
        <v>PA-CF1.5YDTPU</v>
      </c>
      <c r="B100" s="72" t="s">
        <v>383</v>
      </c>
      <c r="C100" s="72" t="s">
        <v>384</v>
      </c>
      <c r="D100" s="73">
        <v>31</v>
      </c>
      <c r="E100" s="192" t="s">
        <v>349</v>
      </c>
      <c r="F100" s="67"/>
      <c r="G100" s="75">
        <v>93</v>
      </c>
      <c r="H100" s="75">
        <v>93</v>
      </c>
      <c r="I100" s="75">
        <v>31</v>
      </c>
      <c r="J100" s="75">
        <v>31</v>
      </c>
      <c r="K100" s="75">
        <v>0</v>
      </c>
      <c r="L100" s="75">
        <v>62</v>
      </c>
      <c r="M100" s="75">
        <v>31</v>
      </c>
      <c r="N100" s="75">
        <v>0</v>
      </c>
      <c r="O100" s="75">
        <v>0</v>
      </c>
      <c r="P100" s="75">
        <v>0</v>
      </c>
      <c r="Q100" s="75">
        <v>31</v>
      </c>
      <c r="R100" s="75">
        <v>0</v>
      </c>
      <c r="S100" s="75">
        <f t="shared" si="25"/>
        <v>372</v>
      </c>
      <c r="T100" s="71">
        <v>33010</v>
      </c>
      <c r="V100" s="75">
        <f t="shared" si="33"/>
        <v>3</v>
      </c>
      <c r="W100" s="75">
        <f t="shared" si="33"/>
        <v>3</v>
      </c>
      <c r="X100" s="75">
        <f t="shared" si="33"/>
        <v>1</v>
      </c>
      <c r="Y100" s="75">
        <f t="shared" si="32"/>
        <v>1</v>
      </c>
      <c r="Z100" s="75">
        <f t="shared" si="32"/>
        <v>0</v>
      </c>
      <c r="AA100" s="75">
        <f t="shared" si="32"/>
        <v>2</v>
      </c>
      <c r="AB100" s="75">
        <f t="shared" si="32"/>
        <v>1</v>
      </c>
      <c r="AC100" s="75">
        <f t="shared" si="32"/>
        <v>0</v>
      </c>
      <c r="AD100" s="75">
        <f t="shared" si="32"/>
        <v>0</v>
      </c>
      <c r="AE100" s="75">
        <f t="shared" si="32"/>
        <v>0</v>
      </c>
      <c r="AF100" s="75">
        <f t="shared" si="32"/>
        <v>1</v>
      </c>
      <c r="AG100" s="75">
        <f t="shared" si="32"/>
        <v>0</v>
      </c>
      <c r="AH100" s="75">
        <f t="shared" si="27"/>
        <v>1.7142857142857142</v>
      </c>
      <c r="AI100" s="44"/>
      <c r="AJ100" s="193"/>
      <c r="AK100" s="43" t="s">
        <v>162</v>
      </c>
      <c r="AL100" s="5"/>
      <c r="AM100" s="5"/>
      <c r="AN100" s="1">
        <v>1</v>
      </c>
      <c r="AO100" s="137">
        <f>+AH100*AN100</f>
        <v>1.7142857142857142</v>
      </c>
      <c r="AP100" s="5"/>
      <c r="AQ100" s="5"/>
      <c r="AR100" s="210"/>
      <c r="AS100" s="194">
        <v>35.880000000000003</v>
      </c>
      <c r="AT100" s="195">
        <f t="shared" ca="1" si="30"/>
        <v>39.858359080766292</v>
      </c>
      <c r="AU100" s="80">
        <f t="shared" ca="1" si="28"/>
        <v>819.94338680433509</v>
      </c>
      <c r="AV100" s="80">
        <f t="shared" ca="1" si="29"/>
        <v>447.94338680433509</v>
      </c>
      <c r="BC100" s="499">
        <f t="shared" ca="1" si="22"/>
        <v>3.1302369442089013</v>
      </c>
      <c r="BD100" s="499">
        <f t="shared" ca="1" si="23"/>
        <v>451.07362374854398</v>
      </c>
    </row>
    <row r="101" spans="1:56" s="134" customFormat="1" ht="12" customHeight="1">
      <c r="A101" s="5" t="str">
        <f t="shared" si="24"/>
        <v>PA-CF1.5YDEX</v>
      </c>
      <c r="B101" s="48" t="s">
        <v>385</v>
      </c>
      <c r="C101" s="48" t="s">
        <v>386</v>
      </c>
      <c r="D101" s="73">
        <v>34</v>
      </c>
      <c r="E101" s="192" t="s">
        <v>349</v>
      </c>
      <c r="F101" s="67"/>
      <c r="G101" s="68">
        <v>34</v>
      </c>
      <c r="H101" s="68">
        <v>0</v>
      </c>
      <c r="I101" s="68">
        <v>0</v>
      </c>
      <c r="J101" s="68">
        <v>0</v>
      </c>
      <c r="K101" s="68">
        <v>0</v>
      </c>
      <c r="L101" s="68">
        <v>0</v>
      </c>
      <c r="M101" s="68">
        <v>0</v>
      </c>
      <c r="N101" s="68">
        <v>0</v>
      </c>
      <c r="O101" s="68">
        <v>0</v>
      </c>
      <c r="P101" s="68">
        <v>34</v>
      </c>
      <c r="Q101" s="68">
        <v>34</v>
      </c>
      <c r="R101" s="68">
        <v>0</v>
      </c>
      <c r="S101" s="68">
        <f t="shared" si="25"/>
        <v>102</v>
      </c>
      <c r="T101" s="5">
        <v>33011</v>
      </c>
      <c r="V101" s="69">
        <f t="shared" si="33"/>
        <v>1</v>
      </c>
      <c r="W101" s="69">
        <f t="shared" si="33"/>
        <v>0</v>
      </c>
      <c r="X101" s="69">
        <f t="shared" si="33"/>
        <v>0</v>
      </c>
      <c r="Y101" s="69">
        <f t="shared" si="32"/>
        <v>0</v>
      </c>
      <c r="Z101" s="69">
        <f t="shared" si="32"/>
        <v>0</v>
      </c>
      <c r="AA101" s="69">
        <f t="shared" si="32"/>
        <v>0</v>
      </c>
      <c r="AB101" s="69">
        <f t="shared" si="32"/>
        <v>0</v>
      </c>
      <c r="AC101" s="69">
        <f t="shared" si="32"/>
        <v>0</v>
      </c>
      <c r="AD101" s="69">
        <f t="shared" si="32"/>
        <v>0</v>
      </c>
      <c r="AE101" s="69">
        <f t="shared" si="32"/>
        <v>1</v>
      </c>
      <c r="AF101" s="69">
        <f t="shared" si="32"/>
        <v>1</v>
      </c>
      <c r="AG101" s="69">
        <f t="shared" si="32"/>
        <v>0</v>
      </c>
      <c r="AH101" s="68">
        <f t="shared" si="27"/>
        <v>1</v>
      </c>
      <c r="AI101" s="44"/>
      <c r="AJ101" s="193"/>
      <c r="AK101" s="43"/>
      <c r="AL101" s="5"/>
      <c r="AM101" s="5"/>
      <c r="AN101" s="1"/>
      <c r="AO101" s="138"/>
      <c r="AP101" s="5"/>
      <c r="AQ101" s="5"/>
      <c r="AR101" s="210"/>
      <c r="AS101" s="194">
        <v>38.880000000000003</v>
      </c>
      <c r="AT101" s="195">
        <f t="shared" ca="1" si="30"/>
        <v>43.190997799893907</v>
      </c>
      <c r="AU101" s="80">
        <f t="shared" ca="1" si="28"/>
        <v>518.29197359872683</v>
      </c>
      <c r="AV101" s="80">
        <f t="shared" ca="1" si="29"/>
        <v>416.29197359872683</v>
      </c>
      <c r="BC101" s="499">
        <f t="shared" ca="1" si="22"/>
        <v>1.9786447573761952</v>
      </c>
      <c r="BD101" s="499">
        <f t="shared" ca="1" si="23"/>
        <v>418.270618356103</v>
      </c>
    </row>
    <row r="102" spans="1:56" s="134" customFormat="1" ht="12" customHeight="1">
      <c r="A102" s="5" t="str">
        <f t="shared" si="24"/>
        <v>PA-CF1YDEX</v>
      </c>
      <c r="B102" s="48" t="s">
        <v>387</v>
      </c>
      <c r="C102" s="48" t="s">
        <v>388</v>
      </c>
      <c r="D102" s="73">
        <v>24.69</v>
      </c>
      <c r="E102" s="192" t="s">
        <v>349</v>
      </c>
      <c r="F102" s="67"/>
      <c r="G102" s="68">
        <v>0</v>
      </c>
      <c r="H102" s="68">
        <v>0</v>
      </c>
      <c r="I102" s="68">
        <v>0</v>
      </c>
      <c r="J102" s="68">
        <v>0</v>
      </c>
      <c r="K102" s="68">
        <v>0</v>
      </c>
      <c r="L102" s="68">
        <v>0</v>
      </c>
      <c r="M102" s="68">
        <v>0</v>
      </c>
      <c r="N102" s="68">
        <v>0</v>
      </c>
      <c r="O102" s="68">
        <v>0</v>
      </c>
      <c r="P102" s="68">
        <v>24.69</v>
      </c>
      <c r="Q102" s="68">
        <v>24.69</v>
      </c>
      <c r="R102" s="68">
        <v>24.69</v>
      </c>
      <c r="S102" s="68">
        <f t="shared" si="25"/>
        <v>74.070000000000007</v>
      </c>
      <c r="T102" s="5">
        <v>33011</v>
      </c>
      <c r="V102" s="69">
        <f t="shared" si="33"/>
        <v>0</v>
      </c>
      <c r="W102" s="69">
        <f t="shared" si="33"/>
        <v>0</v>
      </c>
      <c r="X102" s="69">
        <f t="shared" si="33"/>
        <v>0</v>
      </c>
      <c r="Y102" s="69">
        <f t="shared" si="32"/>
        <v>0</v>
      </c>
      <c r="Z102" s="69">
        <f t="shared" si="32"/>
        <v>0</v>
      </c>
      <c r="AA102" s="69">
        <f t="shared" si="32"/>
        <v>0</v>
      </c>
      <c r="AB102" s="69">
        <f t="shared" si="32"/>
        <v>0</v>
      </c>
      <c r="AC102" s="69">
        <f t="shared" si="32"/>
        <v>0</v>
      </c>
      <c r="AD102" s="69">
        <f t="shared" si="32"/>
        <v>0</v>
      </c>
      <c r="AE102" s="69">
        <f t="shared" si="32"/>
        <v>1</v>
      </c>
      <c r="AF102" s="69">
        <f t="shared" si="32"/>
        <v>1</v>
      </c>
      <c r="AG102" s="69">
        <f t="shared" si="32"/>
        <v>1</v>
      </c>
      <c r="AH102" s="68">
        <f t="shared" si="27"/>
        <v>1</v>
      </c>
      <c r="AI102" s="44"/>
      <c r="AJ102" s="193"/>
      <c r="AK102" s="43"/>
      <c r="AL102" s="5"/>
      <c r="AM102" s="5"/>
      <c r="AN102" s="1"/>
      <c r="AO102" s="138"/>
      <c r="AP102" s="5"/>
      <c r="AQ102" s="5"/>
      <c r="AR102" s="210"/>
      <c r="AS102" s="194">
        <v>28.11</v>
      </c>
      <c r="AT102" s="195">
        <f t="shared" ca="1" si="30"/>
        <v>31.226824798225763</v>
      </c>
      <c r="AU102" s="80">
        <f t="shared" ca="1" si="28"/>
        <v>374.72189757870916</v>
      </c>
      <c r="AV102" s="80">
        <f t="shared" ca="1" si="29"/>
        <v>300.65189757870917</v>
      </c>
      <c r="BC102" s="499">
        <f t="shared" ca="1" si="22"/>
        <v>1.4305479457264623</v>
      </c>
      <c r="BD102" s="499">
        <f t="shared" ca="1" si="23"/>
        <v>302.08244552443563</v>
      </c>
    </row>
    <row r="103" spans="1:56" s="134" customFormat="1" ht="12" customHeight="1">
      <c r="A103" s="5" t="str">
        <f t="shared" si="24"/>
        <v>PA-CSP6-COM</v>
      </c>
      <c r="B103" s="48" t="s">
        <v>389</v>
      </c>
      <c r="C103" s="48" t="s">
        <v>390</v>
      </c>
      <c r="D103" s="73">
        <v>111.65</v>
      </c>
      <c r="E103" s="192" t="s">
        <v>349</v>
      </c>
      <c r="F103" s="67"/>
      <c r="G103" s="68">
        <v>111.65</v>
      </c>
      <c r="H103" s="68">
        <v>0</v>
      </c>
      <c r="I103" s="68">
        <v>0</v>
      </c>
      <c r="J103" s="68">
        <v>111.65</v>
      </c>
      <c r="K103" s="68">
        <v>0</v>
      </c>
      <c r="L103" s="68">
        <v>0</v>
      </c>
      <c r="M103" s="68">
        <v>111.65</v>
      </c>
      <c r="N103" s="68">
        <v>0</v>
      </c>
      <c r="O103" s="68">
        <v>0</v>
      </c>
      <c r="P103" s="68">
        <v>0</v>
      </c>
      <c r="Q103" s="68">
        <v>111.65</v>
      </c>
      <c r="R103" s="68">
        <v>223.3</v>
      </c>
      <c r="S103" s="68">
        <f t="shared" si="25"/>
        <v>669.90000000000009</v>
      </c>
      <c r="T103" s="5">
        <v>33010</v>
      </c>
      <c r="V103" s="69">
        <f t="shared" si="33"/>
        <v>1</v>
      </c>
      <c r="W103" s="69">
        <f t="shared" si="33"/>
        <v>0</v>
      </c>
      <c r="X103" s="69">
        <f t="shared" si="33"/>
        <v>0</v>
      </c>
      <c r="Y103" s="69">
        <f t="shared" si="32"/>
        <v>1</v>
      </c>
      <c r="Z103" s="69">
        <f t="shared" si="32"/>
        <v>0</v>
      </c>
      <c r="AA103" s="69">
        <f t="shared" si="32"/>
        <v>0</v>
      </c>
      <c r="AB103" s="69">
        <f t="shared" si="32"/>
        <v>1</v>
      </c>
      <c r="AC103" s="69">
        <f t="shared" si="32"/>
        <v>0</v>
      </c>
      <c r="AD103" s="69">
        <f t="shared" si="32"/>
        <v>0</v>
      </c>
      <c r="AE103" s="69">
        <f t="shared" si="32"/>
        <v>0</v>
      </c>
      <c r="AF103" s="69">
        <f t="shared" si="32"/>
        <v>1</v>
      </c>
      <c r="AG103" s="69">
        <f t="shared" si="32"/>
        <v>2</v>
      </c>
      <c r="AH103" s="68">
        <f t="shared" si="27"/>
        <v>1.2</v>
      </c>
      <c r="AI103" s="44"/>
      <c r="AJ103" s="193"/>
      <c r="AK103" s="43"/>
      <c r="AL103" s="5"/>
      <c r="AM103" s="5"/>
      <c r="AN103" s="1"/>
      <c r="AO103" s="138"/>
      <c r="AP103" s="5"/>
      <c r="AQ103" s="5"/>
      <c r="AR103" s="210"/>
      <c r="AS103" s="194">
        <v>128.05000000000001</v>
      </c>
      <c r="AT103" s="195">
        <f t="shared" ca="1" si="30"/>
        <v>142.24812932809709</v>
      </c>
      <c r="AU103" s="80">
        <f t="shared" ca="1" si="28"/>
        <v>2048.3730623245983</v>
      </c>
      <c r="AV103" s="80">
        <f t="shared" ca="1" si="29"/>
        <v>1378.4730623245982</v>
      </c>
      <c r="BC103" s="499">
        <f t="shared" ca="1" si="22"/>
        <v>7.8199216414204269</v>
      </c>
      <c r="BD103" s="499">
        <f t="shared" ca="1" si="23"/>
        <v>1386.2929839660187</v>
      </c>
    </row>
    <row r="104" spans="1:56" s="19" customFormat="1" ht="12" customHeight="1">
      <c r="A104" s="71" t="str">
        <f t="shared" si="24"/>
        <v>PA-CF3YD2W</v>
      </c>
      <c r="B104" s="72" t="s">
        <v>391</v>
      </c>
      <c r="C104" s="72" t="s">
        <v>392</v>
      </c>
      <c r="D104" s="73">
        <v>492.32</v>
      </c>
      <c r="E104" s="192" t="s">
        <v>349</v>
      </c>
      <c r="F104" s="67"/>
      <c r="G104" s="75">
        <v>492.32</v>
      </c>
      <c r="H104" s="75">
        <v>246.16</v>
      </c>
      <c r="I104" s="75">
        <v>0</v>
      </c>
      <c r="J104" s="75">
        <v>0</v>
      </c>
      <c r="K104" s="75">
        <v>0</v>
      </c>
      <c r="L104" s="75">
        <v>0</v>
      </c>
      <c r="M104" s="75">
        <v>0</v>
      </c>
      <c r="N104" s="75">
        <v>0</v>
      </c>
      <c r="O104" s="75">
        <v>0</v>
      </c>
      <c r="P104" s="75">
        <v>0</v>
      </c>
      <c r="Q104" s="75">
        <v>0</v>
      </c>
      <c r="R104" s="75">
        <v>0</v>
      </c>
      <c r="S104" s="75">
        <f t="shared" si="25"/>
        <v>738.48</v>
      </c>
      <c r="T104" s="71">
        <v>33010</v>
      </c>
      <c r="V104" s="75">
        <f t="shared" si="33"/>
        <v>1</v>
      </c>
      <c r="W104" s="75">
        <f t="shared" si="33"/>
        <v>0.5</v>
      </c>
      <c r="X104" s="75">
        <f t="shared" si="33"/>
        <v>0</v>
      </c>
      <c r="Y104" s="75">
        <f t="shared" si="32"/>
        <v>0</v>
      </c>
      <c r="Z104" s="75">
        <f t="shared" si="32"/>
        <v>0</v>
      </c>
      <c r="AA104" s="75">
        <f t="shared" si="32"/>
        <v>0</v>
      </c>
      <c r="AB104" s="75">
        <f t="shared" si="32"/>
        <v>0</v>
      </c>
      <c r="AC104" s="75">
        <f t="shared" si="32"/>
        <v>0</v>
      </c>
      <c r="AD104" s="75">
        <f t="shared" si="32"/>
        <v>0</v>
      </c>
      <c r="AE104" s="75">
        <f t="shared" si="32"/>
        <v>0</v>
      </c>
      <c r="AF104" s="75">
        <f t="shared" si="32"/>
        <v>0</v>
      </c>
      <c r="AG104" s="75">
        <f t="shared" si="32"/>
        <v>0</v>
      </c>
      <c r="AH104" s="75">
        <f>AVERAGE(V104:Z104)</f>
        <v>0.3</v>
      </c>
      <c r="AI104" s="44"/>
      <c r="AJ104" s="193"/>
      <c r="AK104" s="43" t="s">
        <v>176</v>
      </c>
      <c r="AL104" s="5"/>
      <c r="AM104" s="5"/>
      <c r="AN104" s="1">
        <v>1</v>
      </c>
      <c r="AO104" s="137">
        <f>+AH104*AN104</f>
        <v>0.3</v>
      </c>
      <c r="AP104" s="5"/>
      <c r="AQ104" s="5"/>
      <c r="AR104" s="210"/>
      <c r="AS104" s="194">
        <f>66.09*2*4.33</f>
        <v>572.33940000000007</v>
      </c>
      <c r="AT104" s="195">
        <f t="shared" ca="1" si="30"/>
        <v>635.80014830742289</v>
      </c>
      <c r="AU104" s="80">
        <f t="shared" ca="1" si="28"/>
        <v>2288.8805339067226</v>
      </c>
      <c r="AV104" s="80">
        <f t="shared" ca="1" si="29"/>
        <v>1550.4005339067226</v>
      </c>
      <c r="BC104" s="499">
        <f t="shared" ca="1" si="22"/>
        <v>8.7380891454462759</v>
      </c>
      <c r="BD104" s="499">
        <f t="shared" ca="1" si="23"/>
        <v>1559.1386230521689</v>
      </c>
    </row>
    <row r="105" spans="1:56" s="134" customFormat="1" ht="12" customHeight="1">
      <c r="A105" s="5" t="str">
        <f t="shared" si="24"/>
        <v>PA-CF4YDEX</v>
      </c>
      <c r="B105" s="48" t="s">
        <v>393</v>
      </c>
      <c r="C105" s="48" t="s">
        <v>394</v>
      </c>
      <c r="D105" s="73">
        <v>80.709999999999994</v>
      </c>
      <c r="E105" s="192" t="s">
        <v>349</v>
      </c>
      <c r="F105" s="67"/>
      <c r="G105" s="68">
        <v>0</v>
      </c>
      <c r="H105" s="68">
        <v>80.709999999999994</v>
      </c>
      <c r="I105" s="68">
        <v>80.709999999999994</v>
      </c>
      <c r="J105" s="68">
        <v>0</v>
      </c>
      <c r="K105" s="68">
        <v>0</v>
      </c>
      <c r="L105" s="68">
        <v>0</v>
      </c>
      <c r="M105" s="68">
        <v>0</v>
      </c>
      <c r="N105" s="68">
        <v>0</v>
      </c>
      <c r="O105" s="68">
        <v>0</v>
      </c>
      <c r="P105" s="68">
        <v>80.709999999999994</v>
      </c>
      <c r="Q105" s="68">
        <v>0</v>
      </c>
      <c r="R105" s="68">
        <v>403.55</v>
      </c>
      <c r="S105" s="68">
        <f t="shared" si="25"/>
        <v>645.68000000000006</v>
      </c>
      <c r="T105" s="5">
        <v>33011</v>
      </c>
      <c r="V105" s="69">
        <f t="shared" si="33"/>
        <v>0</v>
      </c>
      <c r="W105" s="69">
        <f t="shared" si="33"/>
        <v>1</v>
      </c>
      <c r="X105" s="69">
        <f t="shared" si="33"/>
        <v>1</v>
      </c>
      <c r="Y105" s="69">
        <f t="shared" si="32"/>
        <v>0</v>
      </c>
      <c r="Z105" s="69">
        <f t="shared" si="32"/>
        <v>0</v>
      </c>
      <c r="AA105" s="69">
        <f t="shared" si="32"/>
        <v>0</v>
      </c>
      <c r="AB105" s="69">
        <f t="shared" si="32"/>
        <v>0</v>
      </c>
      <c r="AC105" s="69">
        <f t="shared" si="32"/>
        <v>0</v>
      </c>
      <c r="AD105" s="69">
        <f t="shared" si="32"/>
        <v>0</v>
      </c>
      <c r="AE105" s="69">
        <f t="shared" si="32"/>
        <v>1</v>
      </c>
      <c r="AF105" s="69">
        <f t="shared" si="32"/>
        <v>0</v>
      </c>
      <c r="AG105" s="69">
        <f t="shared" si="32"/>
        <v>5.0000000000000009</v>
      </c>
      <c r="AH105" s="68">
        <f t="shared" ref="AH105:AH111" si="34">IFERROR(AVERAGEIF(V105:AG105,"&gt;0"),0)</f>
        <v>2</v>
      </c>
      <c r="AI105" s="44"/>
      <c r="AJ105" s="193"/>
      <c r="AK105" s="43"/>
      <c r="AL105" s="5"/>
      <c r="AM105" s="5"/>
      <c r="AN105" s="1"/>
      <c r="AO105" s="138"/>
      <c r="AP105" s="5"/>
      <c r="AQ105" s="5"/>
      <c r="AR105" s="210"/>
      <c r="AS105" s="194">
        <v>92.68</v>
      </c>
      <c r="AT105" s="195">
        <f t="shared" ca="1" si="30"/>
        <v>102.9563188295825</v>
      </c>
      <c r="AU105" s="80">
        <f t="shared" ca="1" si="28"/>
        <v>2470.9516519099798</v>
      </c>
      <c r="AV105" s="80">
        <f t="shared" ca="1" si="29"/>
        <v>1825.2716519099797</v>
      </c>
      <c r="BC105" s="499">
        <f t="shared" ca="1" si="22"/>
        <v>9.4331685243634666</v>
      </c>
      <c r="BD105" s="499">
        <f t="shared" ca="1" si="23"/>
        <v>1834.7048204343432</v>
      </c>
    </row>
    <row r="106" spans="1:56" s="134" customFormat="1" ht="12" customHeight="1">
      <c r="A106" s="5" t="str">
        <f t="shared" si="24"/>
        <v>PA-CSP3-COM</v>
      </c>
      <c r="B106" s="48" t="s">
        <v>395</v>
      </c>
      <c r="C106" s="48" t="s">
        <v>396</v>
      </c>
      <c r="D106" s="73">
        <v>59.85</v>
      </c>
      <c r="E106" s="192" t="s">
        <v>349</v>
      </c>
      <c r="F106" s="67"/>
      <c r="G106" s="68">
        <v>59.85</v>
      </c>
      <c r="H106" s="68">
        <v>0</v>
      </c>
      <c r="I106" s="68">
        <v>59.85</v>
      </c>
      <c r="J106" s="68">
        <v>0</v>
      </c>
      <c r="K106" s="68">
        <v>0</v>
      </c>
      <c r="L106" s="68">
        <v>0</v>
      </c>
      <c r="M106" s="68">
        <v>59.85</v>
      </c>
      <c r="N106" s="68">
        <v>119.7</v>
      </c>
      <c r="O106" s="68">
        <v>59.85</v>
      </c>
      <c r="P106" s="68">
        <v>59.85</v>
      </c>
      <c r="Q106" s="68">
        <v>59.85</v>
      </c>
      <c r="R106" s="68">
        <v>59.85</v>
      </c>
      <c r="S106" s="68">
        <f t="shared" si="25"/>
        <v>538.65000000000009</v>
      </c>
      <c r="T106" s="5">
        <v>33010</v>
      </c>
      <c r="V106" s="69">
        <f t="shared" si="33"/>
        <v>1</v>
      </c>
      <c r="W106" s="69">
        <f t="shared" si="33"/>
        <v>0</v>
      </c>
      <c r="X106" s="69">
        <f t="shared" si="33"/>
        <v>1</v>
      </c>
      <c r="Y106" s="69">
        <f t="shared" si="32"/>
        <v>0</v>
      </c>
      <c r="Z106" s="69">
        <f t="shared" si="32"/>
        <v>0</v>
      </c>
      <c r="AA106" s="69">
        <f t="shared" si="32"/>
        <v>0</v>
      </c>
      <c r="AB106" s="69">
        <f t="shared" si="32"/>
        <v>1</v>
      </c>
      <c r="AC106" s="69">
        <f t="shared" si="32"/>
        <v>2</v>
      </c>
      <c r="AD106" s="69">
        <f t="shared" si="32"/>
        <v>1</v>
      </c>
      <c r="AE106" s="69">
        <f t="shared" si="32"/>
        <v>1</v>
      </c>
      <c r="AF106" s="69">
        <f t="shared" si="32"/>
        <v>1</v>
      </c>
      <c r="AG106" s="69">
        <f t="shared" si="32"/>
        <v>1</v>
      </c>
      <c r="AH106" s="68">
        <f t="shared" si="34"/>
        <v>1.125</v>
      </c>
      <c r="AI106" s="44"/>
      <c r="AJ106" s="193"/>
      <c r="AK106" s="43"/>
      <c r="AL106" s="5"/>
      <c r="AM106" s="5"/>
      <c r="AN106" s="1"/>
      <c r="AO106" s="138"/>
      <c r="AP106" s="5"/>
      <c r="AQ106" s="5"/>
      <c r="AR106" s="210"/>
      <c r="AS106" s="194">
        <v>69.09</v>
      </c>
      <c r="AT106" s="195">
        <f t="shared" ca="1" si="30"/>
        <v>76.750669701508997</v>
      </c>
      <c r="AU106" s="80">
        <f t="shared" ca="1" si="28"/>
        <v>1036.1340409703714</v>
      </c>
      <c r="AV106" s="80">
        <f t="shared" ca="1" si="29"/>
        <v>497.48404097037132</v>
      </c>
      <c r="BC106" s="499">
        <f t="shared" ca="1" si="22"/>
        <v>3.9555719411782788</v>
      </c>
      <c r="BD106" s="499">
        <f t="shared" ca="1" si="23"/>
        <v>501.4396129115496</v>
      </c>
    </row>
    <row r="107" spans="1:56" s="134" customFormat="1" ht="12" customHeight="1">
      <c r="A107" s="5" t="str">
        <f t="shared" si="24"/>
        <v>PA-CF6YDEX</v>
      </c>
      <c r="B107" s="48" t="s">
        <v>397</v>
      </c>
      <c r="C107" s="48" t="s">
        <v>398</v>
      </c>
      <c r="D107" s="73">
        <v>111.65</v>
      </c>
      <c r="E107" s="192" t="s">
        <v>349</v>
      </c>
      <c r="F107" s="67"/>
      <c r="G107" s="68">
        <v>0</v>
      </c>
      <c r="H107" s="68">
        <v>0</v>
      </c>
      <c r="I107" s="68">
        <v>0</v>
      </c>
      <c r="J107" s="68">
        <v>0</v>
      </c>
      <c r="K107" s="68">
        <v>111.65</v>
      </c>
      <c r="L107" s="68">
        <v>0</v>
      </c>
      <c r="M107" s="68">
        <v>0</v>
      </c>
      <c r="N107" s="68">
        <v>0</v>
      </c>
      <c r="O107" s="68">
        <v>0</v>
      </c>
      <c r="P107" s="68">
        <v>0</v>
      </c>
      <c r="Q107" s="68">
        <v>223.3</v>
      </c>
      <c r="R107" s="68">
        <v>334.95</v>
      </c>
      <c r="S107" s="68">
        <f t="shared" si="25"/>
        <v>669.90000000000009</v>
      </c>
      <c r="T107" s="5">
        <v>33011</v>
      </c>
      <c r="V107" s="69">
        <f t="shared" si="33"/>
        <v>0</v>
      </c>
      <c r="W107" s="69">
        <f t="shared" si="33"/>
        <v>0</v>
      </c>
      <c r="X107" s="69">
        <f t="shared" si="33"/>
        <v>0</v>
      </c>
      <c r="Y107" s="69">
        <f t="shared" si="32"/>
        <v>0</v>
      </c>
      <c r="Z107" s="69">
        <f t="shared" si="32"/>
        <v>1</v>
      </c>
      <c r="AA107" s="69">
        <f t="shared" si="32"/>
        <v>0</v>
      </c>
      <c r="AB107" s="69">
        <f t="shared" si="32"/>
        <v>0</v>
      </c>
      <c r="AC107" s="69">
        <f t="shared" si="32"/>
        <v>0</v>
      </c>
      <c r="AD107" s="69">
        <f t="shared" si="32"/>
        <v>0</v>
      </c>
      <c r="AE107" s="69">
        <f t="shared" si="32"/>
        <v>0</v>
      </c>
      <c r="AF107" s="69">
        <f t="shared" si="32"/>
        <v>2</v>
      </c>
      <c r="AG107" s="69">
        <f t="shared" si="32"/>
        <v>2.9999999999999996</v>
      </c>
      <c r="AH107" s="68">
        <f t="shared" si="34"/>
        <v>2</v>
      </c>
      <c r="AI107" s="44"/>
      <c r="AJ107" s="193"/>
      <c r="AK107" s="43"/>
      <c r="AL107" s="5"/>
      <c r="AM107" s="5"/>
      <c r="AN107" s="1"/>
      <c r="AO107" s="138"/>
      <c r="AP107" s="5"/>
      <c r="AQ107" s="5"/>
      <c r="AR107" s="210"/>
      <c r="AS107" s="194">
        <v>128.05000000000001</v>
      </c>
      <c r="AT107" s="195">
        <f t="shared" ca="1" si="30"/>
        <v>142.24812932809709</v>
      </c>
      <c r="AU107" s="80">
        <f t="shared" ca="1" si="28"/>
        <v>3413.9551038743302</v>
      </c>
      <c r="AV107" s="80">
        <f t="shared" ca="1" si="29"/>
        <v>2744.0551038743301</v>
      </c>
      <c r="BC107" s="499">
        <f t="shared" ca="1" si="22"/>
        <v>13.03320273570071</v>
      </c>
      <c r="BD107" s="499">
        <f t="shared" ca="1" si="23"/>
        <v>2757.0883066100309</v>
      </c>
    </row>
    <row r="108" spans="1:56" s="19" customFormat="1" ht="12" customHeight="1">
      <c r="A108" s="71" t="str">
        <f t="shared" si="24"/>
        <v>PA-CF6YD1M</v>
      </c>
      <c r="B108" s="72" t="s">
        <v>399</v>
      </c>
      <c r="C108" s="72" t="s">
        <v>400</v>
      </c>
      <c r="D108" s="73">
        <v>108.65</v>
      </c>
      <c r="E108" s="192" t="s">
        <v>349</v>
      </c>
      <c r="F108" s="67"/>
      <c r="G108" s="75">
        <v>325.95</v>
      </c>
      <c r="H108" s="75">
        <v>325.95</v>
      </c>
      <c r="I108" s="75">
        <v>325.95</v>
      </c>
      <c r="J108" s="75">
        <v>434.6</v>
      </c>
      <c r="K108" s="75">
        <v>434.6</v>
      </c>
      <c r="L108" s="75">
        <v>434.6</v>
      </c>
      <c r="M108" s="75">
        <v>434.6</v>
      </c>
      <c r="N108" s="75">
        <v>434.6</v>
      </c>
      <c r="O108" s="75">
        <v>434.6</v>
      </c>
      <c r="P108" s="75">
        <v>434.6</v>
      </c>
      <c r="Q108" s="75">
        <v>434.6</v>
      </c>
      <c r="R108" s="75">
        <v>434.6</v>
      </c>
      <c r="S108" s="75">
        <f t="shared" si="25"/>
        <v>4889.25</v>
      </c>
      <c r="T108" s="71">
        <v>33010</v>
      </c>
      <c r="V108" s="75">
        <f t="shared" si="33"/>
        <v>2.9999999999999996</v>
      </c>
      <c r="W108" s="75">
        <f t="shared" si="33"/>
        <v>2.9999999999999996</v>
      </c>
      <c r="X108" s="75">
        <f t="shared" si="33"/>
        <v>2.9999999999999996</v>
      </c>
      <c r="Y108" s="75">
        <f t="shared" si="32"/>
        <v>4</v>
      </c>
      <c r="Z108" s="75">
        <f t="shared" si="32"/>
        <v>4</v>
      </c>
      <c r="AA108" s="75">
        <f t="shared" si="32"/>
        <v>4</v>
      </c>
      <c r="AB108" s="75">
        <f t="shared" si="32"/>
        <v>4</v>
      </c>
      <c r="AC108" s="75">
        <f t="shared" si="32"/>
        <v>4</v>
      </c>
      <c r="AD108" s="75">
        <f t="shared" si="32"/>
        <v>4</v>
      </c>
      <c r="AE108" s="75">
        <f t="shared" si="32"/>
        <v>4</v>
      </c>
      <c r="AF108" s="75">
        <f t="shared" si="32"/>
        <v>4</v>
      </c>
      <c r="AG108" s="75">
        <f t="shared" si="32"/>
        <v>4</v>
      </c>
      <c r="AH108" s="75">
        <f t="shared" si="34"/>
        <v>3.75</v>
      </c>
      <c r="AI108" s="44"/>
      <c r="AJ108" s="193"/>
      <c r="AK108" s="43" t="s">
        <v>159</v>
      </c>
      <c r="AL108" s="5"/>
      <c r="AM108" s="5"/>
      <c r="AN108" s="1">
        <v>1</v>
      </c>
      <c r="AO108" s="137">
        <f>+AH108*AN108</f>
        <v>3.75</v>
      </c>
      <c r="AP108" s="5"/>
      <c r="AQ108" s="5"/>
      <c r="AR108" s="210"/>
      <c r="AS108" s="194">
        <v>125.05</v>
      </c>
      <c r="AT108" s="195">
        <f t="shared" ca="1" si="30"/>
        <v>138.91549060896946</v>
      </c>
      <c r="AU108" s="80">
        <f t="shared" ca="1" si="28"/>
        <v>6251.1970774036263</v>
      </c>
      <c r="AV108" s="80">
        <f t="shared" ca="1" si="29"/>
        <v>1361.9470774036263</v>
      </c>
      <c r="BC108" s="499">
        <f t="shared" ca="1" si="22"/>
        <v>23.864730604735072</v>
      </c>
      <c r="BD108" s="499">
        <f t="shared" ca="1" si="23"/>
        <v>1385.8118080083614</v>
      </c>
    </row>
    <row r="109" spans="1:56" s="134" customFormat="1" ht="12" customHeight="1">
      <c r="A109" s="5" t="str">
        <f t="shared" si="24"/>
        <v>PA-CF3YDEX</v>
      </c>
      <c r="B109" s="48" t="s">
        <v>401</v>
      </c>
      <c r="C109" s="48" t="s">
        <v>402</v>
      </c>
      <c r="D109" s="73">
        <v>59.85</v>
      </c>
      <c r="E109" s="192" t="s">
        <v>349</v>
      </c>
      <c r="F109" s="67"/>
      <c r="G109" s="68">
        <v>0</v>
      </c>
      <c r="H109" s="68">
        <v>0</v>
      </c>
      <c r="I109" s="68">
        <v>0</v>
      </c>
      <c r="J109" s="68">
        <v>0</v>
      </c>
      <c r="K109" s="68">
        <v>59.85</v>
      </c>
      <c r="L109" s="68">
        <v>0</v>
      </c>
      <c r="M109" s="68">
        <v>0</v>
      </c>
      <c r="N109" s="68">
        <v>0</v>
      </c>
      <c r="O109" s="68">
        <v>0</v>
      </c>
      <c r="P109" s="68">
        <v>0</v>
      </c>
      <c r="Q109" s="68">
        <v>0</v>
      </c>
      <c r="R109" s="68">
        <v>59.85</v>
      </c>
      <c r="S109" s="68">
        <f t="shared" si="25"/>
        <v>119.7</v>
      </c>
      <c r="T109" s="5">
        <v>33011</v>
      </c>
      <c r="V109" s="69">
        <f t="shared" si="33"/>
        <v>0</v>
      </c>
      <c r="W109" s="69">
        <f t="shared" si="33"/>
        <v>0</v>
      </c>
      <c r="X109" s="69">
        <f t="shared" si="33"/>
        <v>0</v>
      </c>
      <c r="Y109" s="69">
        <f t="shared" si="32"/>
        <v>0</v>
      </c>
      <c r="Z109" s="69">
        <f t="shared" si="32"/>
        <v>1</v>
      </c>
      <c r="AA109" s="69">
        <f t="shared" si="32"/>
        <v>0</v>
      </c>
      <c r="AB109" s="69">
        <f t="shared" si="32"/>
        <v>0</v>
      </c>
      <c r="AC109" s="69">
        <f t="shared" si="32"/>
        <v>0</v>
      </c>
      <c r="AD109" s="69">
        <f t="shared" si="32"/>
        <v>0</v>
      </c>
      <c r="AE109" s="69">
        <f t="shared" si="32"/>
        <v>0</v>
      </c>
      <c r="AF109" s="69">
        <f t="shared" si="32"/>
        <v>0</v>
      </c>
      <c r="AG109" s="69">
        <f t="shared" si="32"/>
        <v>1</v>
      </c>
      <c r="AH109" s="68">
        <f t="shared" si="34"/>
        <v>1</v>
      </c>
      <c r="AI109" s="44"/>
      <c r="AJ109" s="193"/>
      <c r="AK109" s="43"/>
      <c r="AL109" s="5"/>
      <c r="AM109" s="5"/>
      <c r="AN109" s="1"/>
      <c r="AO109" s="138"/>
      <c r="AP109" s="5"/>
      <c r="AQ109" s="5"/>
      <c r="AR109" s="210"/>
      <c r="AS109" s="194">
        <v>69.09</v>
      </c>
      <c r="AT109" s="195">
        <f t="shared" ca="1" si="30"/>
        <v>76.750669701508997</v>
      </c>
      <c r="AU109" s="80">
        <f t="shared" ca="1" si="28"/>
        <v>921.00803641810796</v>
      </c>
      <c r="AV109" s="80">
        <f t="shared" ca="1" si="29"/>
        <v>801.30803641810792</v>
      </c>
      <c r="BC109" s="499">
        <f t="shared" ca="1" si="22"/>
        <v>3.5160639477140259</v>
      </c>
      <c r="BD109" s="499">
        <f t="shared" ca="1" si="23"/>
        <v>804.82410036582189</v>
      </c>
    </row>
    <row r="110" spans="1:56" s="134" customFormat="1" ht="12" customHeight="1">
      <c r="A110" s="5" t="str">
        <f t="shared" si="24"/>
        <v>PA-CR6YDEX</v>
      </c>
      <c r="B110" s="48" t="s">
        <v>403</v>
      </c>
      <c r="C110" s="48" t="s">
        <v>404</v>
      </c>
      <c r="D110" s="73">
        <v>111.65</v>
      </c>
      <c r="E110" s="192" t="s">
        <v>349</v>
      </c>
      <c r="F110" s="67"/>
      <c r="G110" s="68">
        <v>0</v>
      </c>
      <c r="H110" s="68">
        <v>0</v>
      </c>
      <c r="I110" s="68">
        <v>0</v>
      </c>
      <c r="J110" s="68">
        <v>0</v>
      </c>
      <c r="K110" s="68">
        <v>111.65</v>
      </c>
      <c r="L110" s="68">
        <v>223.3</v>
      </c>
      <c r="M110" s="68">
        <v>0</v>
      </c>
      <c r="N110" s="68">
        <v>0</v>
      </c>
      <c r="O110" s="68">
        <v>0</v>
      </c>
      <c r="P110" s="68">
        <v>0</v>
      </c>
      <c r="Q110" s="68">
        <v>0</v>
      </c>
      <c r="R110" s="68">
        <v>0</v>
      </c>
      <c r="S110" s="68">
        <f t="shared" si="25"/>
        <v>334.95000000000005</v>
      </c>
      <c r="T110" s="5">
        <v>33011</v>
      </c>
      <c r="V110" s="69">
        <f t="shared" si="33"/>
        <v>0</v>
      </c>
      <c r="W110" s="69">
        <f t="shared" si="33"/>
        <v>0</v>
      </c>
      <c r="X110" s="69">
        <f t="shared" si="33"/>
        <v>0</v>
      </c>
      <c r="Y110" s="69">
        <f t="shared" si="32"/>
        <v>0</v>
      </c>
      <c r="Z110" s="69">
        <f t="shared" si="32"/>
        <v>1</v>
      </c>
      <c r="AA110" s="69">
        <f t="shared" si="32"/>
        <v>2</v>
      </c>
      <c r="AB110" s="69">
        <f t="shared" ref="AB110:AG141" si="35">IFERROR(M110/$D110,0)</f>
        <v>0</v>
      </c>
      <c r="AC110" s="69">
        <f t="shared" si="35"/>
        <v>0</v>
      </c>
      <c r="AD110" s="69">
        <f t="shared" si="35"/>
        <v>0</v>
      </c>
      <c r="AE110" s="69">
        <f t="shared" si="35"/>
        <v>0</v>
      </c>
      <c r="AF110" s="69">
        <f t="shared" si="35"/>
        <v>0</v>
      </c>
      <c r="AG110" s="69">
        <f t="shared" si="35"/>
        <v>0</v>
      </c>
      <c r="AH110" s="68">
        <f t="shared" si="34"/>
        <v>1.5</v>
      </c>
      <c r="AI110" s="44"/>
      <c r="AJ110" s="193"/>
      <c r="AK110" s="43"/>
      <c r="AL110" s="5"/>
      <c r="AM110" s="5"/>
      <c r="AN110" s="1"/>
      <c r="AO110" s="138"/>
      <c r="AP110" s="5"/>
      <c r="AQ110" s="5"/>
      <c r="AR110" s="210"/>
      <c r="AS110" s="194">
        <v>128.05000000000001</v>
      </c>
      <c r="AT110" s="195">
        <f t="shared" ca="1" si="30"/>
        <v>142.24812932809709</v>
      </c>
      <c r="AU110" s="80">
        <f t="shared" ca="1" si="28"/>
        <v>2560.4663279057477</v>
      </c>
      <c r="AV110" s="80">
        <f t="shared" ca="1" si="29"/>
        <v>2225.5163279057479</v>
      </c>
      <c r="BC110" s="499">
        <f t="shared" ca="1" si="22"/>
        <v>9.7749020517755341</v>
      </c>
      <c r="BD110" s="499">
        <f t="shared" ca="1" si="23"/>
        <v>2235.2912299575232</v>
      </c>
    </row>
    <row r="111" spans="1:56" s="134" customFormat="1" ht="12" customHeight="1">
      <c r="A111" s="5" t="str">
        <f t="shared" si="24"/>
        <v>PA-CSP4-COM</v>
      </c>
      <c r="B111" s="48" t="s">
        <v>405</v>
      </c>
      <c r="C111" s="48" t="s">
        <v>406</v>
      </c>
      <c r="D111" s="73">
        <v>80.709999999999994</v>
      </c>
      <c r="E111" s="192" t="s">
        <v>349</v>
      </c>
      <c r="F111" s="67"/>
      <c r="G111" s="68">
        <v>161.41999999999999</v>
      </c>
      <c r="H111" s="68">
        <v>0</v>
      </c>
      <c r="I111" s="68">
        <v>0</v>
      </c>
      <c r="J111" s="68">
        <v>0</v>
      </c>
      <c r="K111" s="68">
        <v>80.709999999999994</v>
      </c>
      <c r="L111" s="68">
        <v>80.709999999999994</v>
      </c>
      <c r="M111" s="68">
        <v>0</v>
      </c>
      <c r="N111" s="68">
        <v>161.41999999999999</v>
      </c>
      <c r="O111" s="68">
        <v>0</v>
      </c>
      <c r="P111" s="68">
        <v>80.709999999999994</v>
      </c>
      <c r="Q111" s="68">
        <v>242.13</v>
      </c>
      <c r="R111" s="68">
        <v>80.709999999999994</v>
      </c>
      <c r="S111" s="68">
        <f t="shared" si="25"/>
        <v>887.81000000000006</v>
      </c>
      <c r="T111" s="5">
        <v>33010</v>
      </c>
      <c r="V111" s="69">
        <f t="shared" si="33"/>
        <v>2</v>
      </c>
      <c r="W111" s="69">
        <f t="shared" si="33"/>
        <v>0</v>
      </c>
      <c r="X111" s="69">
        <f t="shared" si="33"/>
        <v>0</v>
      </c>
      <c r="Y111" s="69">
        <f t="shared" si="33"/>
        <v>0</v>
      </c>
      <c r="Z111" s="69">
        <f t="shared" si="33"/>
        <v>1</v>
      </c>
      <c r="AA111" s="69">
        <f t="shared" si="33"/>
        <v>1</v>
      </c>
      <c r="AB111" s="69">
        <f t="shared" si="35"/>
        <v>0</v>
      </c>
      <c r="AC111" s="69">
        <f t="shared" si="35"/>
        <v>2</v>
      </c>
      <c r="AD111" s="69">
        <f t="shared" si="35"/>
        <v>0</v>
      </c>
      <c r="AE111" s="69">
        <f t="shared" si="35"/>
        <v>1</v>
      </c>
      <c r="AF111" s="69">
        <f t="shared" si="35"/>
        <v>3</v>
      </c>
      <c r="AG111" s="69">
        <f t="shared" si="35"/>
        <v>1</v>
      </c>
      <c r="AH111" s="68">
        <f t="shared" si="34"/>
        <v>1.5714285714285714</v>
      </c>
      <c r="AI111" s="44"/>
      <c r="AJ111" s="193"/>
      <c r="AK111" s="43"/>
      <c r="AL111" s="5"/>
      <c r="AM111" s="5"/>
      <c r="AN111" s="1"/>
      <c r="AO111" s="138"/>
      <c r="AP111" s="5"/>
      <c r="AQ111" s="5"/>
      <c r="AR111" s="210"/>
      <c r="AS111" s="194">
        <v>92.68</v>
      </c>
      <c r="AT111" s="195">
        <f t="shared" ca="1" si="30"/>
        <v>102.9563188295825</v>
      </c>
      <c r="AU111" s="80">
        <f t="shared" ca="1" si="28"/>
        <v>1941.4620122149845</v>
      </c>
      <c r="AV111" s="80">
        <f t="shared" ca="1" si="29"/>
        <v>1053.6520122149846</v>
      </c>
      <c r="BC111" s="499">
        <f t="shared" ca="1" si="22"/>
        <v>7.4117752691427246</v>
      </c>
      <c r="BD111" s="499">
        <f t="shared" ca="1" si="23"/>
        <v>1061.0637874841273</v>
      </c>
    </row>
    <row r="112" spans="1:56" s="19" customFormat="1" ht="12" customHeight="1">
      <c r="A112" s="71" t="str">
        <f t="shared" si="24"/>
        <v>PA-CF8YDEOW</v>
      </c>
      <c r="B112" s="72" t="s">
        <v>407</v>
      </c>
      <c r="C112" s="72" t="s">
        <v>408</v>
      </c>
      <c r="D112" s="73">
        <v>316.36</v>
      </c>
      <c r="E112" s="192" t="s">
        <v>349</v>
      </c>
      <c r="F112" s="67"/>
      <c r="G112" s="75">
        <v>0</v>
      </c>
      <c r="H112" s="75">
        <v>0</v>
      </c>
      <c r="I112" s="75">
        <v>0</v>
      </c>
      <c r="J112" s="75">
        <v>158.18</v>
      </c>
      <c r="K112" s="75">
        <v>316.36</v>
      </c>
      <c r="L112" s="75">
        <v>316.36</v>
      </c>
      <c r="M112" s="75">
        <v>316.36</v>
      </c>
      <c r="N112" s="75">
        <v>0</v>
      </c>
      <c r="O112" s="75">
        <v>0</v>
      </c>
      <c r="P112" s="75">
        <v>0</v>
      </c>
      <c r="Q112" s="75">
        <v>0</v>
      </c>
      <c r="R112" s="75">
        <v>0</v>
      </c>
      <c r="S112" s="75">
        <f t="shared" si="25"/>
        <v>1107.2600000000002</v>
      </c>
      <c r="T112" s="71">
        <v>33000</v>
      </c>
      <c r="V112" s="75">
        <f t="shared" si="33"/>
        <v>0</v>
      </c>
      <c r="W112" s="75">
        <f t="shared" si="33"/>
        <v>0</v>
      </c>
      <c r="X112" s="75">
        <f t="shared" si="33"/>
        <v>0</v>
      </c>
      <c r="Y112" s="75">
        <f t="shared" si="33"/>
        <v>0.5</v>
      </c>
      <c r="Z112" s="75">
        <f t="shared" si="33"/>
        <v>1</v>
      </c>
      <c r="AA112" s="75">
        <f t="shared" si="33"/>
        <v>1</v>
      </c>
      <c r="AB112" s="75">
        <f t="shared" si="35"/>
        <v>1</v>
      </c>
      <c r="AC112" s="75">
        <f t="shared" si="35"/>
        <v>0</v>
      </c>
      <c r="AD112" s="75">
        <f t="shared" si="35"/>
        <v>0</v>
      </c>
      <c r="AE112" s="75">
        <f t="shared" si="35"/>
        <v>0</v>
      </c>
      <c r="AF112" s="75">
        <f t="shared" si="35"/>
        <v>0</v>
      </c>
      <c r="AG112" s="75">
        <f t="shared" si="35"/>
        <v>0</v>
      </c>
      <c r="AH112" s="75">
        <f>AVERAGE(V112:AG112)</f>
        <v>0.29166666666666669</v>
      </c>
      <c r="AI112" s="44"/>
      <c r="AJ112" s="193"/>
      <c r="AK112" s="43" t="s">
        <v>370</v>
      </c>
      <c r="AL112" s="5"/>
      <c r="AM112" s="5"/>
      <c r="AN112" s="1">
        <v>1</v>
      </c>
      <c r="AO112" s="137">
        <f>+AH112*AN112</f>
        <v>0.29166666666666669</v>
      </c>
      <c r="AP112" s="5"/>
      <c r="AQ112" s="5"/>
      <c r="AR112" s="210"/>
      <c r="AS112" s="194">
        <f>164.92*2.17</f>
        <v>357.87639999999993</v>
      </c>
      <c r="AT112" s="195">
        <f t="shared" ca="1" si="30"/>
        <v>397.55758243400072</v>
      </c>
      <c r="AU112" s="80">
        <f t="shared" ca="1" si="28"/>
        <v>1391.4515385190025</v>
      </c>
      <c r="AV112" s="80">
        <f t="shared" ca="1" si="29"/>
        <v>284.19153851900228</v>
      </c>
      <c r="BC112" s="499">
        <f t="shared" ca="1" si="22"/>
        <v>5.3120411506994412</v>
      </c>
      <c r="BD112" s="499">
        <f t="shared" ca="1" si="23"/>
        <v>289.50357966970171</v>
      </c>
    </row>
    <row r="113" spans="1:56" s="19" customFormat="1" ht="12" customHeight="1">
      <c r="A113" s="71" t="str">
        <f t="shared" si="24"/>
        <v>PA-C32CW1</v>
      </c>
      <c r="B113" s="72" t="s">
        <v>409</v>
      </c>
      <c r="C113" s="72" t="s">
        <v>410</v>
      </c>
      <c r="D113" s="73">
        <v>22.99</v>
      </c>
      <c r="E113" s="192" t="s">
        <v>381</v>
      </c>
      <c r="F113" s="67"/>
      <c r="G113" s="75">
        <v>22.99</v>
      </c>
      <c r="H113" s="75">
        <v>22.99</v>
      </c>
      <c r="I113" s="75">
        <v>22.99</v>
      </c>
      <c r="J113" s="75">
        <v>22.99</v>
      </c>
      <c r="K113" s="75">
        <v>22.99</v>
      </c>
      <c r="L113" s="75">
        <v>22.99</v>
      </c>
      <c r="M113" s="75">
        <v>22.99</v>
      </c>
      <c r="N113" s="75">
        <v>22.99</v>
      </c>
      <c r="O113" s="75">
        <v>22.99</v>
      </c>
      <c r="P113" s="75">
        <v>22.99</v>
      </c>
      <c r="Q113" s="75">
        <v>22.99</v>
      </c>
      <c r="R113" s="75">
        <v>22.99</v>
      </c>
      <c r="S113" s="75">
        <f t="shared" si="25"/>
        <v>275.88000000000005</v>
      </c>
      <c r="T113" s="71">
        <v>33010</v>
      </c>
      <c r="V113" s="75">
        <f t="shared" si="33"/>
        <v>1</v>
      </c>
      <c r="W113" s="75">
        <f t="shared" si="33"/>
        <v>1</v>
      </c>
      <c r="X113" s="75">
        <f t="shared" si="33"/>
        <v>1</v>
      </c>
      <c r="Y113" s="75">
        <f t="shared" si="33"/>
        <v>1</v>
      </c>
      <c r="Z113" s="75">
        <f t="shared" si="33"/>
        <v>1</v>
      </c>
      <c r="AA113" s="75">
        <f t="shared" si="33"/>
        <v>1</v>
      </c>
      <c r="AB113" s="75">
        <f t="shared" si="35"/>
        <v>1</v>
      </c>
      <c r="AC113" s="75">
        <f t="shared" si="35"/>
        <v>1</v>
      </c>
      <c r="AD113" s="75">
        <f t="shared" si="35"/>
        <v>1</v>
      </c>
      <c r="AE113" s="75">
        <f t="shared" si="35"/>
        <v>1</v>
      </c>
      <c r="AF113" s="75">
        <f t="shared" si="35"/>
        <v>1</v>
      </c>
      <c r="AG113" s="75">
        <f t="shared" si="35"/>
        <v>1</v>
      </c>
      <c r="AH113" s="75">
        <f t="shared" ref="AH113:AH118" si="36">IFERROR(AVERAGEIF(V113:AG113,"&gt;0"),0)</f>
        <v>1</v>
      </c>
      <c r="AI113" s="44"/>
      <c r="AJ113" s="193"/>
      <c r="AK113" s="43">
        <v>32</v>
      </c>
      <c r="AL113" s="1">
        <v>0</v>
      </c>
      <c r="AM113" s="137">
        <f>+AH113*AL113</f>
        <v>0</v>
      </c>
      <c r="AN113" s="1"/>
      <c r="AO113" s="137"/>
      <c r="AP113" s="5"/>
      <c r="AQ113" s="5"/>
      <c r="AR113" s="210"/>
      <c r="AS113" s="194">
        <f>5.97*4.33</f>
        <v>25.850099999999998</v>
      </c>
      <c r="AT113" s="195">
        <f t="shared" ca="1" si="30"/>
        <v>28.716348051106927</v>
      </c>
      <c r="AU113" s="80">
        <f t="shared" ca="1" si="28"/>
        <v>344.59617661328309</v>
      </c>
      <c r="AV113" s="80">
        <f t="shared" ca="1" si="29"/>
        <v>68.716176613283039</v>
      </c>
      <c r="BC113" s="499">
        <f t="shared" ca="1" si="22"/>
        <v>1.3155392192039705</v>
      </c>
      <c r="BD113" s="499">
        <f t="shared" ca="1" si="23"/>
        <v>70.031715832487009</v>
      </c>
    </row>
    <row r="114" spans="1:56" s="134" customFormat="1" ht="12" customHeight="1">
      <c r="A114" s="5" t="str">
        <f t="shared" si="24"/>
        <v>PA-CCCARRYOUT 5-25</v>
      </c>
      <c r="B114" s="48" t="s">
        <v>411</v>
      </c>
      <c r="C114" s="48" t="s">
        <v>412</v>
      </c>
      <c r="D114" s="73">
        <v>1.65</v>
      </c>
      <c r="E114" s="192">
        <v>19</v>
      </c>
      <c r="F114" s="67"/>
      <c r="G114" s="68">
        <v>3.3</v>
      </c>
      <c r="H114" s="68">
        <v>3.3</v>
      </c>
      <c r="I114" s="68">
        <v>3.3</v>
      </c>
      <c r="J114" s="68">
        <v>3.3</v>
      </c>
      <c r="K114" s="68">
        <v>3.3</v>
      </c>
      <c r="L114" s="68">
        <v>3.3</v>
      </c>
      <c r="M114" s="68">
        <v>3.3</v>
      </c>
      <c r="N114" s="68">
        <v>3.3</v>
      </c>
      <c r="O114" s="68">
        <v>3.3</v>
      </c>
      <c r="P114" s="68">
        <v>3.3</v>
      </c>
      <c r="Q114" s="68">
        <v>3.3</v>
      </c>
      <c r="R114" s="68">
        <v>3.3</v>
      </c>
      <c r="S114" s="68">
        <f t="shared" si="25"/>
        <v>39.599999999999994</v>
      </c>
      <c r="T114" s="5">
        <v>33011</v>
      </c>
      <c r="V114" s="69">
        <f t="shared" si="33"/>
        <v>2</v>
      </c>
      <c r="W114" s="69">
        <f t="shared" si="33"/>
        <v>2</v>
      </c>
      <c r="X114" s="69">
        <f t="shared" si="33"/>
        <v>2</v>
      </c>
      <c r="Y114" s="69">
        <f t="shared" si="33"/>
        <v>2</v>
      </c>
      <c r="Z114" s="69">
        <f t="shared" si="33"/>
        <v>2</v>
      </c>
      <c r="AA114" s="69">
        <f t="shared" si="33"/>
        <v>2</v>
      </c>
      <c r="AB114" s="69">
        <f t="shared" si="35"/>
        <v>2</v>
      </c>
      <c r="AC114" s="69">
        <f t="shared" si="35"/>
        <v>2</v>
      </c>
      <c r="AD114" s="69">
        <f t="shared" si="35"/>
        <v>2</v>
      </c>
      <c r="AE114" s="69">
        <f t="shared" si="35"/>
        <v>2</v>
      </c>
      <c r="AF114" s="69">
        <f t="shared" si="35"/>
        <v>2</v>
      </c>
      <c r="AG114" s="69">
        <f t="shared" si="35"/>
        <v>2</v>
      </c>
      <c r="AH114" s="68">
        <f t="shared" si="36"/>
        <v>2</v>
      </c>
      <c r="AI114" s="44"/>
      <c r="AJ114" s="193"/>
      <c r="AK114" s="43"/>
      <c r="AL114" s="5"/>
      <c r="AM114" s="5"/>
      <c r="AN114" s="1"/>
      <c r="AO114" s="138"/>
      <c r="AP114" s="5"/>
      <c r="AQ114" s="5"/>
      <c r="AR114" s="210"/>
      <c r="AS114" s="194">
        <v>1.65</v>
      </c>
      <c r="AT114" s="195">
        <f t="shared" ca="1" si="30"/>
        <v>1.8329512955201888</v>
      </c>
      <c r="AU114" s="80">
        <f t="shared" ca="1" si="28"/>
        <v>43.990831092484527</v>
      </c>
      <c r="AV114" s="80">
        <f t="shared" ca="1" si="29"/>
        <v>4.3908310924845324</v>
      </c>
      <c r="BC114" s="499">
        <f t="shared" ca="1" si="22"/>
        <v>0.16794052724643629</v>
      </c>
      <c r="BD114" s="499">
        <f t="shared" ca="1" si="23"/>
        <v>4.5587716197309689</v>
      </c>
    </row>
    <row r="115" spans="1:56" s="134" customFormat="1" ht="12" customHeight="1">
      <c r="A115" s="5" t="str">
        <f t="shared" si="24"/>
        <v>PA-CCEXYD</v>
      </c>
      <c r="B115" s="48" t="s">
        <v>193</v>
      </c>
      <c r="C115" s="48" t="s">
        <v>194</v>
      </c>
      <c r="D115" s="73">
        <v>28.44</v>
      </c>
      <c r="E115" s="192" t="s">
        <v>381</v>
      </c>
      <c r="F115" s="67"/>
      <c r="G115" s="68">
        <v>156.41999999999999</v>
      </c>
      <c r="H115" s="68">
        <v>127.98</v>
      </c>
      <c r="I115" s="68">
        <v>149.31</v>
      </c>
      <c r="J115" s="68">
        <v>106.65</v>
      </c>
      <c r="K115" s="68">
        <v>99.54</v>
      </c>
      <c r="L115" s="68">
        <v>142.19999999999999</v>
      </c>
      <c r="M115" s="68">
        <v>120.87</v>
      </c>
      <c r="N115" s="68">
        <v>156.41999999999999</v>
      </c>
      <c r="O115" s="68">
        <v>106.65</v>
      </c>
      <c r="P115" s="68">
        <v>838.98</v>
      </c>
      <c r="Q115" s="68">
        <v>547.47</v>
      </c>
      <c r="R115" s="68">
        <v>348.39</v>
      </c>
      <c r="S115" s="68">
        <f t="shared" si="25"/>
        <v>2900.8799999999997</v>
      </c>
      <c r="T115" s="5">
        <v>33011</v>
      </c>
      <c r="V115" s="69">
        <f t="shared" ref="V115:AG146" si="37">IFERROR(G115/$D115,0)</f>
        <v>5.4999999999999991</v>
      </c>
      <c r="W115" s="69">
        <f t="shared" si="37"/>
        <v>4.5</v>
      </c>
      <c r="X115" s="69">
        <f t="shared" si="37"/>
        <v>5.25</v>
      </c>
      <c r="Y115" s="69">
        <f t="shared" si="37"/>
        <v>3.75</v>
      </c>
      <c r="Z115" s="69">
        <f t="shared" si="37"/>
        <v>3.5</v>
      </c>
      <c r="AA115" s="69">
        <f t="shared" si="37"/>
        <v>4.9999999999999991</v>
      </c>
      <c r="AB115" s="69">
        <f t="shared" si="35"/>
        <v>4.25</v>
      </c>
      <c r="AC115" s="69">
        <f t="shared" si="35"/>
        <v>5.4999999999999991</v>
      </c>
      <c r="AD115" s="69">
        <f t="shared" si="35"/>
        <v>3.75</v>
      </c>
      <c r="AE115" s="69">
        <f t="shared" si="35"/>
        <v>29.5</v>
      </c>
      <c r="AF115" s="69">
        <f t="shared" si="35"/>
        <v>19.25</v>
      </c>
      <c r="AG115" s="69">
        <f t="shared" si="35"/>
        <v>12.249999999999998</v>
      </c>
      <c r="AH115" s="68">
        <f t="shared" si="36"/>
        <v>8.5</v>
      </c>
      <c r="AI115" s="44"/>
      <c r="AJ115" s="193"/>
      <c r="AK115" s="43"/>
      <c r="AL115" s="5"/>
      <c r="AM115" s="5"/>
      <c r="AN115" s="1"/>
      <c r="AO115" s="138"/>
      <c r="AP115" s="5"/>
      <c r="AQ115" s="5"/>
      <c r="AR115" s="210"/>
      <c r="AS115" s="194">
        <v>30.88</v>
      </c>
      <c r="AT115" s="195">
        <f t="shared" ca="1" si="30"/>
        <v>34.303961215553592</v>
      </c>
      <c r="AU115" s="80">
        <f t="shared" ca="1" si="28"/>
        <v>3499.0040439864665</v>
      </c>
      <c r="AV115" s="80">
        <f t="shared" ca="1" si="29"/>
        <v>598.12404398646686</v>
      </c>
      <c r="BC115" s="499">
        <f t="shared" ca="1" si="22"/>
        <v>13.357887755043819</v>
      </c>
      <c r="BD115" s="499">
        <f t="shared" ca="1" si="23"/>
        <v>611.48193174151072</v>
      </c>
    </row>
    <row r="116" spans="1:56" s="5" customFormat="1" ht="12" customHeight="1">
      <c r="A116" s="5" t="str">
        <f t="shared" si="24"/>
        <v>PA-CCLOCKWKLY</v>
      </c>
      <c r="B116" s="48" t="s">
        <v>195</v>
      </c>
      <c r="C116" s="48" t="s">
        <v>196</v>
      </c>
      <c r="D116" s="73">
        <v>4.8499999999999996</v>
      </c>
      <c r="E116" s="192" t="s">
        <v>348</v>
      </c>
      <c r="F116" s="67"/>
      <c r="G116" s="68">
        <v>160.05000000000001</v>
      </c>
      <c r="H116" s="68">
        <v>160.05000000000001</v>
      </c>
      <c r="I116" s="68">
        <v>160.05000000000001</v>
      </c>
      <c r="J116" s="68">
        <v>157.62</v>
      </c>
      <c r="K116" s="68">
        <v>155.19999999999999</v>
      </c>
      <c r="L116" s="68">
        <v>160.05000000000001</v>
      </c>
      <c r="M116" s="68">
        <v>164.89</v>
      </c>
      <c r="N116" s="68">
        <v>166.11</v>
      </c>
      <c r="O116" s="68">
        <v>160.05000000000001</v>
      </c>
      <c r="P116" s="68">
        <v>166.1</v>
      </c>
      <c r="Q116" s="68">
        <v>164.9</v>
      </c>
      <c r="R116" s="68">
        <v>164.9</v>
      </c>
      <c r="S116" s="68">
        <f t="shared" si="25"/>
        <v>1939.97</v>
      </c>
      <c r="T116" s="5">
        <v>33011</v>
      </c>
      <c r="V116" s="69">
        <f t="shared" si="37"/>
        <v>33.000000000000007</v>
      </c>
      <c r="W116" s="69">
        <f t="shared" si="37"/>
        <v>33.000000000000007</v>
      </c>
      <c r="X116" s="69">
        <f t="shared" si="37"/>
        <v>33.000000000000007</v>
      </c>
      <c r="Y116" s="69">
        <f t="shared" si="37"/>
        <v>32.498969072164954</v>
      </c>
      <c r="Z116" s="69">
        <f t="shared" si="37"/>
        <v>32</v>
      </c>
      <c r="AA116" s="69">
        <f t="shared" si="37"/>
        <v>33.000000000000007</v>
      </c>
      <c r="AB116" s="69">
        <f t="shared" si="35"/>
        <v>33.997938144329893</v>
      </c>
      <c r="AC116" s="69">
        <f t="shared" si="35"/>
        <v>34.249484536082477</v>
      </c>
      <c r="AD116" s="69">
        <f t="shared" si="35"/>
        <v>33.000000000000007</v>
      </c>
      <c r="AE116" s="69">
        <f t="shared" si="35"/>
        <v>34.24742268041237</v>
      </c>
      <c r="AF116" s="69">
        <f t="shared" si="35"/>
        <v>34.000000000000007</v>
      </c>
      <c r="AG116" s="69">
        <f t="shared" si="35"/>
        <v>34.000000000000007</v>
      </c>
      <c r="AH116" s="68">
        <f t="shared" si="36"/>
        <v>33.332817869415813</v>
      </c>
      <c r="AI116" s="44"/>
      <c r="AJ116" s="193"/>
      <c r="AK116" s="43"/>
      <c r="AN116" s="1"/>
      <c r="AO116" s="138"/>
      <c r="AR116" s="210"/>
      <c r="AS116" s="194">
        <v>4.8499999999999996</v>
      </c>
      <c r="AT116" s="195">
        <f t="shared" ca="1" si="30"/>
        <v>5.3877659292563127</v>
      </c>
      <c r="AU116" s="80">
        <f t="shared" ca="1" si="28"/>
        <v>2155.0730453153342</v>
      </c>
      <c r="AV116" s="80">
        <f t="shared" ca="1" si="29"/>
        <v>215.10304531533416</v>
      </c>
      <c r="BC116" s="499">
        <f t="shared" ca="1" si="22"/>
        <v>8.2272622384411402</v>
      </c>
      <c r="BD116" s="499">
        <f t="shared" ca="1" si="23"/>
        <v>223.3303075537753</v>
      </c>
    </row>
    <row r="117" spans="1:56" s="134" customFormat="1" ht="12" customHeight="1">
      <c r="A117" s="5" t="str">
        <f t="shared" si="24"/>
        <v>PA-CR1.5YDEX</v>
      </c>
      <c r="B117" s="48" t="s">
        <v>201</v>
      </c>
      <c r="C117" s="48" t="s">
        <v>202</v>
      </c>
      <c r="D117" s="73">
        <v>34</v>
      </c>
      <c r="E117" s="192" t="s">
        <v>349</v>
      </c>
      <c r="F117" s="67"/>
      <c r="G117" s="68">
        <v>0</v>
      </c>
      <c r="H117" s="68">
        <v>34</v>
      </c>
      <c r="I117" s="68">
        <v>0</v>
      </c>
      <c r="J117" s="68">
        <v>34</v>
      </c>
      <c r="K117" s="68">
        <v>0</v>
      </c>
      <c r="L117" s="68">
        <v>0</v>
      </c>
      <c r="M117" s="68">
        <v>0</v>
      </c>
      <c r="N117" s="68">
        <v>0</v>
      </c>
      <c r="O117" s="68">
        <v>0</v>
      </c>
      <c r="P117" s="68">
        <v>0</v>
      </c>
      <c r="Q117" s="68">
        <v>0</v>
      </c>
      <c r="R117" s="68">
        <v>0</v>
      </c>
      <c r="S117" s="68">
        <f t="shared" si="25"/>
        <v>68</v>
      </c>
      <c r="T117" s="5">
        <v>33011</v>
      </c>
      <c r="V117" s="69">
        <f t="shared" si="37"/>
        <v>0</v>
      </c>
      <c r="W117" s="69">
        <f t="shared" si="37"/>
        <v>1</v>
      </c>
      <c r="X117" s="69">
        <f t="shared" si="37"/>
        <v>0</v>
      </c>
      <c r="Y117" s="69">
        <f t="shared" si="37"/>
        <v>1</v>
      </c>
      <c r="Z117" s="69">
        <f t="shared" si="37"/>
        <v>0</v>
      </c>
      <c r="AA117" s="69">
        <f t="shared" si="37"/>
        <v>0</v>
      </c>
      <c r="AB117" s="69">
        <f t="shared" si="35"/>
        <v>0</v>
      </c>
      <c r="AC117" s="69">
        <f t="shared" si="35"/>
        <v>0</v>
      </c>
      <c r="AD117" s="69">
        <f t="shared" si="35"/>
        <v>0</v>
      </c>
      <c r="AE117" s="69">
        <f t="shared" si="35"/>
        <v>0</v>
      </c>
      <c r="AF117" s="69">
        <f t="shared" si="35"/>
        <v>0</v>
      </c>
      <c r="AG117" s="69">
        <f t="shared" si="35"/>
        <v>0</v>
      </c>
      <c r="AH117" s="68">
        <f t="shared" si="36"/>
        <v>1</v>
      </c>
      <c r="AI117" s="44"/>
      <c r="AJ117" s="193"/>
      <c r="AK117" s="43"/>
      <c r="AL117" s="5"/>
      <c r="AM117" s="5"/>
      <c r="AN117" s="1"/>
      <c r="AO117" s="138"/>
      <c r="AP117" s="5"/>
      <c r="AQ117" s="5"/>
      <c r="AR117" s="210"/>
      <c r="AS117" s="194">
        <v>38.880000000000003</v>
      </c>
      <c r="AT117" s="195">
        <f t="shared" ca="1" si="30"/>
        <v>43.190997799893907</v>
      </c>
      <c r="AU117" s="80">
        <f t="shared" ca="1" si="28"/>
        <v>518.29197359872683</v>
      </c>
      <c r="AV117" s="80">
        <f t="shared" ca="1" si="29"/>
        <v>450.29197359872683</v>
      </c>
      <c r="BC117" s="499">
        <f t="shared" ca="1" si="22"/>
        <v>1.9786447573761952</v>
      </c>
      <c r="BD117" s="499">
        <f t="shared" ca="1" si="23"/>
        <v>452.270618356103</v>
      </c>
    </row>
    <row r="118" spans="1:56" s="134" customFormat="1" ht="12" customHeight="1">
      <c r="A118" s="5" t="str">
        <f t="shared" si="24"/>
        <v>PA-CR1.5YDRENTM</v>
      </c>
      <c r="B118" s="48" t="s">
        <v>203</v>
      </c>
      <c r="C118" s="48" t="s">
        <v>204</v>
      </c>
      <c r="D118" s="73">
        <v>6.75</v>
      </c>
      <c r="E118" s="192" t="s">
        <v>349</v>
      </c>
      <c r="F118" s="67"/>
      <c r="G118" s="68">
        <v>44.41</v>
      </c>
      <c r="H118" s="68">
        <v>54</v>
      </c>
      <c r="I118" s="68">
        <v>60.75</v>
      </c>
      <c r="J118" s="68">
        <v>60.75</v>
      </c>
      <c r="K118" s="68">
        <v>60.75</v>
      </c>
      <c r="L118" s="68">
        <v>60.75</v>
      </c>
      <c r="M118" s="68">
        <v>64.13</v>
      </c>
      <c r="N118" s="68">
        <v>64.12</v>
      </c>
      <c r="O118" s="68">
        <v>60.75</v>
      </c>
      <c r="P118" s="68">
        <v>60.75</v>
      </c>
      <c r="Q118" s="68">
        <v>60.75</v>
      </c>
      <c r="R118" s="68">
        <v>60.75</v>
      </c>
      <c r="S118" s="68">
        <f t="shared" si="25"/>
        <v>712.66</v>
      </c>
      <c r="T118" s="5">
        <v>33010</v>
      </c>
      <c r="V118" s="69">
        <f t="shared" si="37"/>
        <v>6.5792592592592589</v>
      </c>
      <c r="W118" s="69">
        <f t="shared" si="37"/>
        <v>8</v>
      </c>
      <c r="X118" s="69">
        <f t="shared" si="37"/>
        <v>9</v>
      </c>
      <c r="Y118" s="69">
        <f t="shared" si="37"/>
        <v>9</v>
      </c>
      <c r="Z118" s="69">
        <f t="shared" si="37"/>
        <v>9</v>
      </c>
      <c r="AA118" s="69">
        <f t="shared" si="37"/>
        <v>9</v>
      </c>
      <c r="AB118" s="69">
        <f t="shared" si="35"/>
        <v>9.5007407407407403</v>
      </c>
      <c r="AC118" s="69">
        <f t="shared" si="35"/>
        <v>9.4992592592592597</v>
      </c>
      <c r="AD118" s="69">
        <f t="shared" si="35"/>
        <v>9</v>
      </c>
      <c r="AE118" s="69">
        <f t="shared" si="35"/>
        <v>9</v>
      </c>
      <c r="AF118" s="69">
        <f t="shared" si="35"/>
        <v>9</v>
      </c>
      <c r="AG118" s="69">
        <f t="shared" si="35"/>
        <v>9</v>
      </c>
      <c r="AH118" s="68">
        <f t="shared" si="36"/>
        <v>8.7982716049382717</v>
      </c>
      <c r="AI118" s="44"/>
      <c r="AJ118" s="193"/>
      <c r="AK118" s="43"/>
      <c r="AL118" s="5"/>
      <c r="AM118" s="5"/>
      <c r="AN118" s="1"/>
      <c r="AO118" s="138"/>
      <c r="AP118" s="5"/>
      <c r="AQ118" s="5"/>
      <c r="AR118" s="210"/>
      <c r="AS118" s="194">
        <v>7.86</v>
      </c>
      <c r="AT118" s="195">
        <f t="shared" ca="1" si="30"/>
        <v>8.7315134441143538</v>
      </c>
      <c r="AU118" s="80">
        <f t="shared" ca="1" si="28"/>
        <v>921.86672164185711</v>
      </c>
      <c r="AV118" s="80">
        <f t="shared" ca="1" si="29"/>
        <v>209.20672164185714</v>
      </c>
      <c r="BC118" s="499">
        <f t="shared" ca="1" si="22"/>
        <v>3.5193420864905356</v>
      </c>
      <c r="BD118" s="499">
        <f t="shared" ca="1" si="23"/>
        <v>212.72606372834767</v>
      </c>
    </row>
    <row r="119" spans="1:56" s="19" customFormat="1" ht="12" customHeight="1">
      <c r="A119" s="71" t="str">
        <f t="shared" si="24"/>
        <v>PA-CR1YD1W</v>
      </c>
      <c r="B119" s="72" t="s">
        <v>209</v>
      </c>
      <c r="C119" s="72" t="s">
        <v>210</v>
      </c>
      <c r="D119" s="73">
        <v>93.92</v>
      </c>
      <c r="E119" s="192" t="s">
        <v>349</v>
      </c>
      <c r="F119" s="67"/>
      <c r="G119" s="75">
        <v>0</v>
      </c>
      <c r="H119" s="75">
        <v>0</v>
      </c>
      <c r="I119" s="75">
        <v>0</v>
      </c>
      <c r="J119" s="75">
        <v>0</v>
      </c>
      <c r="K119" s="75">
        <v>0</v>
      </c>
      <c r="L119" s="75">
        <v>0</v>
      </c>
      <c r="M119" s="75">
        <v>0</v>
      </c>
      <c r="N119" s="75">
        <v>0</v>
      </c>
      <c r="O119" s="75">
        <v>0</v>
      </c>
      <c r="P119" s="75">
        <v>0</v>
      </c>
      <c r="Q119" s="75">
        <v>46.96</v>
      </c>
      <c r="R119" s="75">
        <v>93.92</v>
      </c>
      <c r="S119" s="75">
        <f t="shared" si="25"/>
        <v>140.88</v>
      </c>
      <c r="T119" s="71">
        <v>33010</v>
      </c>
      <c r="V119" s="75">
        <f t="shared" si="37"/>
        <v>0</v>
      </c>
      <c r="W119" s="75">
        <f t="shared" si="37"/>
        <v>0</v>
      </c>
      <c r="X119" s="75">
        <f t="shared" si="37"/>
        <v>0</v>
      </c>
      <c r="Y119" s="75">
        <f t="shared" si="37"/>
        <v>0</v>
      </c>
      <c r="Z119" s="75">
        <f t="shared" si="37"/>
        <v>0</v>
      </c>
      <c r="AA119" s="75">
        <f t="shared" si="37"/>
        <v>0</v>
      </c>
      <c r="AB119" s="75">
        <f t="shared" si="35"/>
        <v>0</v>
      </c>
      <c r="AC119" s="75">
        <f t="shared" si="35"/>
        <v>0</v>
      </c>
      <c r="AD119" s="75">
        <f t="shared" si="35"/>
        <v>0</v>
      </c>
      <c r="AE119" s="75">
        <f t="shared" si="35"/>
        <v>0</v>
      </c>
      <c r="AF119" s="75">
        <f t="shared" si="35"/>
        <v>0.5</v>
      </c>
      <c r="AG119" s="75">
        <f t="shared" si="35"/>
        <v>1</v>
      </c>
      <c r="AH119" s="75">
        <f>AVERAGE(V119:AG119)</f>
        <v>0.125</v>
      </c>
      <c r="AI119" s="44"/>
      <c r="AJ119" s="193"/>
      <c r="AK119" s="43" t="s">
        <v>167</v>
      </c>
      <c r="AL119" s="5"/>
      <c r="AM119" s="5"/>
      <c r="AN119" s="1">
        <v>1</v>
      </c>
      <c r="AO119" s="137">
        <f>+AH119*AN119</f>
        <v>0.125</v>
      </c>
      <c r="AP119" s="5"/>
      <c r="AQ119" s="5"/>
      <c r="AR119" s="210"/>
      <c r="AS119" s="194">
        <f>25.11*4.33</f>
        <v>108.72629999999999</v>
      </c>
      <c r="AT119" s="195">
        <f t="shared" ca="1" si="30"/>
        <v>120.78182572249497</v>
      </c>
      <c r="AU119" s="80">
        <f t="shared" ca="1" si="28"/>
        <v>181.17273858374244</v>
      </c>
      <c r="AV119" s="80">
        <f t="shared" ca="1" si="29"/>
        <v>40.292738583742448</v>
      </c>
      <c r="BC119" s="499">
        <f t="shared" ca="1" si="22"/>
        <v>0.69164970255887148</v>
      </c>
      <c r="BD119" s="499">
        <f t="shared" ca="1" si="23"/>
        <v>40.984388286301318</v>
      </c>
    </row>
    <row r="120" spans="1:56" s="5" customFormat="1" ht="12" customHeight="1">
      <c r="A120" s="5" t="str">
        <f t="shared" si="24"/>
        <v>PA-CR1YDEX</v>
      </c>
      <c r="B120" s="48" t="s">
        <v>213</v>
      </c>
      <c r="C120" s="48" t="s">
        <v>214</v>
      </c>
      <c r="D120" s="73">
        <v>24.69</v>
      </c>
      <c r="E120" s="192" t="s">
        <v>349</v>
      </c>
      <c r="F120" s="67"/>
      <c r="G120" s="68">
        <v>0</v>
      </c>
      <c r="H120" s="68">
        <v>0</v>
      </c>
      <c r="I120" s="68">
        <v>24.69</v>
      </c>
      <c r="J120" s="68">
        <v>0</v>
      </c>
      <c r="K120" s="68">
        <v>0</v>
      </c>
      <c r="L120" s="68">
        <v>0</v>
      </c>
      <c r="M120" s="68">
        <v>0</v>
      </c>
      <c r="N120" s="68">
        <v>0</v>
      </c>
      <c r="O120" s="68">
        <v>0</v>
      </c>
      <c r="P120" s="68">
        <v>0</v>
      </c>
      <c r="Q120" s="68">
        <v>0</v>
      </c>
      <c r="R120" s="68">
        <v>0</v>
      </c>
      <c r="S120" s="68">
        <f t="shared" si="25"/>
        <v>24.69</v>
      </c>
      <c r="T120" s="5">
        <v>33011</v>
      </c>
      <c r="V120" s="69">
        <f t="shared" si="37"/>
        <v>0</v>
      </c>
      <c r="W120" s="69">
        <f t="shared" si="37"/>
        <v>0</v>
      </c>
      <c r="X120" s="69">
        <f t="shared" si="37"/>
        <v>1</v>
      </c>
      <c r="Y120" s="69">
        <f t="shared" si="37"/>
        <v>0</v>
      </c>
      <c r="Z120" s="69">
        <f t="shared" si="37"/>
        <v>0</v>
      </c>
      <c r="AA120" s="69">
        <f t="shared" si="37"/>
        <v>0</v>
      </c>
      <c r="AB120" s="69">
        <f t="shared" si="35"/>
        <v>0</v>
      </c>
      <c r="AC120" s="69">
        <f t="shared" si="35"/>
        <v>0</v>
      </c>
      <c r="AD120" s="69">
        <f t="shared" si="35"/>
        <v>0</v>
      </c>
      <c r="AE120" s="69">
        <f t="shared" si="35"/>
        <v>0</v>
      </c>
      <c r="AF120" s="69">
        <f t="shared" si="35"/>
        <v>0</v>
      </c>
      <c r="AG120" s="69">
        <f t="shared" si="35"/>
        <v>0</v>
      </c>
      <c r="AH120" s="68">
        <f t="shared" ref="AH120:AH154" si="38">IFERROR(AVERAGEIF(V120:AG120,"&gt;0"),0)</f>
        <v>1</v>
      </c>
      <c r="AI120" s="44"/>
      <c r="AJ120" s="193"/>
      <c r="AK120" s="43"/>
      <c r="AN120" s="1"/>
      <c r="AO120" s="138"/>
      <c r="AR120" s="210"/>
      <c r="AS120" s="194">
        <v>28.11</v>
      </c>
      <c r="AT120" s="195">
        <f t="shared" ca="1" si="30"/>
        <v>31.226824798225763</v>
      </c>
      <c r="AU120" s="80">
        <f t="shared" ca="1" si="28"/>
        <v>374.72189757870916</v>
      </c>
      <c r="AV120" s="80">
        <f t="shared" ca="1" si="29"/>
        <v>350.03189757870916</v>
      </c>
      <c r="BC120" s="499">
        <f t="shared" ca="1" si="22"/>
        <v>1.4305479457264623</v>
      </c>
      <c r="BD120" s="499">
        <f t="shared" ca="1" si="23"/>
        <v>351.46244552443562</v>
      </c>
    </row>
    <row r="121" spans="1:56" s="134" customFormat="1" ht="12" customHeight="1">
      <c r="A121" s="5" t="str">
        <f t="shared" si="24"/>
        <v>PA-CR1YDRENTM</v>
      </c>
      <c r="B121" s="48" t="s">
        <v>215</v>
      </c>
      <c r="C121" s="48" t="s">
        <v>216</v>
      </c>
      <c r="D121" s="73">
        <v>5.0599999999999996</v>
      </c>
      <c r="E121" s="192" t="s">
        <v>349</v>
      </c>
      <c r="F121" s="67"/>
      <c r="G121" s="68">
        <v>91.07</v>
      </c>
      <c r="H121" s="68">
        <v>89.56</v>
      </c>
      <c r="I121" s="68">
        <v>90.42</v>
      </c>
      <c r="J121" s="68">
        <v>92.26</v>
      </c>
      <c r="K121" s="68">
        <v>96.14</v>
      </c>
      <c r="L121" s="68">
        <v>86.5</v>
      </c>
      <c r="M121" s="68">
        <v>94.99</v>
      </c>
      <c r="N121" s="68">
        <v>92.87</v>
      </c>
      <c r="O121" s="68">
        <v>96.14</v>
      </c>
      <c r="P121" s="68">
        <v>89.77</v>
      </c>
      <c r="Q121" s="68">
        <v>88.21</v>
      </c>
      <c r="R121" s="68">
        <v>91.08</v>
      </c>
      <c r="S121" s="68">
        <f t="shared" si="25"/>
        <v>1099.01</v>
      </c>
      <c r="T121" s="5">
        <v>33010</v>
      </c>
      <c r="U121" s="5"/>
      <c r="V121" s="69">
        <f t="shared" si="37"/>
        <v>17.99802371541502</v>
      </c>
      <c r="W121" s="69">
        <f t="shared" si="37"/>
        <v>17.699604743083007</v>
      </c>
      <c r="X121" s="69">
        <f t="shared" si="37"/>
        <v>17.869565217391305</v>
      </c>
      <c r="Y121" s="69">
        <f t="shared" si="37"/>
        <v>18.233201581027672</v>
      </c>
      <c r="Z121" s="69">
        <f t="shared" si="37"/>
        <v>19</v>
      </c>
      <c r="AA121" s="69">
        <f t="shared" si="37"/>
        <v>17.094861660079054</v>
      </c>
      <c r="AB121" s="69">
        <f t="shared" si="35"/>
        <v>18.772727272727273</v>
      </c>
      <c r="AC121" s="69">
        <f t="shared" si="35"/>
        <v>18.353754940711465</v>
      </c>
      <c r="AD121" s="69">
        <f t="shared" si="35"/>
        <v>19</v>
      </c>
      <c r="AE121" s="69">
        <f t="shared" si="35"/>
        <v>17.74110671936759</v>
      </c>
      <c r="AF121" s="69">
        <f t="shared" si="35"/>
        <v>17.432806324110672</v>
      </c>
      <c r="AG121" s="69">
        <f t="shared" si="35"/>
        <v>18</v>
      </c>
      <c r="AH121" s="68">
        <f t="shared" si="38"/>
        <v>18.099637681159422</v>
      </c>
      <c r="AI121" s="44"/>
      <c r="AJ121" s="193"/>
      <c r="AK121" s="43"/>
      <c r="AL121" s="5"/>
      <c r="AM121" s="5"/>
      <c r="AN121" s="1"/>
      <c r="AO121" s="138"/>
      <c r="AP121" s="5"/>
      <c r="AQ121" s="5"/>
      <c r="AR121" s="210"/>
      <c r="AS121" s="194">
        <v>5.89</v>
      </c>
      <c r="AT121" s="195">
        <f t="shared" ca="1" si="30"/>
        <v>6.543080685220553</v>
      </c>
      <c r="AU121" s="80">
        <f t="shared" ca="1" si="28"/>
        <v>1421.128676653012</v>
      </c>
      <c r="AV121" s="80">
        <f t="shared" ca="1" si="29"/>
        <v>322.11867665301202</v>
      </c>
      <c r="BC121" s="499">
        <f t="shared" ca="1" si="22"/>
        <v>5.4253373558771232</v>
      </c>
      <c r="BD121" s="499">
        <f t="shared" ca="1" si="23"/>
        <v>327.54401400888912</v>
      </c>
    </row>
    <row r="122" spans="1:56" s="19" customFormat="1" ht="12" customHeight="1">
      <c r="A122" s="71" t="str">
        <f t="shared" si="24"/>
        <v>PA-CR2YD1W</v>
      </c>
      <c r="B122" s="72" t="s">
        <v>217</v>
      </c>
      <c r="C122" s="72" t="s">
        <v>218</v>
      </c>
      <c r="D122" s="73">
        <v>185.41</v>
      </c>
      <c r="E122" s="192" t="s">
        <v>349</v>
      </c>
      <c r="F122" s="67"/>
      <c r="G122" s="75">
        <v>185.41</v>
      </c>
      <c r="H122" s="75">
        <v>139.05000000000001</v>
      </c>
      <c r="I122" s="75">
        <v>92.7</v>
      </c>
      <c r="J122" s="75">
        <v>0</v>
      </c>
      <c r="K122" s="75">
        <v>0</v>
      </c>
      <c r="L122" s="75">
        <v>0</v>
      </c>
      <c r="M122" s="75">
        <v>0</v>
      </c>
      <c r="N122" s="75">
        <v>0</v>
      </c>
      <c r="O122" s="75">
        <v>185.4</v>
      </c>
      <c r="P122" s="75">
        <v>741.64</v>
      </c>
      <c r="Q122" s="75">
        <v>0</v>
      </c>
      <c r="R122" s="75">
        <v>0</v>
      </c>
      <c r="S122" s="75">
        <f t="shared" si="25"/>
        <v>1344.2</v>
      </c>
      <c r="T122" s="71">
        <v>33010</v>
      </c>
      <c r="V122" s="75">
        <f t="shared" si="37"/>
        <v>1</v>
      </c>
      <c r="W122" s="75">
        <f t="shared" si="37"/>
        <v>0.74995954910738372</v>
      </c>
      <c r="X122" s="75">
        <f t="shared" si="37"/>
        <v>0.49997303273825577</v>
      </c>
      <c r="Y122" s="75">
        <f t="shared" si="37"/>
        <v>0</v>
      </c>
      <c r="Z122" s="75">
        <f t="shared" si="37"/>
        <v>0</v>
      </c>
      <c r="AA122" s="75">
        <f t="shared" si="37"/>
        <v>0</v>
      </c>
      <c r="AB122" s="75">
        <f t="shared" si="35"/>
        <v>0</v>
      </c>
      <c r="AC122" s="75">
        <f t="shared" si="35"/>
        <v>0</v>
      </c>
      <c r="AD122" s="75">
        <f t="shared" si="35"/>
        <v>0.99994606547651155</v>
      </c>
      <c r="AE122" s="75">
        <f t="shared" si="35"/>
        <v>4</v>
      </c>
      <c r="AF122" s="75">
        <f t="shared" si="35"/>
        <v>0</v>
      </c>
      <c r="AG122" s="75">
        <f t="shared" si="35"/>
        <v>0</v>
      </c>
      <c r="AH122" s="75">
        <f t="shared" si="38"/>
        <v>1.4499757294644302</v>
      </c>
      <c r="AI122" s="44"/>
      <c r="AJ122" s="193"/>
      <c r="AK122" s="43" t="s">
        <v>151</v>
      </c>
      <c r="AL122" s="5"/>
      <c r="AM122" s="5"/>
      <c r="AN122" s="1">
        <v>1</v>
      </c>
      <c r="AO122" s="137">
        <f>+AH122*AN122</f>
        <v>1.4499757294644302</v>
      </c>
      <c r="AP122" s="5"/>
      <c r="AQ122" s="5"/>
      <c r="AR122" s="210"/>
      <c r="AS122" s="194">
        <f>49.15*4.33</f>
        <v>212.81950000000001</v>
      </c>
      <c r="AT122" s="195">
        <f t="shared" ca="1" si="30"/>
        <v>236.41683529512656</v>
      </c>
      <c r="AU122" s="80">
        <f t="shared" ca="1" si="28"/>
        <v>4113.5840785766777</v>
      </c>
      <c r="AV122" s="80">
        <f t="shared" ca="1" si="29"/>
        <v>2769.3840785766779</v>
      </c>
      <c r="BC122" s="499">
        <f t="shared" ca="1" si="22"/>
        <v>15.704124288452851</v>
      </c>
      <c r="BD122" s="499">
        <f t="shared" ca="1" si="23"/>
        <v>2785.0882028651308</v>
      </c>
    </row>
    <row r="123" spans="1:56" s="134" customFormat="1" ht="12" customHeight="1">
      <c r="A123" s="5" t="str">
        <f t="shared" si="24"/>
        <v>PA-CR2YDEX</v>
      </c>
      <c r="B123" s="48" t="s">
        <v>221</v>
      </c>
      <c r="C123" s="48" t="s">
        <v>222</v>
      </c>
      <c r="D123" s="73">
        <v>45.82</v>
      </c>
      <c r="E123" s="192" t="s">
        <v>349</v>
      </c>
      <c r="F123" s="67"/>
      <c r="G123" s="68">
        <v>0</v>
      </c>
      <c r="H123" s="68">
        <v>0</v>
      </c>
      <c r="I123" s="68">
        <v>0</v>
      </c>
      <c r="J123" s="68">
        <v>0</v>
      </c>
      <c r="K123" s="68">
        <v>0</v>
      </c>
      <c r="L123" s="68">
        <v>45.82</v>
      </c>
      <c r="M123" s="68">
        <v>0</v>
      </c>
      <c r="N123" s="68">
        <v>0</v>
      </c>
      <c r="O123" s="68">
        <v>45.82</v>
      </c>
      <c r="P123" s="68">
        <v>0</v>
      </c>
      <c r="Q123" s="68">
        <v>0</v>
      </c>
      <c r="R123" s="68">
        <v>91.64</v>
      </c>
      <c r="S123" s="68">
        <f t="shared" si="25"/>
        <v>183.28</v>
      </c>
      <c r="T123" s="5">
        <v>33011</v>
      </c>
      <c r="V123" s="69">
        <f t="shared" si="37"/>
        <v>0</v>
      </c>
      <c r="W123" s="69">
        <f t="shared" si="37"/>
        <v>0</v>
      </c>
      <c r="X123" s="69">
        <f t="shared" si="37"/>
        <v>0</v>
      </c>
      <c r="Y123" s="69">
        <f t="shared" si="37"/>
        <v>0</v>
      </c>
      <c r="Z123" s="69">
        <f t="shared" si="37"/>
        <v>0</v>
      </c>
      <c r="AA123" s="69">
        <f t="shared" si="37"/>
        <v>1</v>
      </c>
      <c r="AB123" s="69">
        <f t="shared" si="35"/>
        <v>0</v>
      </c>
      <c r="AC123" s="69">
        <f t="shared" si="35"/>
        <v>0</v>
      </c>
      <c r="AD123" s="69">
        <f t="shared" si="35"/>
        <v>1</v>
      </c>
      <c r="AE123" s="69">
        <f t="shared" si="35"/>
        <v>0</v>
      </c>
      <c r="AF123" s="69">
        <f t="shared" si="35"/>
        <v>0</v>
      </c>
      <c r="AG123" s="69">
        <f t="shared" si="35"/>
        <v>2</v>
      </c>
      <c r="AH123" s="68">
        <f t="shared" si="38"/>
        <v>1.3333333333333333</v>
      </c>
      <c r="AI123" s="44"/>
      <c r="AJ123" s="193"/>
      <c r="AK123" s="43"/>
      <c r="AL123" s="5"/>
      <c r="AM123" s="5"/>
      <c r="AN123" s="1"/>
      <c r="AO123" s="138"/>
      <c r="AP123" s="5"/>
      <c r="AQ123" s="5"/>
      <c r="AR123" s="210"/>
      <c r="AS123" s="194">
        <v>52.15</v>
      </c>
      <c r="AT123" s="195">
        <f t="shared" ca="1" si="30"/>
        <v>57.93236973416839</v>
      </c>
      <c r="AU123" s="80">
        <f t="shared" ca="1" si="28"/>
        <v>926.91791574669423</v>
      </c>
      <c r="AV123" s="80">
        <f t="shared" ca="1" si="29"/>
        <v>743.63791574669426</v>
      </c>
      <c r="BC123" s="499">
        <f t="shared" ca="1" si="22"/>
        <v>3.538625654909759</v>
      </c>
      <c r="BD123" s="499">
        <f t="shared" ca="1" si="23"/>
        <v>747.17654140160403</v>
      </c>
    </row>
    <row r="124" spans="1:56" s="5" customFormat="1" ht="12" customHeight="1">
      <c r="A124" s="5" t="str">
        <f t="shared" si="24"/>
        <v>PA-CR2YDRENTM</v>
      </c>
      <c r="B124" s="48" t="s">
        <v>223</v>
      </c>
      <c r="C124" s="48" t="s">
        <v>224</v>
      </c>
      <c r="D124" s="73">
        <v>9.0299999999999994</v>
      </c>
      <c r="E124" s="192" t="s">
        <v>349</v>
      </c>
      <c r="F124" s="67"/>
      <c r="G124" s="68">
        <v>240.02</v>
      </c>
      <c r="H124" s="68">
        <v>243.81</v>
      </c>
      <c r="I124" s="68">
        <v>241.76</v>
      </c>
      <c r="J124" s="68">
        <v>250.43</v>
      </c>
      <c r="K124" s="68">
        <v>252.84</v>
      </c>
      <c r="L124" s="68">
        <v>261.57</v>
      </c>
      <c r="M124" s="68">
        <v>255.09</v>
      </c>
      <c r="N124" s="68">
        <v>271.18</v>
      </c>
      <c r="O124" s="68">
        <v>284.14</v>
      </c>
      <c r="P124" s="68">
        <v>291.58</v>
      </c>
      <c r="Q124" s="68">
        <v>316.05</v>
      </c>
      <c r="R124" s="68">
        <v>302.94</v>
      </c>
      <c r="S124" s="68">
        <f t="shared" si="25"/>
        <v>3211.41</v>
      </c>
      <c r="T124" s="5">
        <v>33010</v>
      </c>
      <c r="U124" s="134"/>
      <c r="V124" s="69">
        <f t="shared" si="37"/>
        <v>26.580287929125141</v>
      </c>
      <c r="W124" s="69">
        <f t="shared" si="37"/>
        <v>27.000000000000004</v>
      </c>
      <c r="X124" s="69">
        <f t="shared" si="37"/>
        <v>26.772978959025473</v>
      </c>
      <c r="Y124" s="69">
        <f t="shared" si="37"/>
        <v>27.733111849390923</v>
      </c>
      <c r="Z124" s="69">
        <f t="shared" si="37"/>
        <v>28.000000000000004</v>
      </c>
      <c r="AA124" s="69">
        <f t="shared" si="37"/>
        <v>28.966777408637874</v>
      </c>
      <c r="AB124" s="69">
        <f t="shared" si="35"/>
        <v>28.249169435215951</v>
      </c>
      <c r="AC124" s="69">
        <f t="shared" si="35"/>
        <v>30.031007751937988</v>
      </c>
      <c r="AD124" s="69">
        <f t="shared" si="35"/>
        <v>31.466223698781839</v>
      </c>
      <c r="AE124" s="69">
        <f t="shared" si="35"/>
        <v>32.290143964562567</v>
      </c>
      <c r="AF124" s="69">
        <f t="shared" si="35"/>
        <v>35.000000000000007</v>
      </c>
      <c r="AG124" s="69">
        <f t="shared" si="35"/>
        <v>33.548172757475086</v>
      </c>
      <c r="AH124" s="68">
        <f t="shared" si="38"/>
        <v>29.636489479512736</v>
      </c>
      <c r="AI124" s="44"/>
      <c r="AJ124" s="193"/>
      <c r="AK124" s="43"/>
      <c r="AN124" s="1"/>
      <c r="AO124" s="138"/>
      <c r="AR124" s="210"/>
      <c r="AS124" s="194">
        <v>10.51</v>
      </c>
      <c r="AT124" s="195">
        <f t="shared" ca="1" si="30"/>
        <v>11.675344312677082</v>
      </c>
      <c r="AU124" s="80">
        <f t="shared" ca="1" si="28"/>
        <v>4152.1946267081184</v>
      </c>
      <c r="AV124" s="80">
        <f t="shared" ca="1" si="29"/>
        <v>940.78462670811859</v>
      </c>
      <c r="BC124" s="499">
        <f t="shared" ref="BC124:BC153" ca="1" si="39">AU124*BD$2</f>
        <v>15.851524909205748</v>
      </c>
      <c r="BD124" s="499">
        <f t="shared" ref="BD124:BD153" ca="1" si="40">+BC124+AV124</f>
        <v>956.63615161732434</v>
      </c>
    </row>
    <row r="125" spans="1:56" s="19" customFormat="1" ht="12" customHeight="1">
      <c r="A125" s="71" t="str">
        <f t="shared" ref="A125:A153" si="41">"PA-C"&amp;B125</f>
        <v>PA-CR2YDTPU</v>
      </c>
      <c r="B125" s="72" t="s">
        <v>225</v>
      </c>
      <c r="C125" s="72" t="s">
        <v>226</v>
      </c>
      <c r="D125" s="73">
        <v>40.36</v>
      </c>
      <c r="E125" s="192" t="s">
        <v>349</v>
      </c>
      <c r="F125" s="67"/>
      <c r="G125" s="75">
        <v>0</v>
      </c>
      <c r="H125" s="75">
        <v>0</v>
      </c>
      <c r="I125" s="75">
        <v>0</v>
      </c>
      <c r="J125" s="75">
        <v>40.36</v>
      </c>
      <c r="K125" s="75">
        <v>0</v>
      </c>
      <c r="L125" s="75">
        <v>0</v>
      </c>
      <c r="M125" s="75">
        <v>0</v>
      </c>
      <c r="N125" s="75">
        <v>0</v>
      </c>
      <c r="O125" s="75">
        <v>0</v>
      </c>
      <c r="P125" s="75">
        <v>121.08</v>
      </c>
      <c r="Q125" s="75">
        <v>0</v>
      </c>
      <c r="R125" s="75">
        <v>40.36</v>
      </c>
      <c r="S125" s="75">
        <f t="shared" ref="S125:S153" si="42">SUM(G125:R125)</f>
        <v>201.8</v>
      </c>
      <c r="T125" s="71">
        <v>33010</v>
      </c>
      <c r="V125" s="75">
        <f t="shared" si="37"/>
        <v>0</v>
      </c>
      <c r="W125" s="75">
        <f t="shared" si="37"/>
        <v>0</v>
      </c>
      <c r="X125" s="75">
        <f t="shared" si="37"/>
        <v>0</v>
      </c>
      <c r="Y125" s="75">
        <f t="shared" si="37"/>
        <v>1</v>
      </c>
      <c r="Z125" s="75">
        <f t="shared" si="37"/>
        <v>0</v>
      </c>
      <c r="AA125" s="75">
        <f t="shared" si="37"/>
        <v>0</v>
      </c>
      <c r="AB125" s="75">
        <f t="shared" si="35"/>
        <v>0</v>
      </c>
      <c r="AC125" s="75">
        <f t="shared" si="35"/>
        <v>0</v>
      </c>
      <c r="AD125" s="75">
        <f t="shared" si="35"/>
        <v>0</v>
      </c>
      <c r="AE125" s="75">
        <f t="shared" si="35"/>
        <v>3</v>
      </c>
      <c r="AF125" s="75">
        <f t="shared" si="35"/>
        <v>0</v>
      </c>
      <c r="AG125" s="75">
        <f t="shared" si="35"/>
        <v>1</v>
      </c>
      <c r="AH125" s="75">
        <f t="shared" si="38"/>
        <v>1.6666666666666667</v>
      </c>
      <c r="AI125" s="44"/>
      <c r="AJ125" s="193"/>
      <c r="AK125" s="43" t="s">
        <v>151</v>
      </c>
      <c r="AL125" s="5"/>
      <c r="AM125" s="5"/>
      <c r="AN125" s="1">
        <v>1</v>
      </c>
      <c r="AO125" s="137">
        <f>+AH125*AN125</f>
        <v>1.6666666666666667</v>
      </c>
      <c r="AP125" s="5"/>
      <c r="AQ125" s="5"/>
      <c r="AR125" s="210"/>
      <c r="AS125" s="194">
        <v>46.69</v>
      </c>
      <c r="AT125" s="195">
        <f t="shared" ca="1" si="30"/>
        <v>51.866967265356131</v>
      </c>
      <c r="AU125" s="80">
        <f t="shared" ref="AU125:AU154" ca="1" si="43">+AT125*AH125*12</f>
        <v>1037.3393453071226</v>
      </c>
      <c r="AV125" s="80">
        <f t="shared" ref="AV125:AV154" ca="1" si="44">+AU125-S125</f>
        <v>835.53934530712263</v>
      </c>
      <c r="BC125" s="499">
        <f t="shared" ca="1" si="39"/>
        <v>3.960173341987935</v>
      </c>
      <c r="BD125" s="499">
        <f t="shared" ca="1" si="40"/>
        <v>839.49951864911054</v>
      </c>
    </row>
    <row r="126" spans="1:56" s="134" customFormat="1" ht="12" customHeight="1">
      <c r="A126" s="5" t="str">
        <f t="shared" si="41"/>
        <v>PA-CR3YDRENTM</v>
      </c>
      <c r="B126" s="48" t="s">
        <v>413</v>
      </c>
      <c r="C126" s="48" t="s">
        <v>414</v>
      </c>
      <c r="D126" s="73">
        <v>10.119999999999999</v>
      </c>
      <c r="E126" s="192" t="s">
        <v>349</v>
      </c>
      <c r="F126" s="67"/>
      <c r="G126" s="68">
        <v>60.72</v>
      </c>
      <c r="H126" s="68">
        <v>62.4</v>
      </c>
      <c r="I126" s="68">
        <v>60.72</v>
      </c>
      <c r="J126" s="68">
        <v>60.72</v>
      </c>
      <c r="K126" s="68">
        <v>60.72</v>
      </c>
      <c r="L126" s="68">
        <v>70.84</v>
      </c>
      <c r="M126" s="68">
        <v>78.790000000000006</v>
      </c>
      <c r="N126" s="68">
        <v>72.790000000000006</v>
      </c>
      <c r="O126" s="68">
        <v>70.84</v>
      </c>
      <c r="P126" s="68">
        <v>70.84</v>
      </c>
      <c r="Q126" s="68">
        <v>70.84</v>
      </c>
      <c r="R126" s="68">
        <v>80.959999999999994</v>
      </c>
      <c r="S126" s="68">
        <f t="shared" si="42"/>
        <v>821.18000000000018</v>
      </c>
      <c r="T126" s="5">
        <v>33010</v>
      </c>
      <c r="V126" s="69">
        <f t="shared" si="37"/>
        <v>6</v>
      </c>
      <c r="W126" s="69">
        <f t="shared" si="37"/>
        <v>6.1660079051383399</v>
      </c>
      <c r="X126" s="69">
        <f t="shared" si="37"/>
        <v>6</v>
      </c>
      <c r="Y126" s="69">
        <f t="shared" si="37"/>
        <v>6</v>
      </c>
      <c r="Z126" s="69">
        <f t="shared" si="37"/>
        <v>6</v>
      </c>
      <c r="AA126" s="69">
        <f t="shared" si="37"/>
        <v>7.0000000000000009</v>
      </c>
      <c r="AB126" s="69">
        <f t="shared" si="35"/>
        <v>7.7855731225296454</v>
      </c>
      <c r="AC126" s="69">
        <f t="shared" si="35"/>
        <v>7.1926877470355741</v>
      </c>
      <c r="AD126" s="69">
        <f t="shared" si="35"/>
        <v>7.0000000000000009</v>
      </c>
      <c r="AE126" s="69">
        <f t="shared" si="35"/>
        <v>7.0000000000000009</v>
      </c>
      <c r="AF126" s="69">
        <f t="shared" si="35"/>
        <v>7.0000000000000009</v>
      </c>
      <c r="AG126" s="69">
        <f t="shared" si="35"/>
        <v>8</v>
      </c>
      <c r="AH126" s="68">
        <f t="shared" si="38"/>
        <v>6.7620223978919638</v>
      </c>
      <c r="AI126" s="44"/>
      <c r="AJ126" s="193"/>
      <c r="AK126" s="43"/>
      <c r="AL126" s="5"/>
      <c r="AM126" s="5"/>
      <c r="AN126" s="1"/>
      <c r="AO126" s="138"/>
      <c r="AP126" s="5"/>
      <c r="AQ126" s="5"/>
      <c r="AR126" s="210"/>
      <c r="AS126" s="194">
        <v>11.78</v>
      </c>
      <c r="AT126" s="195">
        <f t="shared" ref="AT126:AT153" ca="1" si="45">+AS126*(1+$AZ$2)</f>
        <v>13.086161370441106</v>
      </c>
      <c r="AU126" s="80">
        <f t="shared" ca="1" si="43"/>
        <v>1061.8669954722163</v>
      </c>
      <c r="AV126" s="80">
        <f t="shared" ca="1" si="44"/>
        <v>240.68699547221615</v>
      </c>
      <c r="BC126" s="499">
        <f t="shared" ca="1" si="39"/>
        <v>4.0538107295649501</v>
      </c>
      <c r="BD126" s="499">
        <f t="shared" ca="1" si="40"/>
        <v>244.74080620178111</v>
      </c>
    </row>
    <row r="127" spans="1:56" s="19" customFormat="1" ht="12" customHeight="1">
      <c r="A127" s="71" t="str">
        <f t="shared" si="41"/>
        <v>PA-CR4YD1W</v>
      </c>
      <c r="B127" s="72" t="s">
        <v>415</v>
      </c>
      <c r="C127" s="72" t="s">
        <v>416</v>
      </c>
      <c r="D127" s="73">
        <v>336.48</v>
      </c>
      <c r="E127" s="192" t="s">
        <v>349</v>
      </c>
      <c r="F127" s="67"/>
      <c r="G127" s="75">
        <v>0</v>
      </c>
      <c r="H127" s="75">
        <v>0</v>
      </c>
      <c r="I127" s="75">
        <v>0</v>
      </c>
      <c r="J127" s="75">
        <v>0</v>
      </c>
      <c r="K127" s="75">
        <v>0</v>
      </c>
      <c r="L127" s="75">
        <v>0</v>
      </c>
      <c r="M127" s="75">
        <v>84.12</v>
      </c>
      <c r="N127" s="75">
        <v>0</v>
      </c>
      <c r="O127" s="75">
        <v>0</v>
      </c>
      <c r="P127" s="75">
        <v>0</v>
      </c>
      <c r="Q127" s="75">
        <v>0</v>
      </c>
      <c r="R127" s="75">
        <v>0</v>
      </c>
      <c r="S127" s="75">
        <f t="shared" si="42"/>
        <v>84.12</v>
      </c>
      <c r="T127" s="71">
        <v>33010</v>
      </c>
      <c r="V127" s="75">
        <f t="shared" si="37"/>
        <v>0</v>
      </c>
      <c r="W127" s="75">
        <f t="shared" si="37"/>
        <v>0</v>
      </c>
      <c r="X127" s="75">
        <f t="shared" si="37"/>
        <v>0</v>
      </c>
      <c r="Y127" s="75">
        <f t="shared" si="37"/>
        <v>0</v>
      </c>
      <c r="Z127" s="75">
        <f t="shared" si="37"/>
        <v>0</v>
      </c>
      <c r="AA127" s="75">
        <f t="shared" si="37"/>
        <v>0</v>
      </c>
      <c r="AB127" s="75">
        <f t="shared" si="35"/>
        <v>0.25</v>
      </c>
      <c r="AC127" s="75">
        <f t="shared" si="35"/>
        <v>0</v>
      </c>
      <c r="AD127" s="75">
        <f t="shared" si="35"/>
        <v>0</v>
      </c>
      <c r="AE127" s="75">
        <f t="shared" si="35"/>
        <v>0</v>
      </c>
      <c r="AF127" s="75">
        <f t="shared" si="35"/>
        <v>0</v>
      </c>
      <c r="AG127" s="75">
        <f t="shared" si="35"/>
        <v>0</v>
      </c>
      <c r="AH127" s="75">
        <f t="shared" si="38"/>
        <v>0.25</v>
      </c>
      <c r="AI127" s="44"/>
      <c r="AJ127" s="193"/>
      <c r="AK127" s="43" t="s">
        <v>156</v>
      </c>
      <c r="AL127" s="5"/>
      <c r="AM127" s="5"/>
      <c r="AN127" s="1">
        <v>1</v>
      </c>
      <c r="AO127" s="137">
        <f>+AH127*AN127</f>
        <v>0.25</v>
      </c>
      <c r="AP127" s="5"/>
      <c r="AQ127" s="5"/>
      <c r="AR127" s="210"/>
      <c r="AS127" s="194">
        <f>89.68*4.33</f>
        <v>388.31440000000003</v>
      </c>
      <c r="AT127" s="195">
        <f t="shared" ca="1" si="45"/>
        <v>431.37053487826961</v>
      </c>
      <c r="AU127" s="80">
        <f t="shared" ca="1" si="43"/>
        <v>1294.1116046348088</v>
      </c>
      <c r="AV127" s="80">
        <f t="shared" ca="1" si="44"/>
        <v>1209.9916046348089</v>
      </c>
      <c r="BC127" s="499">
        <f t="shared" ca="1" si="39"/>
        <v>4.9404337176805742</v>
      </c>
      <c r="BD127" s="499">
        <f t="shared" ca="1" si="40"/>
        <v>1214.9320383524896</v>
      </c>
    </row>
    <row r="128" spans="1:56" s="134" customFormat="1" ht="12" customHeight="1">
      <c r="A128" s="5" t="str">
        <f t="shared" si="41"/>
        <v>PA-CR4YDRENTM</v>
      </c>
      <c r="B128" s="48" t="s">
        <v>417</v>
      </c>
      <c r="C128" s="48" t="s">
        <v>418</v>
      </c>
      <c r="D128" s="73">
        <v>11.25</v>
      </c>
      <c r="E128" s="192" t="s">
        <v>349</v>
      </c>
      <c r="F128" s="67"/>
      <c r="G128" s="68">
        <v>112.5</v>
      </c>
      <c r="H128" s="68">
        <v>118.3</v>
      </c>
      <c r="I128" s="68">
        <v>123.75</v>
      </c>
      <c r="J128" s="68">
        <v>112.5</v>
      </c>
      <c r="K128" s="68">
        <v>135</v>
      </c>
      <c r="L128" s="68">
        <v>135</v>
      </c>
      <c r="M128" s="68">
        <v>123.75</v>
      </c>
      <c r="N128" s="68">
        <v>123.75</v>
      </c>
      <c r="O128" s="68">
        <v>135</v>
      </c>
      <c r="P128" s="68">
        <v>146.25</v>
      </c>
      <c r="Q128" s="68">
        <v>146.25</v>
      </c>
      <c r="R128" s="68">
        <v>136.44999999999999</v>
      </c>
      <c r="S128" s="68">
        <f t="shared" si="42"/>
        <v>1548.5</v>
      </c>
      <c r="T128" s="5">
        <v>33010</v>
      </c>
      <c r="V128" s="69">
        <f t="shared" si="37"/>
        <v>10</v>
      </c>
      <c r="W128" s="69">
        <f t="shared" si="37"/>
        <v>10.515555555555554</v>
      </c>
      <c r="X128" s="69">
        <f t="shared" si="37"/>
        <v>11</v>
      </c>
      <c r="Y128" s="69">
        <f t="shared" si="37"/>
        <v>10</v>
      </c>
      <c r="Z128" s="69">
        <f t="shared" si="37"/>
        <v>12</v>
      </c>
      <c r="AA128" s="69">
        <f t="shared" si="37"/>
        <v>12</v>
      </c>
      <c r="AB128" s="69">
        <f t="shared" si="35"/>
        <v>11</v>
      </c>
      <c r="AC128" s="69">
        <f t="shared" si="35"/>
        <v>11</v>
      </c>
      <c r="AD128" s="69">
        <f t="shared" si="35"/>
        <v>12</v>
      </c>
      <c r="AE128" s="69">
        <f t="shared" si="35"/>
        <v>13</v>
      </c>
      <c r="AF128" s="69">
        <f t="shared" si="35"/>
        <v>13</v>
      </c>
      <c r="AG128" s="69">
        <f t="shared" si="35"/>
        <v>12.128888888888888</v>
      </c>
      <c r="AH128" s="68">
        <f t="shared" si="38"/>
        <v>11.47037037037037</v>
      </c>
      <c r="AI128" s="44"/>
      <c r="AJ128" s="193"/>
      <c r="AK128" s="43"/>
      <c r="AL128" s="5"/>
      <c r="AM128" s="5"/>
      <c r="AN128" s="1"/>
      <c r="AO128" s="138"/>
      <c r="AP128" s="5"/>
      <c r="AQ128" s="5"/>
      <c r="AR128" s="210"/>
      <c r="AS128" s="194">
        <v>13.1</v>
      </c>
      <c r="AT128" s="195">
        <f t="shared" ca="1" si="45"/>
        <v>14.552522406857257</v>
      </c>
      <c r="AU128" s="80">
        <f t="shared" ca="1" si="43"/>
        <v>2003.0738619571966</v>
      </c>
      <c r="AV128" s="80">
        <f t="shared" ca="1" si="44"/>
        <v>454.57386195719664</v>
      </c>
      <c r="BC128" s="499">
        <f t="shared" ca="1" si="39"/>
        <v>7.64698625000785</v>
      </c>
      <c r="BD128" s="499">
        <f t="shared" ca="1" si="40"/>
        <v>462.22084820720448</v>
      </c>
    </row>
    <row r="129" spans="1:56" s="19" customFormat="1" ht="12" customHeight="1">
      <c r="A129" s="71" t="str">
        <f t="shared" si="41"/>
        <v>PA-CR6YD1W</v>
      </c>
      <c r="B129" s="72" t="s">
        <v>419</v>
      </c>
      <c r="C129" s="72" t="s">
        <v>420</v>
      </c>
      <c r="D129" s="73">
        <v>470.45</v>
      </c>
      <c r="E129" s="192" t="s">
        <v>349</v>
      </c>
      <c r="F129" s="67"/>
      <c r="G129" s="75">
        <v>0</v>
      </c>
      <c r="H129" s="75">
        <v>0</v>
      </c>
      <c r="I129" s="75">
        <v>0</v>
      </c>
      <c r="J129" s="75">
        <v>0</v>
      </c>
      <c r="K129" s="75">
        <v>117.61</v>
      </c>
      <c r="L129" s="75">
        <v>470.45</v>
      </c>
      <c r="M129" s="75">
        <v>470.45</v>
      </c>
      <c r="N129" s="75">
        <v>470.45</v>
      </c>
      <c r="O129" s="75">
        <v>470.45</v>
      </c>
      <c r="P129" s="75">
        <v>470.45</v>
      </c>
      <c r="Q129" s="75">
        <v>470.45</v>
      </c>
      <c r="R129" s="75">
        <v>470.45</v>
      </c>
      <c r="S129" s="75">
        <f t="shared" si="42"/>
        <v>3410.7599999999998</v>
      </c>
      <c r="T129" s="71">
        <v>33010</v>
      </c>
      <c r="V129" s="75">
        <f t="shared" si="37"/>
        <v>0</v>
      </c>
      <c r="W129" s="75">
        <f t="shared" si="37"/>
        <v>0</v>
      </c>
      <c r="X129" s="75">
        <f t="shared" si="37"/>
        <v>0</v>
      </c>
      <c r="Y129" s="75">
        <f t="shared" si="37"/>
        <v>0</v>
      </c>
      <c r="Z129" s="75">
        <f t="shared" si="37"/>
        <v>0.24999468593899457</v>
      </c>
      <c r="AA129" s="75">
        <f t="shared" si="37"/>
        <v>1</v>
      </c>
      <c r="AB129" s="75">
        <f t="shared" si="35"/>
        <v>1</v>
      </c>
      <c r="AC129" s="75">
        <f t="shared" si="35"/>
        <v>1</v>
      </c>
      <c r="AD129" s="75">
        <f t="shared" si="35"/>
        <v>1</v>
      </c>
      <c r="AE129" s="75">
        <f t="shared" si="35"/>
        <v>1</v>
      </c>
      <c r="AF129" s="75">
        <f t="shared" si="35"/>
        <v>1</v>
      </c>
      <c r="AG129" s="75">
        <f t="shared" si="35"/>
        <v>1</v>
      </c>
      <c r="AH129" s="75">
        <f t="shared" si="38"/>
        <v>0.90624933574237432</v>
      </c>
      <c r="AI129" s="44"/>
      <c r="AJ129" s="193"/>
      <c r="AK129" s="43" t="s">
        <v>159</v>
      </c>
      <c r="AL129" s="5"/>
      <c r="AM129" s="5"/>
      <c r="AN129" s="1">
        <v>1</v>
      </c>
      <c r="AO129" s="137">
        <f>+AH129*AN129</f>
        <v>0.90624933574237432</v>
      </c>
      <c r="AP129" s="5"/>
      <c r="AQ129" s="5"/>
      <c r="AR129" s="210"/>
      <c r="AS129" s="194">
        <f>125.05*4.33</f>
        <v>541.4665</v>
      </c>
      <c r="AT129" s="195">
        <f t="shared" ca="1" si="45"/>
        <v>601.50407433683779</v>
      </c>
      <c r="AU129" s="80">
        <f t="shared" ca="1" si="43"/>
        <v>6541.3520137690921</v>
      </c>
      <c r="AV129" s="80">
        <f t="shared" ca="1" si="44"/>
        <v>3130.5920137690923</v>
      </c>
      <c r="BC129" s="499">
        <f t="shared" ca="1" si="39"/>
        <v>24.97243354614864</v>
      </c>
      <c r="BD129" s="499">
        <f t="shared" ca="1" si="40"/>
        <v>3155.5644473152411</v>
      </c>
    </row>
    <row r="130" spans="1:56" s="5" customFormat="1" ht="12" customHeight="1">
      <c r="A130" s="5" t="str">
        <f t="shared" si="41"/>
        <v>PA-CRDELTO8</v>
      </c>
      <c r="B130" s="48" t="s">
        <v>227</v>
      </c>
      <c r="C130" s="48" t="s">
        <v>228</v>
      </c>
      <c r="D130" s="73">
        <v>30.85</v>
      </c>
      <c r="E130" s="192">
        <v>15</v>
      </c>
      <c r="F130" s="67"/>
      <c r="G130" s="68">
        <v>0</v>
      </c>
      <c r="H130" s="68">
        <v>92.55</v>
      </c>
      <c r="I130" s="68">
        <v>30.85</v>
      </c>
      <c r="J130" s="68">
        <v>30.85</v>
      </c>
      <c r="K130" s="68">
        <v>123.4</v>
      </c>
      <c r="L130" s="68">
        <v>0</v>
      </c>
      <c r="M130" s="68">
        <v>30.85</v>
      </c>
      <c r="N130" s="68">
        <v>61.7</v>
      </c>
      <c r="O130" s="68">
        <v>0</v>
      </c>
      <c r="P130" s="68">
        <v>61.7</v>
      </c>
      <c r="Q130" s="68">
        <v>0</v>
      </c>
      <c r="R130" s="68">
        <v>30.85</v>
      </c>
      <c r="S130" s="68">
        <f t="shared" si="42"/>
        <v>462.75</v>
      </c>
      <c r="T130" s="5">
        <v>33010</v>
      </c>
      <c r="V130" s="69">
        <f t="shared" si="37"/>
        <v>0</v>
      </c>
      <c r="W130" s="69">
        <f t="shared" si="37"/>
        <v>2.9999999999999996</v>
      </c>
      <c r="X130" s="69">
        <f t="shared" si="37"/>
        <v>1</v>
      </c>
      <c r="Y130" s="69">
        <f t="shared" si="37"/>
        <v>1</v>
      </c>
      <c r="Z130" s="69">
        <f t="shared" si="37"/>
        <v>4</v>
      </c>
      <c r="AA130" s="69">
        <f t="shared" si="37"/>
        <v>0</v>
      </c>
      <c r="AB130" s="69">
        <f t="shared" si="35"/>
        <v>1</v>
      </c>
      <c r="AC130" s="69">
        <f t="shared" si="35"/>
        <v>2</v>
      </c>
      <c r="AD130" s="69">
        <f t="shared" si="35"/>
        <v>0</v>
      </c>
      <c r="AE130" s="69">
        <f t="shared" si="35"/>
        <v>2</v>
      </c>
      <c r="AF130" s="69">
        <f t="shared" si="35"/>
        <v>0</v>
      </c>
      <c r="AG130" s="69">
        <f t="shared" si="35"/>
        <v>1</v>
      </c>
      <c r="AH130" s="68">
        <f t="shared" si="38"/>
        <v>1.875</v>
      </c>
      <c r="AI130" s="44"/>
      <c r="AJ130" s="193"/>
      <c r="AK130" s="43"/>
      <c r="AN130" s="1"/>
      <c r="AO130" s="138"/>
      <c r="AR130" s="210"/>
      <c r="AS130" s="194">
        <v>30.85</v>
      </c>
      <c r="AT130" s="195">
        <f t="shared" ca="1" si="45"/>
        <v>34.270634828362319</v>
      </c>
      <c r="AU130" s="80">
        <f t="shared" ca="1" si="43"/>
        <v>771.08928363815221</v>
      </c>
      <c r="AV130" s="80">
        <f t="shared" ca="1" si="44"/>
        <v>308.33928363815221</v>
      </c>
      <c r="BC130" s="499">
        <f t="shared" ca="1" si="39"/>
        <v>2.9437302645185004</v>
      </c>
      <c r="BD130" s="499">
        <f t="shared" ca="1" si="40"/>
        <v>311.28301390267069</v>
      </c>
    </row>
    <row r="131" spans="1:56" s="134" customFormat="1" ht="12" customHeight="1">
      <c r="A131" s="5" t="str">
        <f t="shared" si="41"/>
        <v>PA-CCLOCKEOW</v>
      </c>
      <c r="B131" s="48" t="s">
        <v>229</v>
      </c>
      <c r="C131" s="48" t="s">
        <v>230</v>
      </c>
      <c r="D131" s="73">
        <v>2.4300000000000002</v>
      </c>
      <c r="E131" s="192" t="s">
        <v>349</v>
      </c>
      <c r="F131" s="67"/>
      <c r="G131" s="68">
        <v>70.47</v>
      </c>
      <c r="H131" s="68">
        <v>70.47</v>
      </c>
      <c r="I131" s="68">
        <v>68.040000000000006</v>
      </c>
      <c r="J131" s="68">
        <v>66.819999999999993</v>
      </c>
      <c r="K131" s="68">
        <v>68.040000000000006</v>
      </c>
      <c r="L131" s="68">
        <v>70.47</v>
      </c>
      <c r="M131" s="68">
        <v>71.680000000000007</v>
      </c>
      <c r="N131" s="68">
        <v>68.040000000000006</v>
      </c>
      <c r="O131" s="68">
        <v>68.040000000000006</v>
      </c>
      <c r="P131" s="68">
        <v>65.61</v>
      </c>
      <c r="Q131" s="68">
        <v>65.61</v>
      </c>
      <c r="R131" s="68">
        <v>66.819999999999993</v>
      </c>
      <c r="S131" s="68">
        <f t="shared" si="42"/>
        <v>820.11000000000013</v>
      </c>
      <c r="T131" s="5">
        <v>33011</v>
      </c>
      <c r="V131" s="69">
        <f t="shared" si="37"/>
        <v>28.999999999999996</v>
      </c>
      <c r="W131" s="69">
        <f t="shared" si="37"/>
        <v>28.999999999999996</v>
      </c>
      <c r="X131" s="69">
        <f t="shared" si="37"/>
        <v>28</v>
      </c>
      <c r="Y131" s="69">
        <f t="shared" si="37"/>
        <v>27.497942386831269</v>
      </c>
      <c r="Z131" s="69">
        <f t="shared" si="37"/>
        <v>28</v>
      </c>
      <c r="AA131" s="69">
        <f t="shared" si="37"/>
        <v>28.999999999999996</v>
      </c>
      <c r="AB131" s="69">
        <f t="shared" si="35"/>
        <v>29.497942386831276</v>
      </c>
      <c r="AC131" s="69">
        <f t="shared" si="35"/>
        <v>28</v>
      </c>
      <c r="AD131" s="69">
        <f t="shared" si="35"/>
        <v>28</v>
      </c>
      <c r="AE131" s="69">
        <f t="shared" si="35"/>
        <v>26.999999999999996</v>
      </c>
      <c r="AF131" s="69">
        <f t="shared" si="35"/>
        <v>26.999999999999996</v>
      </c>
      <c r="AG131" s="69">
        <f t="shared" si="35"/>
        <v>27.497942386831269</v>
      </c>
      <c r="AH131" s="68">
        <f t="shared" si="38"/>
        <v>28.124485596707814</v>
      </c>
      <c r="AI131" s="44"/>
      <c r="AJ131" s="193"/>
      <c r="AK131" s="43"/>
      <c r="AL131" s="5"/>
      <c r="AM131" s="5"/>
      <c r="AN131" s="1"/>
      <c r="AO131" s="138"/>
      <c r="AP131" s="5"/>
      <c r="AQ131" s="5"/>
      <c r="AR131" s="210"/>
      <c r="AS131" s="194">
        <v>2.4300000000000002</v>
      </c>
      <c r="AT131" s="195">
        <f t="shared" ca="1" si="45"/>
        <v>2.6994373624933692</v>
      </c>
      <c r="AU131" s="80">
        <f t="shared" ca="1" si="43"/>
        <v>911.0434466479162</v>
      </c>
      <c r="AV131" s="80">
        <f t="shared" ca="1" si="44"/>
        <v>90.933446647916071</v>
      </c>
      <c r="BC131" s="499">
        <f t="shared" ca="1" si="39"/>
        <v>3.4780228737392642</v>
      </c>
      <c r="BD131" s="499">
        <f t="shared" ca="1" si="40"/>
        <v>94.411469521655334</v>
      </c>
    </row>
    <row r="132" spans="1:56" s="19" customFormat="1" ht="12" customHeight="1">
      <c r="A132" s="71" t="str">
        <f t="shared" si="41"/>
        <v>PA-C96CW1</v>
      </c>
      <c r="B132" s="72" t="s">
        <v>231</v>
      </c>
      <c r="C132" s="72" t="s">
        <v>232</v>
      </c>
      <c r="D132" s="73">
        <v>43.2</v>
      </c>
      <c r="E132" s="192" t="s">
        <v>348</v>
      </c>
      <c r="F132" s="67"/>
      <c r="G132" s="75">
        <v>1425.86</v>
      </c>
      <c r="H132" s="75">
        <v>1425.86</v>
      </c>
      <c r="I132" s="75">
        <v>1468.8</v>
      </c>
      <c r="J132" s="75">
        <v>1468.8</v>
      </c>
      <c r="K132" s="75">
        <v>1436.4</v>
      </c>
      <c r="L132" s="75">
        <v>1414.8</v>
      </c>
      <c r="M132" s="75">
        <v>1425.6</v>
      </c>
      <c r="N132" s="75">
        <v>1425.6</v>
      </c>
      <c r="O132" s="75">
        <v>1425.6</v>
      </c>
      <c r="P132" s="75">
        <v>1425.6</v>
      </c>
      <c r="Q132" s="75">
        <v>1404</v>
      </c>
      <c r="R132" s="75">
        <v>1425.6</v>
      </c>
      <c r="S132" s="75">
        <f t="shared" si="42"/>
        <v>17172.52</v>
      </c>
      <c r="T132" s="71">
        <v>33010</v>
      </c>
      <c r="V132" s="75">
        <f t="shared" si="37"/>
        <v>33.006018518518516</v>
      </c>
      <c r="W132" s="75">
        <f t="shared" si="37"/>
        <v>33.006018518518516</v>
      </c>
      <c r="X132" s="75">
        <f t="shared" si="37"/>
        <v>34</v>
      </c>
      <c r="Y132" s="75">
        <f t="shared" si="37"/>
        <v>34</v>
      </c>
      <c r="Z132" s="75">
        <f t="shared" si="37"/>
        <v>33.25</v>
      </c>
      <c r="AA132" s="75">
        <f t="shared" si="37"/>
        <v>32.75</v>
      </c>
      <c r="AB132" s="75">
        <f t="shared" si="35"/>
        <v>32.999999999999993</v>
      </c>
      <c r="AC132" s="75">
        <f t="shared" si="35"/>
        <v>32.999999999999993</v>
      </c>
      <c r="AD132" s="75">
        <f t="shared" si="35"/>
        <v>32.999999999999993</v>
      </c>
      <c r="AE132" s="75">
        <f t="shared" si="35"/>
        <v>32.999999999999993</v>
      </c>
      <c r="AF132" s="75">
        <f t="shared" si="35"/>
        <v>32.5</v>
      </c>
      <c r="AG132" s="75">
        <f t="shared" si="35"/>
        <v>32.999999999999993</v>
      </c>
      <c r="AH132" s="75">
        <f t="shared" si="38"/>
        <v>33.12600308641975</v>
      </c>
      <c r="AI132" s="44"/>
      <c r="AJ132" s="193"/>
      <c r="AK132" s="43">
        <v>96</v>
      </c>
      <c r="AL132" s="5">
        <v>1</v>
      </c>
      <c r="AM132" s="5">
        <f>+AH132*AL132</f>
        <v>33.12600308641975</v>
      </c>
      <c r="AN132" s="1"/>
      <c r="AO132" s="137"/>
      <c r="AP132" s="5"/>
      <c r="AQ132" s="5"/>
      <c r="AR132" s="210"/>
      <c r="AS132" s="194">
        <f>11.3*4.33</f>
        <v>48.929000000000002</v>
      </c>
      <c r="AT132" s="195">
        <f t="shared" ca="1" si="45"/>
        <v>54.354226629398376</v>
      </c>
      <c r="AU132" s="80">
        <f t="shared" ca="1" si="43"/>
        <v>21606.45934902491</v>
      </c>
      <c r="AV132" s="80">
        <f t="shared" ca="1" si="44"/>
        <v>4433.9393490249095</v>
      </c>
      <c r="BC132" s="499">
        <f t="shared" ca="1" si="39"/>
        <v>82.48537444940095</v>
      </c>
      <c r="BD132" s="499">
        <f t="shared" ca="1" si="40"/>
        <v>4516.4247234743107</v>
      </c>
    </row>
    <row r="133" spans="1:56" s="134" customFormat="1" ht="12" customHeight="1">
      <c r="A133" s="5" t="str">
        <f t="shared" si="41"/>
        <v>PA-CCGATE</v>
      </c>
      <c r="B133" s="48" t="s">
        <v>233</v>
      </c>
      <c r="C133" s="48" t="s">
        <v>234</v>
      </c>
      <c r="D133" s="73">
        <v>2.5299999999999998</v>
      </c>
      <c r="E133" s="192">
        <v>19</v>
      </c>
      <c r="F133" s="67"/>
      <c r="G133" s="68">
        <v>68.3</v>
      </c>
      <c r="H133" s="68">
        <v>68.31</v>
      </c>
      <c r="I133" s="68">
        <v>70.84</v>
      </c>
      <c r="J133" s="68">
        <v>74.63</v>
      </c>
      <c r="K133" s="68">
        <v>75.900000000000006</v>
      </c>
      <c r="L133" s="68">
        <v>75.900000000000006</v>
      </c>
      <c r="M133" s="68">
        <v>75.900000000000006</v>
      </c>
      <c r="N133" s="68">
        <v>75.900000000000006</v>
      </c>
      <c r="O133" s="68">
        <v>75.900000000000006</v>
      </c>
      <c r="P133" s="68">
        <v>75.900000000000006</v>
      </c>
      <c r="Q133" s="68">
        <v>77.790000000000006</v>
      </c>
      <c r="R133" s="68">
        <v>79.69</v>
      </c>
      <c r="S133" s="68">
        <f t="shared" si="42"/>
        <v>894.95999999999981</v>
      </c>
      <c r="T133" s="5">
        <v>33011</v>
      </c>
      <c r="V133" s="69">
        <f t="shared" si="37"/>
        <v>26.996047430830039</v>
      </c>
      <c r="W133" s="69">
        <f t="shared" si="37"/>
        <v>27.000000000000004</v>
      </c>
      <c r="X133" s="69">
        <f t="shared" si="37"/>
        <v>28.000000000000004</v>
      </c>
      <c r="Y133" s="69">
        <f t="shared" si="37"/>
        <v>29.49802371541502</v>
      </c>
      <c r="Z133" s="69">
        <f t="shared" si="37"/>
        <v>30.000000000000004</v>
      </c>
      <c r="AA133" s="69">
        <f t="shared" si="37"/>
        <v>30.000000000000004</v>
      </c>
      <c r="AB133" s="69">
        <f t="shared" si="35"/>
        <v>30.000000000000004</v>
      </c>
      <c r="AC133" s="69">
        <f t="shared" si="35"/>
        <v>30.000000000000004</v>
      </c>
      <c r="AD133" s="69">
        <f t="shared" si="35"/>
        <v>30.000000000000004</v>
      </c>
      <c r="AE133" s="69">
        <f t="shared" si="35"/>
        <v>30.000000000000004</v>
      </c>
      <c r="AF133" s="69">
        <f t="shared" si="35"/>
        <v>30.747035573122535</v>
      </c>
      <c r="AG133" s="69">
        <f t="shared" si="35"/>
        <v>31.49802371541502</v>
      </c>
      <c r="AH133" s="68">
        <f t="shared" si="38"/>
        <v>29.478260869565219</v>
      </c>
      <c r="AI133" s="44"/>
      <c r="AJ133" s="193"/>
      <c r="AK133" s="43"/>
      <c r="AL133" s="5"/>
      <c r="AM133" s="5"/>
      <c r="AN133" s="1"/>
      <c r="AO133" s="138"/>
      <c r="AP133" s="5"/>
      <c r="AQ133" s="5"/>
      <c r="AR133" s="210"/>
      <c r="AS133" s="194">
        <v>2.5299999999999998</v>
      </c>
      <c r="AT133" s="195">
        <f t="shared" ca="1" si="45"/>
        <v>2.8105253197976228</v>
      </c>
      <c r="AU133" s="80">
        <f t="shared" ca="1" si="43"/>
        <v>994.19278269015035</v>
      </c>
      <c r="AV133" s="80">
        <f t="shared" ca="1" si="44"/>
        <v>99.232782690150543</v>
      </c>
      <c r="BC133" s="499">
        <f t="shared" ca="1" si="39"/>
        <v>3.7954559157694607</v>
      </c>
      <c r="BD133" s="499">
        <f t="shared" ca="1" si="40"/>
        <v>103.02823860592001</v>
      </c>
    </row>
    <row r="134" spans="1:56" s="19" customFormat="1" ht="12" customHeight="1">
      <c r="A134" s="71" t="str">
        <f t="shared" si="41"/>
        <v>PA-C35CW1</v>
      </c>
      <c r="B134" s="72" t="s">
        <v>235</v>
      </c>
      <c r="C134" s="72" t="s">
        <v>236</v>
      </c>
      <c r="D134" s="73">
        <v>25.98</v>
      </c>
      <c r="E134" s="192" t="s">
        <v>348</v>
      </c>
      <c r="F134" s="67"/>
      <c r="G134" s="75">
        <v>279.27999999999997</v>
      </c>
      <c r="H134" s="75">
        <v>285.77999999999997</v>
      </c>
      <c r="I134" s="75">
        <v>285.77999999999997</v>
      </c>
      <c r="J134" s="75">
        <v>285.77999999999997</v>
      </c>
      <c r="K134" s="75">
        <v>285.77999999999997</v>
      </c>
      <c r="L134" s="75">
        <v>285.77999999999997</v>
      </c>
      <c r="M134" s="75">
        <v>285.77999999999997</v>
      </c>
      <c r="N134" s="75">
        <v>285.77999999999997</v>
      </c>
      <c r="O134" s="75">
        <v>285.77999999999997</v>
      </c>
      <c r="P134" s="75">
        <v>285.77999999999997</v>
      </c>
      <c r="Q134" s="75">
        <v>285.77999999999997</v>
      </c>
      <c r="R134" s="75">
        <v>292.27</v>
      </c>
      <c r="S134" s="75">
        <f t="shared" si="42"/>
        <v>3429.349999999999</v>
      </c>
      <c r="T134" s="71">
        <v>33010</v>
      </c>
      <c r="V134" s="75">
        <f t="shared" si="37"/>
        <v>10.749807544264819</v>
      </c>
      <c r="W134" s="75">
        <f t="shared" si="37"/>
        <v>10.999999999999998</v>
      </c>
      <c r="X134" s="75">
        <f t="shared" si="37"/>
        <v>10.999999999999998</v>
      </c>
      <c r="Y134" s="75">
        <f t="shared" si="37"/>
        <v>10.999999999999998</v>
      </c>
      <c r="Z134" s="75">
        <f t="shared" si="37"/>
        <v>10.999999999999998</v>
      </c>
      <c r="AA134" s="75">
        <f t="shared" si="37"/>
        <v>10.999999999999998</v>
      </c>
      <c r="AB134" s="75">
        <f t="shared" si="35"/>
        <v>10.999999999999998</v>
      </c>
      <c r="AC134" s="75">
        <f t="shared" si="35"/>
        <v>10.999999999999998</v>
      </c>
      <c r="AD134" s="75">
        <f t="shared" si="35"/>
        <v>10.999999999999998</v>
      </c>
      <c r="AE134" s="75">
        <f t="shared" si="35"/>
        <v>10.999999999999998</v>
      </c>
      <c r="AF134" s="75">
        <f t="shared" si="35"/>
        <v>10.999999999999998</v>
      </c>
      <c r="AG134" s="75">
        <f t="shared" si="35"/>
        <v>11.249807544264819</v>
      </c>
      <c r="AH134" s="75">
        <f t="shared" si="38"/>
        <v>10.999967924044135</v>
      </c>
      <c r="AI134" s="44"/>
      <c r="AJ134" s="193"/>
      <c r="AK134" s="7">
        <v>35</v>
      </c>
      <c r="AL134" s="1">
        <v>1</v>
      </c>
      <c r="AM134" s="137">
        <f>+AL134*AH134</f>
        <v>10.999967924044135</v>
      </c>
      <c r="AN134" s="1"/>
      <c r="AO134" s="137"/>
      <c r="AP134"/>
      <c r="AQ134" s="131"/>
      <c r="AR134" s="210"/>
      <c r="AS134" s="194">
        <f>4.33*6.72</f>
        <v>29.0976</v>
      </c>
      <c r="AT134" s="195">
        <f t="shared" ca="1" si="45"/>
        <v>32.323929464562575</v>
      </c>
      <c r="AU134" s="80">
        <f t="shared" ca="1" si="43"/>
        <v>4266.746247471041</v>
      </c>
      <c r="AV134" s="80">
        <f t="shared" ca="1" si="44"/>
        <v>837.39624747104199</v>
      </c>
      <c r="BC134" s="499">
        <f t="shared" ca="1" si="39"/>
        <v>16.28884012035541</v>
      </c>
      <c r="BD134" s="499">
        <f t="shared" ca="1" si="40"/>
        <v>853.68508759139741</v>
      </c>
    </row>
    <row r="135" spans="1:56" s="19" customFormat="1" ht="12" customHeight="1">
      <c r="A135" s="71" t="str">
        <f t="shared" si="41"/>
        <v>PA-C60CW1</v>
      </c>
      <c r="B135" s="72" t="s">
        <v>237</v>
      </c>
      <c r="C135" s="72" t="s">
        <v>238</v>
      </c>
      <c r="D135" s="73">
        <v>33.21</v>
      </c>
      <c r="E135" s="192" t="s">
        <v>348</v>
      </c>
      <c r="F135" s="67"/>
      <c r="G135" s="75">
        <v>1062.72</v>
      </c>
      <c r="H135" s="75">
        <v>1087.6199999999999</v>
      </c>
      <c r="I135" s="75">
        <v>1112.53</v>
      </c>
      <c r="J135" s="75">
        <v>1129.1400000000001</v>
      </c>
      <c r="K135" s="75">
        <v>1129.1400000000001</v>
      </c>
      <c r="L135" s="75">
        <v>1129.1400000000001</v>
      </c>
      <c r="M135" s="75">
        <v>1129.1400000000001</v>
      </c>
      <c r="N135" s="75">
        <v>1129.1400000000001</v>
      </c>
      <c r="O135" s="75">
        <v>1129.1400000000001</v>
      </c>
      <c r="P135" s="75">
        <v>1129.1400000000001</v>
      </c>
      <c r="Q135" s="75">
        <v>1129.1400000000001</v>
      </c>
      <c r="R135" s="75">
        <v>1095.93</v>
      </c>
      <c r="S135" s="75">
        <f t="shared" si="42"/>
        <v>13391.92</v>
      </c>
      <c r="T135" s="71">
        <v>33010</v>
      </c>
      <c r="V135" s="75">
        <f t="shared" si="37"/>
        <v>32</v>
      </c>
      <c r="W135" s="75">
        <f t="shared" si="37"/>
        <v>32.749774164408308</v>
      </c>
      <c r="X135" s="75">
        <f t="shared" si="37"/>
        <v>33.499849442938874</v>
      </c>
      <c r="Y135" s="75">
        <f t="shared" si="37"/>
        <v>34</v>
      </c>
      <c r="Z135" s="75">
        <f t="shared" si="37"/>
        <v>34</v>
      </c>
      <c r="AA135" s="75">
        <f t="shared" si="37"/>
        <v>34</v>
      </c>
      <c r="AB135" s="75">
        <f t="shared" si="35"/>
        <v>34</v>
      </c>
      <c r="AC135" s="75">
        <f t="shared" si="35"/>
        <v>34</v>
      </c>
      <c r="AD135" s="75">
        <f t="shared" si="35"/>
        <v>34</v>
      </c>
      <c r="AE135" s="75">
        <f t="shared" si="35"/>
        <v>34</v>
      </c>
      <c r="AF135" s="75">
        <f t="shared" si="35"/>
        <v>34</v>
      </c>
      <c r="AG135" s="75">
        <f t="shared" si="35"/>
        <v>33</v>
      </c>
      <c r="AH135" s="75">
        <f t="shared" si="38"/>
        <v>33.604135300612263</v>
      </c>
      <c r="AI135" s="44"/>
      <c r="AJ135" s="193"/>
      <c r="AK135" s="7">
        <v>60</v>
      </c>
      <c r="AL135" s="1">
        <v>1</v>
      </c>
      <c r="AM135" s="137">
        <f>+AL135*AH135</f>
        <v>33.604135300612263</v>
      </c>
      <c r="AN135" s="1"/>
      <c r="AO135" s="137"/>
      <c r="AP135" s="5"/>
      <c r="AQ135" s="5"/>
      <c r="AR135" s="210"/>
      <c r="AS135" s="194">
        <f>4.33*8.59</f>
        <v>37.194699999999997</v>
      </c>
      <c r="AT135" s="195">
        <f t="shared" ca="1" si="45"/>
        <v>41.31883245544531</v>
      </c>
      <c r="AU135" s="80">
        <f t="shared" ca="1" si="43"/>
        <v>16661.803635553362</v>
      </c>
      <c r="AV135" s="80">
        <f t="shared" ca="1" si="44"/>
        <v>3269.8836355533622</v>
      </c>
      <c r="BC135" s="499">
        <f t="shared" ca="1" si="39"/>
        <v>63.608529730857235</v>
      </c>
      <c r="BD135" s="499">
        <f t="shared" ca="1" si="40"/>
        <v>3333.4921652842195</v>
      </c>
    </row>
    <row r="136" spans="1:56" s="19" customFormat="1" ht="12" customHeight="1">
      <c r="A136" s="71" t="str">
        <f t="shared" si="41"/>
        <v>PA-C60CW2</v>
      </c>
      <c r="B136" s="72" t="s">
        <v>421</v>
      </c>
      <c r="C136" s="72" t="s">
        <v>422</v>
      </c>
      <c r="D136" s="73">
        <v>66.42</v>
      </c>
      <c r="E136" s="192" t="s">
        <v>348</v>
      </c>
      <c r="F136" s="67"/>
      <c r="G136" s="75">
        <v>66.42</v>
      </c>
      <c r="H136" s="75">
        <v>66.42</v>
      </c>
      <c r="I136" s="75">
        <v>66.42</v>
      </c>
      <c r="J136" s="75">
        <v>66.42</v>
      </c>
      <c r="K136" s="75">
        <v>66.42</v>
      </c>
      <c r="L136" s="75">
        <v>66.42</v>
      </c>
      <c r="M136" s="75">
        <v>66.42</v>
      </c>
      <c r="N136" s="75">
        <v>66.42</v>
      </c>
      <c r="O136" s="75">
        <v>66.42</v>
      </c>
      <c r="P136" s="75">
        <v>66.42</v>
      </c>
      <c r="Q136" s="75">
        <v>66.42</v>
      </c>
      <c r="R136" s="75">
        <v>66.42</v>
      </c>
      <c r="S136" s="75">
        <f t="shared" si="42"/>
        <v>797.03999999999985</v>
      </c>
      <c r="T136" s="71">
        <v>33010</v>
      </c>
      <c r="V136" s="75">
        <f t="shared" si="37"/>
        <v>1</v>
      </c>
      <c r="W136" s="75">
        <f t="shared" si="37"/>
        <v>1</v>
      </c>
      <c r="X136" s="75">
        <f t="shared" si="37"/>
        <v>1</v>
      </c>
      <c r="Y136" s="75">
        <f t="shared" si="37"/>
        <v>1</v>
      </c>
      <c r="Z136" s="75">
        <f t="shared" si="37"/>
        <v>1</v>
      </c>
      <c r="AA136" s="75">
        <f t="shared" si="37"/>
        <v>1</v>
      </c>
      <c r="AB136" s="75">
        <f t="shared" si="35"/>
        <v>1</v>
      </c>
      <c r="AC136" s="75">
        <f t="shared" si="35"/>
        <v>1</v>
      </c>
      <c r="AD136" s="75">
        <f t="shared" si="35"/>
        <v>1</v>
      </c>
      <c r="AE136" s="75">
        <f t="shared" si="35"/>
        <v>1</v>
      </c>
      <c r="AF136" s="75">
        <f t="shared" si="35"/>
        <v>1</v>
      </c>
      <c r="AG136" s="75">
        <f t="shared" si="35"/>
        <v>1</v>
      </c>
      <c r="AH136" s="75">
        <f t="shared" si="38"/>
        <v>1</v>
      </c>
      <c r="AI136" s="44"/>
      <c r="AJ136" s="193"/>
      <c r="AK136" s="7">
        <v>60</v>
      </c>
      <c r="AL136" s="1">
        <v>2</v>
      </c>
      <c r="AM136" s="137">
        <f>+AL136*AH136</f>
        <v>2</v>
      </c>
      <c r="AN136" s="1"/>
      <c r="AO136" s="137"/>
      <c r="AP136" s="1"/>
      <c r="AQ136" s="1"/>
      <c r="AR136" s="210"/>
      <c r="AS136" s="194">
        <f>4.33*8.59*2</f>
        <v>74.389399999999995</v>
      </c>
      <c r="AT136" s="195">
        <f t="shared" ca="1" si="45"/>
        <v>82.637664910890621</v>
      </c>
      <c r="AU136" s="80">
        <f t="shared" ca="1" si="43"/>
        <v>991.65197893068739</v>
      </c>
      <c r="AV136" s="80">
        <f t="shared" ca="1" si="44"/>
        <v>194.61197893068754</v>
      </c>
      <c r="BC136" s="499">
        <f t="shared" ca="1" si="39"/>
        <v>3.785756078044257</v>
      </c>
      <c r="BD136" s="499">
        <f t="shared" ca="1" si="40"/>
        <v>198.39773500873179</v>
      </c>
    </row>
    <row r="137" spans="1:56" s="5" customFormat="1" ht="12" customHeight="1">
      <c r="A137" s="5" t="str">
        <f t="shared" si="41"/>
        <v>PA-CCCARRYOUT OVER 25</v>
      </c>
      <c r="B137" s="72" t="s">
        <v>423</v>
      </c>
      <c r="C137" s="72" t="s">
        <v>424</v>
      </c>
      <c r="D137" s="73">
        <v>0.83</v>
      </c>
      <c r="E137" s="192">
        <v>19</v>
      </c>
      <c r="F137" s="67"/>
      <c r="G137" s="68">
        <v>3.32</v>
      </c>
      <c r="H137" s="68">
        <v>3.32</v>
      </c>
      <c r="I137" s="68">
        <v>3.32</v>
      </c>
      <c r="J137" s="68">
        <v>3.32</v>
      </c>
      <c r="K137" s="68">
        <v>3.32</v>
      </c>
      <c r="L137" s="68">
        <v>3.32</v>
      </c>
      <c r="M137" s="68">
        <v>3.32</v>
      </c>
      <c r="N137" s="68">
        <v>3.32</v>
      </c>
      <c r="O137" s="68">
        <v>3.32</v>
      </c>
      <c r="P137" s="68">
        <v>3.32</v>
      </c>
      <c r="Q137" s="68">
        <v>3.32</v>
      </c>
      <c r="R137" s="68">
        <v>3.32</v>
      </c>
      <c r="S137" s="68">
        <f t="shared" si="42"/>
        <v>39.839999999999996</v>
      </c>
      <c r="T137" s="5">
        <v>33010</v>
      </c>
      <c r="V137" s="69">
        <f t="shared" si="37"/>
        <v>4</v>
      </c>
      <c r="W137" s="69">
        <f t="shared" si="37"/>
        <v>4</v>
      </c>
      <c r="X137" s="69">
        <f t="shared" si="37"/>
        <v>4</v>
      </c>
      <c r="Y137" s="69">
        <f t="shared" si="37"/>
        <v>4</v>
      </c>
      <c r="Z137" s="69">
        <f t="shared" si="37"/>
        <v>4</v>
      </c>
      <c r="AA137" s="69">
        <f t="shared" si="37"/>
        <v>4</v>
      </c>
      <c r="AB137" s="69">
        <f t="shared" si="35"/>
        <v>4</v>
      </c>
      <c r="AC137" s="69">
        <f t="shared" si="35"/>
        <v>4</v>
      </c>
      <c r="AD137" s="69">
        <f t="shared" si="35"/>
        <v>4</v>
      </c>
      <c r="AE137" s="69">
        <f t="shared" si="35"/>
        <v>4</v>
      </c>
      <c r="AF137" s="69">
        <f t="shared" si="35"/>
        <v>4</v>
      </c>
      <c r="AG137" s="69">
        <f t="shared" si="35"/>
        <v>4</v>
      </c>
      <c r="AH137" s="68">
        <f t="shared" si="38"/>
        <v>4</v>
      </c>
      <c r="AI137" s="44"/>
      <c r="AJ137" s="193"/>
      <c r="AK137" s="7"/>
      <c r="AL137" s="1"/>
      <c r="AM137" s="1"/>
      <c r="AN137" s="58"/>
      <c r="AO137" s="59"/>
      <c r="AP137" s="1"/>
      <c r="AQ137" s="1"/>
      <c r="AR137" s="210"/>
      <c r="AS137" s="194">
        <v>0.83</v>
      </c>
      <c r="AT137" s="195">
        <f t="shared" ca="1" si="45"/>
        <v>0.9220300456253071</v>
      </c>
      <c r="AU137" s="80">
        <f t="shared" ca="1" si="43"/>
        <v>44.257442190014743</v>
      </c>
      <c r="AV137" s="80">
        <f t="shared" ca="1" si="44"/>
        <v>4.4174421900147465</v>
      </c>
      <c r="BC137" s="499">
        <f t="shared" ca="1" si="39"/>
        <v>0.16895834862368744</v>
      </c>
      <c r="BD137" s="499">
        <f t="shared" ca="1" si="40"/>
        <v>4.5864005386384337</v>
      </c>
    </row>
    <row r="138" spans="1:56" s="134" customFormat="1" ht="12" customHeight="1">
      <c r="A138" s="5" t="str">
        <f t="shared" si="41"/>
        <v>PA-CCGATEEOW</v>
      </c>
      <c r="B138" s="72" t="s">
        <v>239</v>
      </c>
      <c r="C138" s="72" t="s">
        <v>240</v>
      </c>
      <c r="D138" s="73">
        <f>1.12*2.17</f>
        <v>2.4304000000000001</v>
      </c>
      <c r="E138" s="192" t="s">
        <v>348</v>
      </c>
      <c r="F138" s="67"/>
      <c r="G138" s="68">
        <v>9.7200000000000006</v>
      </c>
      <c r="H138" s="68">
        <v>9.7200000000000006</v>
      </c>
      <c r="I138" s="68">
        <v>9.7200000000000006</v>
      </c>
      <c r="J138" s="68">
        <v>9.7200000000000006</v>
      </c>
      <c r="K138" s="68">
        <v>9.7200000000000006</v>
      </c>
      <c r="L138" s="68">
        <v>9.7200000000000006</v>
      </c>
      <c r="M138" s="68">
        <v>9.7200000000000006</v>
      </c>
      <c r="N138" s="68">
        <v>9.7200000000000006</v>
      </c>
      <c r="O138" s="68">
        <v>9.7200000000000006</v>
      </c>
      <c r="P138" s="68">
        <v>9.7200000000000006</v>
      </c>
      <c r="Q138" s="68">
        <v>10.93</v>
      </c>
      <c r="R138" s="68">
        <v>12.15</v>
      </c>
      <c r="S138" s="68">
        <f t="shared" si="42"/>
        <v>120.28</v>
      </c>
      <c r="T138" s="5">
        <v>33010</v>
      </c>
      <c r="U138" s="5"/>
      <c r="V138" s="69">
        <f t="shared" si="37"/>
        <v>3.999341672152732</v>
      </c>
      <c r="W138" s="69">
        <f t="shared" si="37"/>
        <v>3.999341672152732</v>
      </c>
      <c r="X138" s="69">
        <f t="shared" si="37"/>
        <v>3.999341672152732</v>
      </c>
      <c r="Y138" s="69">
        <f t="shared" si="37"/>
        <v>3.999341672152732</v>
      </c>
      <c r="Z138" s="69">
        <f t="shared" si="37"/>
        <v>3.999341672152732</v>
      </c>
      <c r="AA138" s="69">
        <f t="shared" si="37"/>
        <v>3.999341672152732</v>
      </c>
      <c r="AB138" s="69">
        <f t="shared" si="35"/>
        <v>3.999341672152732</v>
      </c>
      <c r="AC138" s="69">
        <f t="shared" si="35"/>
        <v>3.999341672152732</v>
      </c>
      <c r="AD138" s="69">
        <f t="shared" si="35"/>
        <v>3.999341672152732</v>
      </c>
      <c r="AE138" s="69">
        <f t="shared" si="35"/>
        <v>3.999341672152732</v>
      </c>
      <c r="AF138" s="69">
        <f t="shared" si="35"/>
        <v>4.4972021066491106</v>
      </c>
      <c r="AG138" s="69">
        <f t="shared" si="35"/>
        <v>4.9991770901909147</v>
      </c>
      <c r="AH138" s="68">
        <f t="shared" si="38"/>
        <v>4.1241496598639449</v>
      </c>
      <c r="AI138" s="44"/>
      <c r="AJ138" s="193"/>
      <c r="AK138" s="7"/>
      <c r="AL138" s="1"/>
      <c r="AM138" s="1"/>
      <c r="AN138" s="58"/>
      <c r="AO138" s="59"/>
      <c r="AP138" s="1"/>
      <c r="AQ138" s="1"/>
      <c r="AR138" s="210"/>
      <c r="AS138" s="194">
        <v>2.4300000000000002</v>
      </c>
      <c r="AT138" s="195">
        <f t="shared" ca="1" si="45"/>
        <v>2.6994373624933692</v>
      </c>
      <c r="AU138" s="80">
        <f t="shared" ca="1" si="43"/>
        <v>133.59460416421263</v>
      </c>
      <c r="AV138" s="80">
        <f t="shared" ca="1" si="44"/>
        <v>13.314604164212625</v>
      </c>
      <c r="BC138" s="499">
        <f t="shared" ca="1" si="39"/>
        <v>0.51001419394528835</v>
      </c>
      <c r="BD138" s="499">
        <f t="shared" ca="1" si="40"/>
        <v>13.824618358157913</v>
      </c>
    </row>
    <row r="139" spans="1:56" s="19" customFormat="1" ht="12" customHeight="1">
      <c r="A139" s="71" t="str">
        <f t="shared" si="41"/>
        <v>PA-CR1YDEOW</v>
      </c>
      <c r="B139" s="72" t="s">
        <v>245</v>
      </c>
      <c r="C139" s="72" t="s">
        <v>246</v>
      </c>
      <c r="D139" s="73">
        <v>47.07</v>
      </c>
      <c r="E139" s="192" t="s">
        <v>349</v>
      </c>
      <c r="F139" s="67"/>
      <c r="G139" s="75">
        <v>47.07</v>
      </c>
      <c r="H139" s="75">
        <v>47.07</v>
      </c>
      <c r="I139" s="75">
        <v>0</v>
      </c>
      <c r="J139" s="75">
        <v>94.14</v>
      </c>
      <c r="K139" s="75">
        <v>94.14</v>
      </c>
      <c r="L139" s="75">
        <v>94.14</v>
      </c>
      <c r="M139" s="75">
        <v>94.14</v>
      </c>
      <c r="N139" s="75">
        <v>94.14</v>
      </c>
      <c r="O139" s="75">
        <v>94.14</v>
      </c>
      <c r="P139" s="75">
        <v>94.14</v>
      </c>
      <c r="Q139" s="75">
        <v>94.14</v>
      </c>
      <c r="R139" s="75">
        <v>117.67</v>
      </c>
      <c r="S139" s="75">
        <f t="shared" si="42"/>
        <v>964.93</v>
      </c>
      <c r="T139" s="71">
        <v>33010</v>
      </c>
      <c r="V139" s="75">
        <f t="shared" si="37"/>
        <v>1</v>
      </c>
      <c r="W139" s="75">
        <f t="shared" si="37"/>
        <v>1</v>
      </c>
      <c r="X139" s="75">
        <f t="shared" si="37"/>
        <v>0</v>
      </c>
      <c r="Y139" s="75">
        <f t="shared" si="37"/>
        <v>2</v>
      </c>
      <c r="Z139" s="75">
        <f t="shared" si="37"/>
        <v>2</v>
      </c>
      <c r="AA139" s="75">
        <f t="shared" si="37"/>
        <v>2</v>
      </c>
      <c r="AB139" s="75">
        <f t="shared" si="35"/>
        <v>2</v>
      </c>
      <c r="AC139" s="75">
        <f t="shared" si="35"/>
        <v>2</v>
      </c>
      <c r="AD139" s="75">
        <f t="shared" si="35"/>
        <v>2</v>
      </c>
      <c r="AE139" s="75">
        <f t="shared" si="35"/>
        <v>2</v>
      </c>
      <c r="AF139" s="75">
        <f t="shared" si="35"/>
        <v>2</v>
      </c>
      <c r="AG139" s="75">
        <f t="shared" si="35"/>
        <v>2.4998937752283834</v>
      </c>
      <c r="AH139" s="75">
        <f t="shared" si="38"/>
        <v>1.8636267068389438</v>
      </c>
      <c r="AI139" s="44"/>
      <c r="AJ139" s="193"/>
      <c r="AK139" s="7" t="s">
        <v>167</v>
      </c>
      <c r="AL139" s="59"/>
      <c r="AM139" s="1"/>
      <c r="AN139" s="1">
        <v>1</v>
      </c>
      <c r="AO139" s="137">
        <f>+AH139*AN139</f>
        <v>1.8636267068389438</v>
      </c>
      <c r="AP139" s="1"/>
      <c r="AQ139" s="1"/>
      <c r="AR139" s="210"/>
      <c r="AS139" s="194">
        <f>2.17*25.11</f>
        <v>54.488699999999994</v>
      </c>
      <c r="AT139" s="195">
        <f t="shared" ca="1" si="45"/>
        <v>60.530383791642976</v>
      </c>
      <c r="AU139" s="80">
        <f t="shared" ca="1" si="43"/>
        <v>1353.6724777118038</v>
      </c>
      <c r="AV139" s="80">
        <f t="shared" ca="1" si="44"/>
        <v>388.74247771180387</v>
      </c>
      <c r="BC139" s="499">
        <f t="shared" ca="1" si="39"/>
        <v>5.1678148373229691</v>
      </c>
      <c r="BD139" s="499">
        <f t="shared" ca="1" si="40"/>
        <v>393.91029254912684</v>
      </c>
    </row>
    <row r="140" spans="1:56" s="19" customFormat="1" ht="12" customHeight="1">
      <c r="A140" s="71" t="str">
        <f t="shared" si="41"/>
        <v>PA-CR2YD1M</v>
      </c>
      <c r="B140" s="72" t="s">
        <v>247</v>
      </c>
      <c r="C140" s="72" t="s">
        <v>248</v>
      </c>
      <c r="D140" s="73">
        <v>42.82</v>
      </c>
      <c r="E140" s="192" t="s">
        <v>349</v>
      </c>
      <c r="F140" s="67"/>
      <c r="G140" s="75">
        <v>0</v>
      </c>
      <c r="H140" s="75">
        <v>42.82</v>
      </c>
      <c r="I140" s="75">
        <v>42.82</v>
      </c>
      <c r="J140" s="75">
        <v>42.82</v>
      </c>
      <c r="K140" s="75">
        <v>42.82</v>
      </c>
      <c r="L140" s="75">
        <v>42.82</v>
      </c>
      <c r="M140" s="75">
        <v>42.82</v>
      </c>
      <c r="N140" s="75">
        <v>42.82</v>
      </c>
      <c r="O140" s="75">
        <v>85.64</v>
      </c>
      <c r="P140" s="75">
        <v>85.64</v>
      </c>
      <c r="Q140" s="75">
        <v>128.46</v>
      </c>
      <c r="R140" s="75">
        <v>128.46</v>
      </c>
      <c r="S140" s="75">
        <f t="shared" si="42"/>
        <v>727.94</v>
      </c>
      <c r="T140" s="71">
        <v>33010</v>
      </c>
      <c r="V140" s="75">
        <f t="shared" si="37"/>
        <v>0</v>
      </c>
      <c r="W140" s="75">
        <f t="shared" si="37"/>
        <v>1</v>
      </c>
      <c r="X140" s="75">
        <f t="shared" si="37"/>
        <v>1</v>
      </c>
      <c r="Y140" s="75">
        <f t="shared" si="37"/>
        <v>1</v>
      </c>
      <c r="Z140" s="75">
        <f t="shared" si="37"/>
        <v>1</v>
      </c>
      <c r="AA140" s="75">
        <f t="shared" si="37"/>
        <v>1</v>
      </c>
      <c r="AB140" s="75">
        <f t="shared" si="35"/>
        <v>1</v>
      </c>
      <c r="AC140" s="75">
        <f t="shared" si="35"/>
        <v>1</v>
      </c>
      <c r="AD140" s="75">
        <f t="shared" si="35"/>
        <v>2</v>
      </c>
      <c r="AE140" s="75">
        <f t="shared" si="35"/>
        <v>2</v>
      </c>
      <c r="AF140" s="75">
        <f t="shared" si="35"/>
        <v>3</v>
      </c>
      <c r="AG140" s="75">
        <f t="shared" si="35"/>
        <v>3</v>
      </c>
      <c r="AH140" s="75">
        <f t="shared" si="38"/>
        <v>1.5454545454545454</v>
      </c>
      <c r="AI140" s="44"/>
      <c r="AJ140" s="193"/>
      <c r="AK140" s="7" t="s">
        <v>151</v>
      </c>
      <c r="AL140" s="59"/>
      <c r="AM140" s="1"/>
      <c r="AN140" s="1">
        <v>1</v>
      </c>
      <c r="AO140" s="137">
        <f>+AH140*AN140</f>
        <v>1.5454545454545454</v>
      </c>
      <c r="AP140" s="1"/>
      <c r="AQ140" s="1"/>
      <c r="AR140" s="210"/>
      <c r="AS140" s="194">
        <v>49.15</v>
      </c>
      <c r="AT140" s="195">
        <f t="shared" ca="1" si="45"/>
        <v>54.599731015040774</v>
      </c>
      <c r="AU140" s="80">
        <f t="shared" ca="1" si="43"/>
        <v>1012.5768297334835</v>
      </c>
      <c r="AV140" s="80">
        <f t="shared" ca="1" si="44"/>
        <v>284.63682973348341</v>
      </c>
      <c r="BC140" s="499">
        <f t="shared" ca="1" si="39"/>
        <v>3.8656393261917317</v>
      </c>
      <c r="BD140" s="499">
        <f t="shared" ca="1" si="40"/>
        <v>288.50246905967515</v>
      </c>
    </row>
    <row r="141" spans="1:56" s="19" customFormat="1" ht="12" customHeight="1">
      <c r="A141" s="71" t="str">
        <f t="shared" si="41"/>
        <v>PA-CR2YDEOW</v>
      </c>
      <c r="B141" s="72" t="s">
        <v>249</v>
      </c>
      <c r="C141" s="72" t="s">
        <v>250</v>
      </c>
      <c r="D141" s="73">
        <v>92.92</v>
      </c>
      <c r="E141" s="192" t="s">
        <v>349</v>
      </c>
      <c r="F141" s="67"/>
      <c r="G141" s="75">
        <v>0</v>
      </c>
      <c r="H141" s="75">
        <v>0</v>
      </c>
      <c r="I141" s="75">
        <v>0</v>
      </c>
      <c r="J141" s="75">
        <v>0</v>
      </c>
      <c r="K141" s="75">
        <v>0</v>
      </c>
      <c r="L141" s="75">
        <v>0</v>
      </c>
      <c r="M141" s="75">
        <v>0</v>
      </c>
      <c r="N141" s="75">
        <v>0</v>
      </c>
      <c r="O141" s="75">
        <v>0</v>
      </c>
      <c r="P141" s="75">
        <v>0</v>
      </c>
      <c r="Q141" s="75">
        <v>0</v>
      </c>
      <c r="R141" s="75">
        <v>46.46</v>
      </c>
      <c r="S141" s="75">
        <f t="shared" si="42"/>
        <v>46.46</v>
      </c>
      <c r="T141" s="71">
        <v>33010</v>
      </c>
      <c r="V141" s="75">
        <f t="shared" si="37"/>
        <v>0</v>
      </c>
      <c r="W141" s="75">
        <f t="shared" si="37"/>
        <v>0</v>
      </c>
      <c r="X141" s="75">
        <f t="shared" si="37"/>
        <v>0</v>
      </c>
      <c r="Y141" s="75">
        <f t="shared" si="37"/>
        <v>0</v>
      </c>
      <c r="Z141" s="75">
        <f t="shared" si="37"/>
        <v>0</v>
      </c>
      <c r="AA141" s="75">
        <f t="shared" si="37"/>
        <v>0</v>
      </c>
      <c r="AB141" s="75">
        <f t="shared" si="35"/>
        <v>0</v>
      </c>
      <c r="AC141" s="75">
        <f t="shared" si="35"/>
        <v>0</v>
      </c>
      <c r="AD141" s="75">
        <f t="shared" si="35"/>
        <v>0</v>
      </c>
      <c r="AE141" s="75">
        <f t="shared" si="35"/>
        <v>0</v>
      </c>
      <c r="AF141" s="75">
        <f t="shared" si="35"/>
        <v>0</v>
      </c>
      <c r="AG141" s="75">
        <f t="shared" si="35"/>
        <v>0.5</v>
      </c>
      <c r="AH141" s="75">
        <f t="shared" si="38"/>
        <v>0.5</v>
      </c>
      <c r="AI141" s="44"/>
      <c r="AJ141" s="193"/>
      <c r="AK141" s="7" t="s">
        <v>151</v>
      </c>
      <c r="AL141" s="59"/>
      <c r="AM141" s="1"/>
      <c r="AN141" s="1">
        <v>1</v>
      </c>
      <c r="AO141" s="137">
        <f>+AH141*AN141</f>
        <v>0.5</v>
      </c>
      <c r="AP141" s="1"/>
      <c r="AQ141" s="1"/>
      <c r="AR141" s="210"/>
      <c r="AS141" s="194">
        <f>+AS140*2.17</f>
        <v>106.65549999999999</v>
      </c>
      <c r="AT141" s="195">
        <f t="shared" ca="1" si="45"/>
        <v>118.48141630263848</v>
      </c>
      <c r="AU141" s="80">
        <f t="shared" ca="1" si="43"/>
        <v>710.88849781583087</v>
      </c>
      <c r="AV141" s="80">
        <f t="shared" ca="1" si="44"/>
        <v>664.42849781583084</v>
      </c>
      <c r="BC141" s="499">
        <f t="shared" ca="1" si="39"/>
        <v>2.713906197535195</v>
      </c>
      <c r="BD141" s="499">
        <f t="shared" ca="1" si="40"/>
        <v>667.14240401336599</v>
      </c>
    </row>
    <row r="142" spans="1:56" s="19" customFormat="1" ht="12" customHeight="1">
      <c r="A142" s="71" t="str">
        <f t="shared" si="41"/>
        <v>PA-CR4YDEOW</v>
      </c>
      <c r="B142" s="72" t="s">
        <v>425</v>
      </c>
      <c r="C142" s="72" t="s">
        <v>426</v>
      </c>
      <c r="D142" s="73">
        <v>168.63</v>
      </c>
      <c r="E142" s="192" t="s">
        <v>349</v>
      </c>
      <c r="F142" s="67"/>
      <c r="G142" s="75">
        <v>168.63</v>
      </c>
      <c r="H142" s="75">
        <v>0</v>
      </c>
      <c r="I142" s="75">
        <v>0</v>
      </c>
      <c r="J142" s="75">
        <v>0</v>
      </c>
      <c r="K142" s="75">
        <v>0</v>
      </c>
      <c r="L142" s="75">
        <v>0</v>
      </c>
      <c r="M142" s="75">
        <v>0</v>
      </c>
      <c r="N142" s="75">
        <v>0</v>
      </c>
      <c r="O142" s="75">
        <v>0</v>
      </c>
      <c r="P142" s="75">
        <v>0</v>
      </c>
      <c r="Q142" s="75">
        <v>0</v>
      </c>
      <c r="R142" s="75">
        <v>0</v>
      </c>
      <c r="S142" s="75">
        <f t="shared" si="42"/>
        <v>168.63</v>
      </c>
      <c r="T142" s="71">
        <v>33010</v>
      </c>
      <c r="V142" s="75">
        <f t="shared" si="37"/>
        <v>1</v>
      </c>
      <c r="W142" s="75">
        <f t="shared" si="37"/>
        <v>0</v>
      </c>
      <c r="X142" s="75">
        <f t="shared" si="37"/>
        <v>0</v>
      </c>
      <c r="Y142" s="75">
        <f t="shared" si="37"/>
        <v>0</v>
      </c>
      <c r="Z142" s="75">
        <f t="shared" si="37"/>
        <v>0</v>
      </c>
      <c r="AA142" s="75">
        <f t="shared" si="37"/>
        <v>0</v>
      </c>
      <c r="AB142" s="75">
        <f t="shared" si="37"/>
        <v>0</v>
      </c>
      <c r="AC142" s="75">
        <f t="shared" si="37"/>
        <v>0</v>
      </c>
      <c r="AD142" s="75">
        <f t="shared" si="37"/>
        <v>0</v>
      </c>
      <c r="AE142" s="75">
        <f t="shared" si="37"/>
        <v>0</v>
      </c>
      <c r="AF142" s="75">
        <f t="shared" si="37"/>
        <v>0</v>
      </c>
      <c r="AG142" s="75">
        <f t="shared" si="37"/>
        <v>0</v>
      </c>
      <c r="AH142" s="75">
        <f t="shared" si="38"/>
        <v>1</v>
      </c>
      <c r="AI142" s="44"/>
      <c r="AJ142" s="193"/>
      <c r="AK142" s="7" t="s">
        <v>156</v>
      </c>
      <c r="AL142" s="59"/>
      <c r="AM142" s="1"/>
      <c r="AN142" s="1">
        <v>1</v>
      </c>
      <c r="AO142" s="137">
        <f>+AH142*AN142</f>
        <v>1</v>
      </c>
      <c r="AP142" s="1"/>
      <c r="AQ142" s="1"/>
      <c r="AR142" s="210"/>
      <c r="AS142" s="194">
        <f>89.68*2.17</f>
        <v>194.60560000000001</v>
      </c>
      <c r="AT142" s="195">
        <f t="shared" ca="1" si="45"/>
        <v>216.18338583968708</v>
      </c>
      <c r="AU142" s="80">
        <f t="shared" ca="1" si="43"/>
        <v>2594.200630076245</v>
      </c>
      <c r="AV142" s="80">
        <f t="shared" ca="1" si="44"/>
        <v>2425.5706300762449</v>
      </c>
      <c r="BC142" s="499">
        <f t="shared" ca="1" si="39"/>
        <v>9.9036869906391178</v>
      </c>
      <c r="BD142" s="499">
        <f t="shared" ca="1" si="40"/>
        <v>2435.4743170668839</v>
      </c>
    </row>
    <row r="143" spans="1:56" s="5" customFormat="1" ht="12" customHeight="1">
      <c r="A143" s="5" t="str">
        <f t="shared" si="41"/>
        <v>PA-CCTRIP</v>
      </c>
      <c r="B143" s="48" t="s">
        <v>251</v>
      </c>
      <c r="C143" s="48" t="s">
        <v>252</v>
      </c>
      <c r="D143" s="73">
        <v>9.91</v>
      </c>
      <c r="E143" s="192">
        <v>17</v>
      </c>
      <c r="F143" s="67"/>
      <c r="G143" s="68">
        <v>9.91</v>
      </c>
      <c r="H143" s="68">
        <v>0</v>
      </c>
      <c r="I143" s="68">
        <v>19.82</v>
      </c>
      <c r="J143" s="68">
        <v>9.91</v>
      </c>
      <c r="K143" s="68">
        <v>0</v>
      </c>
      <c r="L143" s="68">
        <v>9.91</v>
      </c>
      <c r="M143" s="68">
        <v>9.91</v>
      </c>
      <c r="N143" s="68">
        <v>0</v>
      </c>
      <c r="O143" s="68">
        <v>14.870000000000001</v>
      </c>
      <c r="P143" s="68">
        <v>4.95</v>
      </c>
      <c r="Q143" s="68">
        <v>9.91</v>
      </c>
      <c r="R143" s="68">
        <v>9.91</v>
      </c>
      <c r="S143" s="68">
        <f t="shared" si="42"/>
        <v>99.1</v>
      </c>
      <c r="T143" s="5">
        <v>33011</v>
      </c>
      <c r="V143" s="69">
        <f t="shared" si="37"/>
        <v>1</v>
      </c>
      <c r="W143" s="69">
        <f t="shared" si="37"/>
        <v>0</v>
      </c>
      <c r="X143" s="69">
        <f t="shared" si="37"/>
        <v>2</v>
      </c>
      <c r="Y143" s="69">
        <f t="shared" si="37"/>
        <v>1</v>
      </c>
      <c r="Z143" s="69">
        <f t="shared" si="37"/>
        <v>0</v>
      </c>
      <c r="AA143" s="69">
        <f t="shared" si="37"/>
        <v>1</v>
      </c>
      <c r="AB143" s="69">
        <f t="shared" si="37"/>
        <v>1</v>
      </c>
      <c r="AC143" s="69">
        <f t="shared" si="37"/>
        <v>0</v>
      </c>
      <c r="AD143" s="69">
        <f t="shared" si="37"/>
        <v>1.5005045408678104</v>
      </c>
      <c r="AE143" s="69">
        <f t="shared" si="37"/>
        <v>0.49949545913218973</v>
      </c>
      <c r="AF143" s="69">
        <f t="shared" si="37"/>
        <v>1</v>
      </c>
      <c r="AG143" s="69">
        <f t="shared" si="37"/>
        <v>1</v>
      </c>
      <c r="AH143" s="68">
        <f t="shared" si="38"/>
        <v>1.1111111111111112</v>
      </c>
      <c r="AI143" s="44"/>
      <c r="AJ143" s="193"/>
      <c r="AK143" s="7"/>
      <c r="AL143" s="59"/>
      <c r="AM143" s="1"/>
      <c r="AN143" s="58"/>
      <c r="AO143" s="59"/>
      <c r="AP143" s="1"/>
      <c r="AQ143" s="1"/>
      <c r="AR143" s="210"/>
      <c r="AS143" s="194">
        <v>9.91</v>
      </c>
      <c r="AT143" s="195">
        <f t="shared" ca="1" si="45"/>
        <v>11.008816568851559</v>
      </c>
      <c r="AU143" s="80">
        <f t="shared" ca="1" si="43"/>
        <v>146.78422091802079</v>
      </c>
      <c r="AV143" s="80">
        <f t="shared" ca="1" si="44"/>
        <v>47.684220918020799</v>
      </c>
      <c r="BC143" s="499">
        <f t="shared" ca="1" si="39"/>
        <v>0.56036721380881616</v>
      </c>
      <c r="BD143" s="499">
        <f t="shared" ca="1" si="40"/>
        <v>48.244588131829616</v>
      </c>
    </row>
    <row r="144" spans="1:56" s="5" customFormat="1" ht="12" customHeight="1">
      <c r="A144" s="5" t="str">
        <f t="shared" si="41"/>
        <v>PA-CR2YDRENTTD</v>
      </c>
      <c r="B144" s="48" t="s">
        <v>253</v>
      </c>
      <c r="C144" s="48" t="s">
        <v>254</v>
      </c>
      <c r="D144" s="73">
        <v>0.82</v>
      </c>
      <c r="E144" s="192" t="s">
        <v>349</v>
      </c>
      <c r="F144" s="67"/>
      <c r="G144" s="68">
        <v>146.78</v>
      </c>
      <c r="H144" s="68">
        <v>130.38</v>
      </c>
      <c r="I144" s="68">
        <v>106.6</v>
      </c>
      <c r="J144" s="68">
        <v>101.68</v>
      </c>
      <c r="K144" s="68">
        <v>63.14</v>
      </c>
      <c r="L144" s="68">
        <v>75.44</v>
      </c>
      <c r="M144" s="68">
        <v>52.48</v>
      </c>
      <c r="N144" s="68">
        <v>96.76</v>
      </c>
      <c r="O144" s="68">
        <v>115.62</v>
      </c>
      <c r="P144" s="68">
        <v>125.46</v>
      </c>
      <c r="Q144" s="68">
        <v>103.32</v>
      </c>
      <c r="R144" s="68">
        <v>82.82</v>
      </c>
      <c r="S144" s="68">
        <f t="shared" si="42"/>
        <v>1200.48</v>
      </c>
      <c r="T144" s="5">
        <v>33010</v>
      </c>
      <c r="V144" s="69">
        <f t="shared" si="37"/>
        <v>179</v>
      </c>
      <c r="W144" s="69">
        <f t="shared" si="37"/>
        <v>159</v>
      </c>
      <c r="X144" s="69">
        <f t="shared" si="37"/>
        <v>130</v>
      </c>
      <c r="Y144" s="69">
        <f t="shared" si="37"/>
        <v>124.00000000000001</v>
      </c>
      <c r="Z144" s="69">
        <f t="shared" si="37"/>
        <v>77</v>
      </c>
      <c r="AA144" s="69">
        <f t="shared" si="37"/>
        <v>92</v>
      </c>
      <c r="AB144" s="69">
        <f t="shared" si="37"/>
        <v>64</v>
      </c>
      <c r="AC144" s="69">
        <f t="shared" si="37"/>
        <v>118.00000000000001</v>
      </c>
      <c r="AD144" s="69">
        <f t="shared" si="37"/>
        <v>141</v>
      </c>
      <c r="AE144" s="69">
        <f t="shared" si="37"/>
        <v>153</v>
      </c>
      <c r="AF144" s="69">
        <f t="shared" si="37"/>
        <v>126</v>
      </c>
      <c r="AG144" s="69">
        <f t="shared" si="37"/>
        <v>101</v>
      </c>
      <c r="AH144" s="68">
        <f t="shared" si="38"/>
        <v>122</v>
      </c>
      <c r="AI144" s="44"/>
      <c r="AJ144" s="193"/>
      <c r="AK144" s="7"/>
      <c r="AL144" s="59"/>
      <c r="AM144" s="1"/>
      <c r="AN144" s="58"/>
      <c r="AO144" s="59"/>
      <c r="AP144" s="1"/>
      <c r="AQ144" s="1"/>
      <c r="AR144" s="210"/>
      <c r="AS144" s="194">
        <v>0.95</v>
      </c>
      <c r="AT144" s="195">
        <f t="shared" ca="1" si="45"/>
        <v>1.0553355943904117</v>
      </c>
      <c r="AU144" s="80">
        <f t="shared" ca="1" si="43"/>
        <v>1545.0113101875627</v>
      </c>
      <c r="AV144" s="80">
        <f t="shared" ca="1" si="44"/>
        <v>344.53131018756267</v>
      </c>
      <c r="BC144" s="499">
        <f t="shared" ca="1" si="39"/>
        <v>5.898274881170293</v>
      </c>
      <c r="BD144" s="499">
        <f t="shared" ca="1" si="40"/>
        <v>350.42958506873293</v>
      </c>
    </row>
    <row r="145" spans="1:56" s="5" customFormat="1" ht="12" customHeight="1">
      <c r="A145" s="5" t="str">
        <f t="shared" si="41"/>
        <v>PA-CR3YDRENTTD</v>
      </c>
      <c r="B145" s="48" t="s">
        <v>427</v>
      </c>
      <c r="C145" s="48" t="s">
        <v>428</v>
      </c>
      <c r="D145" s="73">
        <v>0.95</v>
      </c>
      <c r="E145" s="192" t="s">
        <v>349</v>
      </c>
      <c r="F145" s="67"/>
      <c r="G145" s="68">
        <v>68.400000000000006</v>
      </c>
      <c r="H145" s="68">
        <v>56.05</v>
      </c>
      <c r="I145" s="68">
        <v>36.1</v>
      </c>
      <c r="J145" s="68">
        <v>42.75</v>
      </c>
      <c r="K145" s="68">
        <v>29.45</v>
      </c>
      <c r="L145" s="68">
        <v>48.45</v>
      </c>
      <c r="M145" s="68">
        <v>26.6</v>
      </c>
      <c r="N145" s="68">
        <v>43.7</v>
      </c>
      <c r="O145" s="68">
        <v>54.15</v>
      </c>
      <c r="P145" s="68">
        <v>37.049999999999997</v>
      </c>
      <c r="Q145" s="68">
        <v>49.4</v>
      </c>
      <c r="R145" s="68">
        <v>84.55</v>
      </c>
      <c r="S145" s="68">
        <f t="shared" si="42"/>
        <v>576.65</v>
      </c>
      <c r="T145" s="5">
        <v>33010</v>
      </c>
      <c r="V145" s="69">
        <f t="shared" si="37"/>
        <v>72.000000000000014</v>
      </c>
      <c r="W145" s="69">
        <f t="shared" si="37"/>
        <v>59</v>
      </c>
      <c r="X145" s="69">
        <f t="shared" si="37"/>
        <v>38</v>
      </c>
      <c r="Y145" s="69">
        <f t="shared" si="37"/>
        <v>45</v>
      </c>
      <c r="Z145" s="69">
        <f t="shared" si="37"/>
        <v>31</v>
      </c>
      <c r="AA145" s="69">
        <f t="shared" si="37"/>
        <v>51.000000000000007</v>
      </c>
      <c r="AB145" s="69">
        <f t="shared" si="37"/>
        <v>28.000000000000004</v>
      </c>
      <c r="AC145" s="69">
        <f t="shared" si="37"/>
        <v>46.000000000000007</v>
      </c>
      <c r="AD145" s="69">
        <f t="shared" si="37"/>
        <v>57</v>
      </c>
      <c r="AE145" s="69">
        <f t="shared" si="37"/>
        <v>39</v>
      </c>
      <c r="AF145" s="69">
        <f t="shared" si="37"/>
        <v>52</v>
      </c>
      <c r="AG145" s="69">
        <f t="shared" si="37"/>
        <v>89</v>
      </c>
      <c r="AH145" s="68">
        <f t="shared" si="38"/>
        <v>50.583333333333336</v>
      </c>
      <c r="AI145" s="44"/>
      <c r="AJ145" s="193"/>
      <c r="AK145" s="7"/>
      <c r="AL145" s="59"/>
      <c r="AM145" s="1"/>
      <c r="AN145" s="58"/>
      <c r="AO145" s="59"/>
      <c r="AP145" s="1"/>
      <c r="AQ145" s="1"/>
      <c r="AR145" s="210"/>
      <c r="AS145" s="194">
        <v>1.1100000000000001</v>
      </c>
      <c r="AT145" s="195">
        <f t="shared" ca="1" si="45"/>
        <v>1.2330763260772182</v>
      </c>
      <c r="AU145" s="80">
        <f t="shared" ca="1" si="43"/>
        <v>748.47732992887143</v>
      </c>
      <c r="AV145" s="80">
        <f t="shared" ca="1" si="44"/>
        <v>171.82732992887145</v>
      </c>
      <c r="BC145" s="499">
        <f t="shared" ca="1" si="39"/>
        <v>2.8574062889603895</v>
      </c>
      <c r="BD145" s="499">
        <f t="shared" ca="1" si="40"/>
        <v>174.68473621783184</v>
      </c>
    </row>
    <row r="146" spans="1:56" s="5" customFormat="1" ht="12" customHeight="1">
      <c r="A146" s="5" t="str">
        <f t="shared" si="41"/>
        <v>PA-CR4YDRENTTD</v>
      </c>
      <c r="B146" s="48" t="s">
        <v>429</v>
      </c>
      <c r="C146" s="48" t="s">
        <v>430</v>
      </c>
      <c r="D146" s="73">
        <v>1.1000000000000001</v>
      </c>
      <c r="E146" s="192" t="s">
        <v>349</v>
      </c>
      <c r="F146" s="67"/>
      <c r="G146" s="68">
        <v>299.2</v>
      </c>
      <c r="H146" s="68">
        <v>286</v>
      </c>
      <c r="I146" s="68">
        <v>243.1</v>
      </c>
      <c r="J146" s="68">
        <v>268.39999999999998</v>
      </c>
      <c r="K146" s="68">
        <v>306.89999999999998</v>
      </c>
      <c r="L146" s="68">
        <v>278.3</v>
      </c>
      <c r="M146" s="68">
        <v>215.6</v>
      </c>
      <c r="N146" s="68">
        <v>196.9</v>
      </c>
      <c r="O146" s="68">
        <v>166.1</v>
      </c>
      <c r="P146" s="68">
        <v>-24.2</v>
      </c>
      <c r="Q146" s="68">
        <v>116.6</v>
      </c>
      <c r="R146" s="68">
        <v>193.6</v>
      </c>
      <c r="S146" s="68">
        <f t="shared" si="42"/>
        <v>2546.4999999999995</v>
      </c>
      <c r="T146" s="5">
        <v>33010</v>
      </c>
      <c r="V146" s="69">
        <f t="shared" si="37"/>
        <v>271.99999999999994</v>
      </c>
      <c r="W146" s="69">
        <f t="shared" si="37"/>
        <v>260</v>
      </c>
      <c r="X146" s="69">
        <f t="shared" si="37"/>
        <v>220.99999999999997</v>
      </c>
      <c r="Y146" s="69">
        <f t="shared" si="37"/>
        <v>243.99999999999997</v>
      </c>
      <c r="Z146" s="69">
        <f t="shared" si="37"/>
        <v>278.99999999999994</v>
      </c>
      <c r="AA146" s="69">
        <f t="shared" si="37"/>
        <v>253</v>
      </c>
      <c r="AB146" s="69">
        <f t="shared" si="37"/>
        <v>195.99999999999997</v>
      </c>
      <c r="AC146" s="69">
        <f t="shared" si="37"/>
        <v>179</v>
      </c>
      <c r="AD146" s="69">
        <f t="shared" si="37"/>
        <v>150.99999999999997</v>
      </c>
      <c r="AE146" s="69">
        <f t="shared" si="37"/>
        <v>-21.999999999999996</v>
      </c>
      <c r="AF146" s="69">
        <f t="shared" si="37"/>
        <v>105.99999999999999</v>
      </c>
      <c r="AG146" s="69">
        <f t="shared" si="37"/>
        <v>175.99999999999997</v>
      </c>
      <c r="AH146" s="68">
        <f t="shared" si="38"/>
        <v>212.45454545454547</v>
      </c>
      <c r="AI146" s="44"/>
      <c r="AJ146" s="193"/>
      <c r="AK146" s="7"/>
      <c r="AL146" s="59"/>
      <c r="AM146" s="1"/>
      <c r="AN146" s="58"/>
      <c r="AO146" s="59"/>
      <c r="AP146" s="1"/>
      <c r="AQ146" s="1"/>
      <c r="AR146" s="210"/>
      <c r="AS146" s="194">
        <v>1.28</v>
      </c>
      <c r="AT146" s="195">
        <f t="shared" ca="1" si="45"/>
        <v>1.4219258534944497</v>
      </c>
      <c r="AU146" s="80">
        <f t="shared" ca="1" si="43"/>
        <v>3625.1353304907593</v>
      </c>
      <c r="AV146" s="80">
        <f t="shared" ca="1" si="44"/>
        <v>1078.6353304907598</v>
      </c>
      <c r="BC146" s="499">
        <f t="shared" ca="1" si="39"/>
        <v>13.839409795699721</v>
      </c>
      <c r="BD146" s="499">
        <f t="shared" ca="1" si="40"/>
        <v>1092.4747402864596</v>
      </c>
    </row>
    <row r="147" spans="1:56" s="5" customFormat="1" ht="12" customHeight="1">
      <c r="A147" s="5" t="str">
        <f t="shared" si="41"/>
        <v>PA-CR1.5YDRENTTD</v>
      </c>
      <c r="B147" s="48" t="s">
        <v>205</v>
      </c>
      <c r="C147" s="48" t="s">
        <v>206</v>
      </c>
      <c r="D147" s="73">
        <v>0.77</v>
      </c>
      <c r="E147" s="192" t="s">
        <v>349</v>
      </c>
      <c r="F147" s="67"/>
      <c r="G147" s="68">
        <v>87.78</v>
      </c>
      <c r="H147" s="68">
        <v>64.680000000000007</v>
      </c>
      <c r="I147" s="68">
        <v>50.05</v>
      </c>
      <c r="J147" s="68">
        <v>46.2</v>
      </c>
      <c r="K147" s="68">
        <v>47.74</v>
      </c>
      <c r="L147" s="68">
        <v>37.729999999999997</v>
      </c>
      <c r="M147" s="68">
        <v>6.93</v>
      </c>
      <c r="N147" s="68">
        <v>7.7</v>
      </c>
      <c r="O147" s="68">
        <v>23.1</v>
      </c>
      <c r="P147" s="68">
        <v>23.87</v>
      </c>
      <c r="Q147" s="68">
        <v>16.170000000000002</v>
      </c>
      <c r="R147" s="68">
        <v>26.18</v>
      </c>
      <c r="S147" s="68">
        <f t="shared" si="42"/>
        <v>438.13000000000005</v>
      </c>
      <c r="T147" s="5">
        <v>33010</v>
      </c>
      <c r="V147" s="69">
        <f t="shared" ref="V147:AG153" si="46">IFERROR(G147/$D147,0)</f>
        <v>114</v>
      </c>
      <c r="W147" s="69">
        <f t="shared" si="46"/>
        <v>84</v>
      </c>
      <c r="X147" s="69">
        <f t="shared" si="46"/>
        <v>65</v>
      </c>
      <c r="Y147" s="69">
        <f t="shared" si="46"/>
        <v>60</v>
      </c>
      <c r="Z147" s="69">
        <f t="shared" si="46"/>
        <v>62</v>
      </c>
      <c r="AA147" s="69">
        <f t="shared" si="46"/>
        <v>48.999999999999993</v>
      </c>
      <c r="AB147" s="69">
        <f t="shared" si="46"/>
        <v>9</v>
      </c>
      <c r="AC147" s="69">
        <f t="shared" si="46"/>
        <v>10</v>
      </c>
      <c r="AD147" s="69">
        <f t="shared" si="46"/>
        <v>30</v>
      </c>
      <c r="AE147" s="69">
        <f t="shared" si="46"/>
        <v>31</v>
      </c>
      <c r="AF147" s="69">
        <f t="shared" si="46"/>
        <v>21</v>
      </c>
      <c r="AG147" s="69">
        <f t="shared" si="46"/>
        <v>34</v>
      </c>
      <c r="AH147" s="68">
        <f t="shared" si="38"/>
        <v>47.416666666666664</v>
      </c>
      <c r="AI147" s="44"/>
      <c r="AJ147" s="193"/>
      <c r="AK147" s="7"/>
      <c r="AL147" s="59"/>
      <c r="AM147" s="1"/>
      <c r="AN147" s="58"/>
      <c r="AO147" s="59"/>
      <c r="AP147" s="1"/>
      <c r="AQ147" s="1"/>
      <c r="AR147" s="210"/>
      <c r="AS147" s="194">
        <v>0.9</v>
      </c>
      <c r="AT147" s="195">
        <f t="shared" ca="1" si="45"/>
        <v>0.9997916157382849</v>
      </c>
      <c r="AU147" s="80">
        <f t="shared" ca="1" si="43"/>
        <v>568.88142935508404</v>
      </c>
      <c r="AV147" s="80">
        <f t="shared" ca="1" si="44"/>
        <v>130.75142935508399</v>
      </c>
      <c r="BC147" s="499">
        <f t="shared" ca="1" si="39"/>
        <v>2.171776363709597</v>
      </c>
      <c r="BD147" s="499">
        <f t="shared" ca="1" si="40"/>
        <v>132.92320571879358</v>
      </c>
    </row>
    <row r="148" spans="1:56" s="5" customFormat="1" ht="12" customHeight="1">
      <c r="A148" s="5" t="str">
        <f t="shared" si="41"/>
        <v>PA-CR1YDRENTTD</v>
      </c>
      <c r="B148" s="48" t="s">
        <v>257</v>
      </c>
      <c r="C148" s="48" t="s">
        <v>258</v>
      </c>
      <c r="D148" s="73">
        <v>0.56000000000000005</v>
      </c>
      <c r="E148" s="192" t="s">
        <v>349</v>
      </c>
      <c r="F148" s="67"/>
      <c r="G148" s="68">
        <v>9.52</v>
      </c>
      <c r="H148" s="68">
        <v>25.76</v>
      </c>
      <c r="I148" s="68">
        <v>43.12</v>
      </c>
      <c r="J148" s="68">
        <v>17.36</v>
      </c>
      <c r="K148" s="68">
        <v>6.72</v>
      </c>
      <c r="L148" s="68">
        <v>3.92</v>
      </c>
      <c r="M148" s="68">
        <v>15.68</v>
      </c>
      <c r="N148" s="68">
        <v>17.36</v>
      </c>
      <c r="O148" s="68">
        <v>14.56</v>
      </c>
      <c r="P148" s="68">
        <v>0</v>
      </c>
      <c r="Q148" s="68">
        <v>9.52</v>
      </c>
      <c r="R148" s="68">
        <v>34.72</v>
      </c>
      <c r="S148" s="68">
        <f t="shared" si="42"/>
        <v>198.24</v>
      </c>
      <c r="T148" s="5">
        <v>33010</v>
      </c>
      <c r="V148" s="69">
        <f t="shared" si="46"/>
        <v>16.999999999999996</v>
      </c>
      <c r="W148" s="69">
        <f t="shared" si="46"/>
        <v>46</v>
      </c>
      <c r="X148" s="69">
        <f t="shared" si="46"/>
        <v>76.999999999999986</v>
      </c>
      <c r="Y148" s="69">
        <f t="shared" si="46"/>
        <v>30.999999999999996</v>
      </c>
      <c r="Z148" s="69">
        <f t="shared" si="46"/>
        <v>11.999999999999998</v>
      </c>
      <c r="AA148" s="69">
        <f t="shared" si="46"/>
        <v>6.9999999999999991</v>
      </c>
      <c r="AB148" s="69">
        <f t="shared" si="46"/>
        <v>27.999999999999996</v>
      </c>
      <c r="AC148" s="69">
        <f t="shared" si="46"/>
        <v>30.999999999999996</v>
      </c>
      <c r="AD148" s="69">
        <f t="shared" si="46"/>
        <v>26</v>
      </c>
      <c r="AE148" s="69">
        <f t="shared" si="46"/>
        <v>0</v>
      </c>
      <c r="AF148" s="69">
        <f t="shared" si="46"/>
        <v>16.999999999999996</v>
      </c>
      <c r="AG148" s="69">
        <f t="shared" si="46"/>
        <v>61.999999999999993</v>
      </c>
      <c r="AH148" s="68">
        <f t="shared" si="38"/>
        <v>32.18181818181818</v>
      </c>
      <c r="AI148" s="44"/>
      <c r="AJ148" s="193"/>
      <c r="AK148" s="7"/>
      <c r="AL148" s="59"/>
      <c r="AM148" s="1"/>
      <c r="AN148" s="58"/>
      <c r="AO148" s="59"/>
      <c r="AP148" s="1"/>
      <c r="AQ148" s="14"/>
      <c r="AR148" s="210"/>
      <c r="AS148" s="194">
        <v>0.65</v>
      </c>
      <c r="AT148" s="195">
        <f t="shared" ca="1" si="45"/>
        <v>0.72207172247765017</v>
      </c>
      <c r="AU148" s="80">
        <f t="shared" ca="1" si="43"/>
        <v>278.85097064409615</v>
      </c>
      <c r="AV148" s="80">
        <f t="shared" ca="1" si="44"/>
        <v>80.610970644096142</v>
      </c>
      <c r="BC148" s="499">
        <f t="shared" ca="1" si="39"/>
        <v>1.0645486313885675</v>
      </c>
      <c r="BD148" s="499">
        <f t="shared" ca="1" si="40"/>
        <v>81.675519275484703</v>
      </c>
    </row>
    <row r="149" spans="1:56" s="5" customFormat="1" ht="12" customHeight="1">
      <c r="A149" s="5" t="str">
        <f t="shared" si="41"/>
        <v>PA-CROLLW-COMM</v>
      </c>
      <c r="B149" s="48" t="s">
        <v>431</v>
      </c>
      <c r="C149" s="48" t="s">
        <v>432</v>
      </c>
      <c r="D149" s="73">
        <v>4.8499999999999996</v>
      </c>
      <c r="E149" s="192">
        <v>31</v>
      </c>
      <c r="F149" s="67"/>
      <c r="G149" s="68">
        <v>4.8499999999999996</v>
      </c>
      <c r="H149" s="68">
        <v>4.8499999999999996</v>
      </c>
      <c r="I149" s="68">
        <v>4.8499999999999996</v>
      </c>
      <c r="J149" s="68">
        <v>4.8499999999999996</v>
      </c>
      <c r="K149" s="68">
        <v>4.8499999999999996</v>
      </c>
      <c r="L149" s="68">
        <v>4.8499999999999996</v>
      </c>
      <c r="M149" s="68">
        <v>4.8499999999999996</v>
      </c>
      <c r="N149" s="68">
        <v>4.8499999999999996</v>
      </c>
      <c r="O149" s="68">
        <v>4.8499999999999996</v>
      </c>
      <c r="P149" s="68">
        <v>4.8499999999999996</v>
      </c>
      <c r="Q149" s="68">
        <v>4.8499999999999996</v>
      </c>
      <c r="R149" s="68">
        <v>4.8499999999999996</v>
      </c>
      <c r="S149" s="68">
        <f t="shared" si="42"/>
        <v>58.20000000000001</v>
      </c>
      <c r="T149" s="19">
        <v>33011</v>
      </c>
      <c r="U149" s="19"/>
      <c r="V149" s="68">
        <f t="shared" si="46"/>
        <v>1</v>
      </c>
      <c r="W149" s="68">
        <f t="shared" si="46"/>
        <v>1</v>
      </c>
      <c r="X149" s="68">
        <f t="shared" si="46"/>
        <v>1</v>
      </c>
      <c r="Y149" s="68">
        <f t="shared" si="46"/>
        <v>1</v>
      </c>
      <c r="Z149" s="68">
        <f t="shared" si="46"/>
        <v>1</v>
      </c>
      <c r="AA149" s="68">
        <f t="shared" si="46"/>
        <v>1</v>
      </c>
      <c r="AB149" s="68">
        <f t="shared" si="46"/>
        <v>1</v>
      </c>
      <c r="AC149" s="68">
        <f t="shared" si="46"/>
        <v>1</v>
      </c>
      <c r="AD149" s="68">
        <f t="shared" si="46"/>
        <v>1</v>
      </c>
      <c r="AE149" s="68">
        <f t="shared" si="46"/>
        <v>1</v>
      </c>
      <c r="AF149" s="68">
        <f t="shared" si="46"/>
        <v>1</v>
      </c>
      <c r="AG149" s="68">
        <f t="shared" si="46"/>
        <v>1</v>
      </c>
      <c r="AH149" s="68">
        <f t="shared" si="38"/>
        <v>1</v>
      </c>
      <c r="AI149" s="44"/>
      <c r="AJ149" s="193"/>
      <c r="AK149" s="7"/>
      <c r="AL149" s="59"/>
      <c r="AM149" s="1"/>
      <c r="AN149" s="1"/>
      <c r="AO149" s="1"/>
      <c r="AP149" s="1"/>
      <c r="AQ149" s="14"/>
      <c r="AR149" s="210"/>
      <c r="AS149" s="194">
        <v>4.8499999999999996</v>
      </c>
      <c r="AT149" s="195">
        <f t="shared" ca="1" si="45"/>
        <v>5.3877659292563127</v>
      </c>
      <c r="AU149" s="80">
        <f t="shared" ca="1" si="43"/>
        <v>64.65319115107576</v>
      </c>
      <c r="AV149" s="80">
        <f t="shared" ca="1" si="44"/>
        <v>6.4531911510757496</v>
      </c>
      <c r="BC149" s="499">
        <f t="shared" ca="1" si="39"/>
        <v>0.24682168398339888</v>
      </c>
      <c r="BD149" s="499">
        <f t="shared" ca="1" si="40"/>
        <v>6.7000128350591481</v>
      </c>
    </row>
    <row r="150" spans="1:56" s="5" customFormat="1" ht="12" customHeight="1">
      <c r="A150" s="5" t="str">
        <f t="shared" si="41"/>
        <v>PA-CADDTLPACK25</v>
      </c>
      <c r="B150" s="48" t="s">
        <v>263</v>
      </c>
      <c r="C150" s="48" t="s">
        <v>264</v>
      </c>
      <c r="D150" s="73">
        <v>0.16</v>
      </c>
      <c r="E150" s="192">
        <v>31</v>
      </c>
      <c r="F150" s="67"/>
      <c r="G150" s="68">
        <v>12.48</v>
      </c>
      <c r="H150" s="68">
        <v>12.48</v>
      </c>
      <c r="I150" s="68">
        <v>12.56</v>
      </c>
      <c r="J150" s="68">
        <v>12.56</v>
      </c>
      <c r="K150" s="68">
        <v>12.56</v>
      </c>
      <c r="L150" s="68">
        <v>12.56</v>
      </c>
      <c r="M150" s="68">
        <v>12.56</v>
      </c>
      <c r="N150" s="68">
        <v>12.56</v>
      </c>
      <c r="O150" s="68">
        <v>12.56</v>
      </c>
      <c r="P150" s="68">
        <v>12.56</v>
      </c>
      <c r="Q150" s="68">
        <v>12.56</v>
      </c>
      <c r="R150" s="68">
        <v>12.56</v>
      </c>
      <c r="S150" s="68">
        <f t="shared" si="42"/>
        <v>150.56</v>
      </c>
      <c r="T150" s="19">
        <v>33011</v>
      </c>
      <c r="U150" s="19"/>
      <c r="V150" s="68">
        <f t="shared" si="46"/>
        <v>78</v>
      </c>
      <c r="W150" s="68">
        <f t="shared" si="46"/>
        <v>78</v>
      </c>
      <c r="X150" s="68">
        <f t="shared" si="46"/>
        <v>78.5</v>
      </c>
      <c r="Y150" s="68">
        <f t="shared" si="46"/>
        <v>78.5</v>
      </c>
      <c r="Z150" s="68">
        <f t="shared" si="46"/>
        <v>78.5</v>
      </c>
      <c r="AA150" s="68">
        <f t="shared" si="46"/>
        <v>78.5</v>
      </c>
      <c r="AB150" s="68">
        <f t="shared" si="46"/>
        <v>78.5</v>
      </c>
      <c r="AC150" s="68">
        <f t="shared" si="46"/>
        <v>78.5</v>
      </c>
      <c r="AD150" s="68">
        <f t="shared" si="46"/>
        <v>78.5</v>
      </c>
      <c r="AE150" s="68">
        <f t="shared" si="46"/>
        <v>78.5</v>
      </c>
      <c r="AF150" s="68">
        <f t="shared" si="46"/>
        <v>78.5</v>
      </c>
      <c r="AG150" s="68">
        <f t="shared" si="46"/>
        <v>78.5</v>
      </c>
      <c r="AH150" s="68">
        <f t="shared" si="38"/>
        <v>78.416666666666671</v>
      </c>
      <c r="AI150" s="44"/>
      <c r="AJ150" s="193"/>
      <c r="AK150" s="7"/>
      <c r="AL150" s="59"/>
      <c r="AM150" s="1"/>
      <c r="AN150" s="1"/>
      <c r="AO150" s="1"/>
      <c r="AP150" s="1"/>
      <c r="AQ150" s="14"/>
      <c r="AR150" s="210"/>
      <c r="AS150" s="194">
        <v>0.16</v>
      </c>
      <c r="AT150" s="195">
        <f t="shared" ca="1" si="45"/>
        <v>0.17774073168680621</v>
      </c>
      <c r="AU150" s="80">
        <f t="shared" ca="1" si="43"/>
        <v>167.25402851728464</v>
      </c>
      <c r="AV150" s="80">
        <f t="shared" ca="1" si="44"/>
        <v>16.694028517284636</v>
      </c>
      <c r="BC150" s="499">
        <f t="shared" ca="1" si="39"/>
        <v>0.63851327732887508</v>
      </c>
      <c r="BD150" s="499">
        <f t="shared" ca="1" si="40"/>
        <v>17.332541794613512</v>
      </c>
    </row>
    <row r="151" spans="1:56" s="5" customFormat="1" ht="12" customHeight="1">
      <c r="A151" s="5" t="str">
        <f t="shared" si="41"/>
        <v>PA-CR6YDRENTM</v>
      </c>
      <c r="B151" s="48" t="s">
        <v>433</v>
      </c>
      <c r="C151" s="48" t="s">
        <v>434</v>
      </c>
      <c r="D151" s="73">
        <v>13.5</v>
      </c>
      <c r="E151" s="192" t="s">
        <v>349</v>
      </c>
      <c r="F151" s="67"/>
      <c r="G151" s="68">
        <v>13.5</v>
      </c>
      <c r="H151" s="68">
        <v>13.5</v>
      </c>
      <c r="I151" s="68">
        <v>13.5</v>
      </c>
      <c r="J151" s="68">
        <v>27</v>
      </c>
      <c r="K151" s="68">
        <v>27</v>
      </c>
      <c r="L151" s="68">
        <v>27</v>
      </c>
      <c r="M151" s="68">
        <v>27</v>
      </c>
      <c r="N151" s="68">
        <v>27</v>
      </c>
      <c r="O151" s="68">
        <v>27</v>
      </c>
      <c r="P151" s="68">
        <v>27</v>
      </c>
      <c r="Q151" s="68">
        <v>27</v>
      </c>
      <c r="R151" s="68">
        <v>27</v>
      </c>
      <c r="S151" s="68">
        <f t="shared" si="42"/>
        <v>283.5</v>
      </c>
      <c r="T151" s="5">
        <v>33010</v>
      </c>
      <c r="V151" s="69">
        <f t="shared" si="46"/>
        <v>1</v>
      </c>
      <c r="W151" s="69">
        <f t="shared" si="46"/>
        <v>1</v>
      </c>
      <c r="X151" s="69">
        <f t="shared" si="46"/>
        <v>1</v>
      </c>
      <c r="Y151" s="69">
        <f t="shared" si="46"/>
        <v>2</v>
      </c>
      <c r="Z151" s="69">
        <f t="shared" si="46"/>
        <v>2</v>
      </c>
      <c r="AA151" s="69">
        <f t="shared" si="46"/>
        <v>2</v>
      </c>
      <c r="AB151" s="69">
        <f t="shared" si="46"/>
        <v>2</v>
      </c>
      <c r="AC151" s="69">
        <f t="shared" si="46"/>
        <v>2</v>
      </c>
      <c r="AD151" s="69">
        <f t="shared" si="46"/>
        <v>2</v>
      </c>
      <c r="AE151" s="69">
        <f t="shared" si="46"/>
        <v>2</v>
      </c>
      <c r="AF151" s="69">
        <f t="shared" si="46"/>
        <v>2</v>
      </c>
      <c r="AG151" s="69">
        <f t="shared" si="46"/>
        <v>2</v>
      </c>
      <c r="AH151" s="68">
        <f t="shared" si="38"/>
        <v>1.75</v>
      </c>
      <c r="AI151" s="44"/>
      <c r="AJ151" s="193"/>
      <c r="AK151" s="7"/>
      <c r="AL151" s="59"/>
      <c r="AM151" s="1"/>
      <c r="AN151" s="1"/>
      <c r="AO151" s="1"/>
      <c r="AP151" s="1"/>
      <c r="AQ151" s="1"/>
      <c r="AR151" s="210"/>
      <c r="AS151" s="194">
        <v>15.72</v>
      </c>
      <c r="AT151" s="195">
        <f t="shared" ca="1" si="45"/>
        <v>17.463026888228708</v>
      </c>
      <c r="AU151" s="80">
        <f t="shared" ca="1" si="43"/>
        <v>366.72356465280285</v>
      </c>
      <c r="AV151" s="80">
        <f t="shared" ca="1" si="44"/>
        <v>83.22356465280285</v>
      </c>
      <c r="BC151" s="499">
        <f t="shared" ca="1" si="39"/>
        <v>1.4000133044089282</v>
      </c>
      <c r="BD151" s="499">
        <f t="shared" ca="1" si="40"/>
        <v>84.623577957211779</v>
      </c>
    </row>
    <row r="152" spans="1:56" s="5" customFormat="1" ht="12" customHeight="1">
      <c r="A152" s="5" t="str">
        <f t="shared" si="41"/>
        <v>PA-CCEX</v>
      </c>
      <c r="B152" s="48" t="s">
        <v>265</v>
      </c>
      <c r="C152" s="48" t="s">
        <v>266</v>
      </c>
      <c r="D152" s="73">
        <v>6.51</v>
      </c>
      <c r="E152" s="192" t="s">
        <v>348</v>
      </c>
      <c r="F152" s="67"/>
      <c r="G152" s="68">
        <v>0</v>
      </c>
      <c r="H152" s="68">
        <v>0</v>
      </c>
      <c r="I152" s="68">
        <v>0</v>
      </c>
      <c r="J152" s="68">
        <v>0</v>
      </c>
      <c r="K152" s="68">
        <v>0</v>
      </c>
      <c r="L152" s="68">
        <v>0</v>
      </c>
      <c r="M152" s="68">
        <v>0</v>
      </c>
      <c r="N152" s="68">
        <v>26.04</v>
      </c>
      <c r="O152" s="68">
        <v>0</v>
      </c>
      <c r="P152" s="68">
        <v>0</v>
      </c>
      <c r="Q152" s="68">
        <v>0</v>
      </c>
      <c r="R152" s="68">
        <v>0</v>
      </c>
      <c r="S152" s="68">
        <f t="shared" si="42"/>
        <v>26.04</v>
      </c>
      <c r="T152" s="5">
        <v>33011</v>
      </c>
      <c r="V152" s="69">
        <f t="shared" si="46"/>
        <v>0</v>
      </c>
      <c r="W152" s="69">
        <f t="shared" si="46"/>
        <v>0</v>
      </c>
      <c r="X152" s="69">
        <f t="shared" si="46"/>
        <v>0</v>
      </c>
      <c r="Y152" s="69">
        <f t="shared" si="46"/>
        <v>0</v>
      </c>
      <c r="Z152" s="69">
        <f t="shared" si="46"/>
        <v>0</v>
      </c>
      <c r="AA152" s="69">
        <f t="shared" si="46"/>
        <v>0</v>
      </c>
      <c r="AB152" s="69">
        <f t="shared" si="46"/>
        <v>0</v>
      </c>
      <c r="AC152" s="69">
        <f t="shared" si="46"/>
        <v>4</v>
      </c>
      <c r="AD152" s="69">
        <f t="shared" si="46"/>
        <v>0</v>
      </c>
      <c r="AE152" s="69">
        <f t="shared" si="46"/>
        <v>0</v>
      </c>
      <c r="AF152" s="69">
        <f t="shared" si="46"/>
        <v>0</v>
      </c>
      <c r="AG152" s="69">
        <f t="shared" si="46"/>
        <v>0</v>
      </c>
      <c r="AH152" s="68">
        <f t="shared" si="38"/>
        <v>4</v>
      </c>
      <c r="AI152" s="44"/>
      <c r="AJ152" s="193"/>
      <c r="AK152" s="7"/>
      <c r="AL152" s="59"/>
      <c r="AM152" s="1"/>
      <c r="AN152" s="1"/>
      <c r="AO152" s="1"/>
      <c r="AP152" s="1"/>
      <c r="AQ152" s="1"/>
      <c r="AR152" s="210"/>
      <c r="AS152" s="194">
        <v>7.17</v>
      </c>
      <c r="AT152" s="195">
        <f t="shared" ca="1" si="45"/>
        <v>7.9650065387150022</v>
      </c>
      <c r="AU152" s="80">
        <f t="shared" ca="1" si="43"/>
        <v>382.32031385832011</v>
      </c>
      <c r="AV152" s="80">
        <f t="shared" ca="1" si="44"/>
        <v>356.28031385832008</v>
      </c>
      <c r="BC152" s="499">
        <f t="shared" ca="1" si="39"/>
        <v>1.4595558549781193</v>
      </c>
      <c r="BD152" s="499">
        <f t="shared" ca="1" si="40"/>
        <v>357.73986971329822</v>
      </c>
    </row>
    <row r="153" spans="1:56" s="5" customFormat="1" ht="12" customHeight="1" thickBot="1">
      <c r="A153" s="5" t="str">
        <f t="shared" si="41"/>
        <v>PA-CR4YDEX</v>
      </c>
      <c r="B153" s="48" t="s">
        <v>435</v>
      </c>
      <c r="C153" s="48" t="s">
        <v>394</v>
      </c>
      <c r="D153" s="73">
        <v>80.709999999999994</v>
      </c>
      <c r="E153" s="192" t="s">
        <v>349</v>
      </c>
      <c r="F153" s="67"/>
      <c r="G153" s="68">
        <v>80.709999999999994</v>
      </c>
      <c r="H153" s="68">
        <v>0</v>
      </c>
      <c r="I153" s="68">
        <v>242.13</v>
      </c>
      <c r="J153" s="68">
        <v>0</v>
      </c>
      <c r="K153" s="68">
        <v>0</v>
      </c>
      <c r="L153" s="68">
        <v>80.709999999999994</v>
      </c>
      <c r="M153" s="68">
        <v>0</v>
      </c>
      <c r="N153" s="68">
        <v>0</v>
      </c>
      <c r="O153" s="68">
        <v>0</v>
      </c>
      <c r="P153" s="68">
        <v>0</v>
      </c>
      <c r="Q153" s="68">
        <v>0</v>
      </c>
      <c r="R153" s="68">
        <v>0</v>
      </c>
      <c r="S153" s="68">
        <f t="shared" si="42"/>
        <v>403.54999999999995</v>
      </c>
      <c r="T153" s="5">
        <v>33011</v>
      </c>
      <c r="V153" s="69">
        <f t="shared" si="46"/>
        <v>1</v>
      </c>
      <c r="W153" s="69">
        <f t="shared" si="46"/>
        <v>0</v>
      </c>
      <c r="X153" s="69">
        <f t="shared" si="46"/>
        <v>3</v>
      </c>
      <c r="Y153" s="69">
        <f t="shared" si="46"/>
        <v>0</v>
      </c>
      <c r="Z153" s="69">
        <f t="shared" si="46"/>
        <v>0</v>
      </c>
      <c r="AA153" s="69">
        <f t="shared" si="46"/>
        <v>1</v>
      </c>
      <c r="AB153" s="69">
        <f t="shared" si="46"/>
        <v>0</v>
      </c>
      <c r="AC153" s="69">
        <f t="shared" si="46"/>
        <v>0</v>
      </c>
      <c r="AD153" s="69">
        <f t="shared" si="46"/>
        <v>0</v>
      </c>
      <c r="AE153" s="69">
        <f t="shared" si="46"/>
        <v>0</v>
      </c>
      <c r="AF153" s="69">
        <f t="shared" si="46"/>
        <v>0</v>
      </c>
      <c r="AG153" s="69">
        <f t="shared" si="46"/>
        <v>0</v>
      </c>
      <c r="AH153" s="68">
        <f t="shared" si="38"/>
        <v>1.6666666666666667</v>
      </c>
      <c r="AI153" s="44"/>
      <c r="AJ153" s="193"/>
      <c r="AK153" s="43"/>
      <c r="AL153" s="59"/>
      <c r="AM153" s="1"/>
      <c r="AN153" s="1"/>
      <c r="AO153" s="1"/>
      <c r="AP153" s="1"/>
      <c r="AQ153" s="1"/>
      <c r="AR153" s="210"/>
      <c r="AS153" s="194">
        <v>92.68</v>
      </c>
      <c r="AT153" s="195">
        <f t="shared" ca="1" si="45"/>
        <v>102.9563188295825</v>
      </c>
      <c r="AU153" s="80">
        <f t="shared" ca="1" si="43"/>
        <v>2059.1263765916501</v>
      </c>
      <c r="AV153" s="80">
        <f t="shared" ca="1" si="44"/>
        <v>1655.5763765916502</v>
      </c>
      <c r="BC153" s="499">
        <f t="shared" ca="1" si="39"/>
        <v>7.8609737703028895</v>
      </c>
      <c r="BD153" s="499">
        <f t="shared" ca="1" si="40"/>
        <v>1663.4373503619531</v>
      </c>
    </row>
    <row r="154" spans="1:56" s="5" customFormat="1" ht="12" customHeight="1" thickBot="1">
      <c r="B154" s="48"/>
      <c r="C154" s="48"/>
      <c r="D154" s="199"/>
      <c r="E154" s="199"/>
      <c r="F154" s="67"/>
      <c r="G154" s="68"/>
      <c r="H154" s="68"/>
      <c r="I154" s="68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8">
        <f t="shared" si="38"/>
        <v>0</v>
      </c>
      <c r="AI154" s="44"/>
      <c r="AJ154" s="211" t="s">
        <v>273</v>
      </c>
      <c r="AK154" s="212">
        <f>SUM(AH113)+SUM(AH134:AH136)+AH132</f>
        <v>79.730106311076156</v>
      </c>
      <c r="AL154" s="59"/>
      <c r="AM154" s="1"/>
      <c r="AN154" s="1"/>
      <c r="AO154" s="1"/>
      <c r="AP154" s="1"/>
      <c r="AQ154" s="1"/>
      <c r="AR154" s="1"/>
      <c r="AS154" s="41"/>
      <c r="AT154" s="195">
        <f t="shared" ref="AT154" ca="1" si="47">+D154*(1+$AZ$2)</f>
        <v>0</v>
      </c>
      <c r="AU154" s="80">
        <f t="shared" ca="1" si="43"/>
        <v>0</v>
      </c>
      <c r="AV154" s="80">
        <f t="shared" ca="1" si="44"/>
        <v>0</v>
      </c>
      <c r="BC154" s="502"/>
      <c r="BD154" s="502"/>
    </row>
    <row r="155" spans="1:56" s="3" customFormat="1" ht="12" customHeight="1" thickBot="1">
      <c r="B155" s="145"/>
      <c r="C155" s="112" t="s">
        <v>274</v>
      </c>
      <c r="D155" s="199"/>
      <c r="E155" s="199"/>
      <c r="F155" s="114"/>
      <c r="G155" s="201">
        <f t="shared" ref="G155:R155" si="48">SUM(G61:G154)</f>
        <v>144215.89000000007</v>
      </c>
      <c r="H155" s="201">
        <f t="shared" si="48"/>
        <v>142958.03999999998</v>
      </c>
      <c r="I155" s="201">
        <f t="shared" si="48"/>
        <v>140645.81000000008</v>
      </c>
      <c r="J155" s="201">
        <f t="shared" si="48"/>
        <v>137289.65000000002</v>
      </c>
      <c r="K155" s="201">
        <f t="shared" si="48"/>
        <v>133912.37000000011</v>
      </c>
      <c r="L155" s="201">
        <f t="shared" si="48"/>
        <v>132493.41000000015</v>
      </c>
      <c r="M155" s="201">
        <f t="shared" si="48"/>
        <v>132088.63000000006</v>
      </c>
      <c r="N155" s="201">
        <f t="shared" si="48"/>
        <v>132434.30000000005</v>
      </c>
      <c r="O155" s="201">
        <f t="shared" si="48"/>
        <v>133390.58000000007</v>
      </c>
      <c r="P155" s="201">
        <f t="shared" si="48"/>
        <v>135750.03000000009</v>
      </c>
      <c r="Q155" s="201">
        <f t="shared" si="48"/>
        <v>139971.83000000002</v>
      </c>
      <c r="R155" s="201">
        <f t="shared" si="48"/>
        <v>142320.53000000003</v>
      </c>
      <c r="S155" s="201">
        <f>SUM(G155:R155)</f>
        <v>1647471.0700000008</v>
      </c>
      <c r="T155" s="202"/>
      <c r="U155" s="202"/>
      <c r="V155" s="203">
        <f t="shared" ref="V155:AH155" si="49">SUM(V139:V142,V134:V136,V132,V129:V129,V127,V125:V125,V122:V122,V119,V113,V112,V108,V99:V100,V90,V82:V87,V80:V81,V77:V79,V64:V76)</f>
        <v>1054.255194317145</v>
      </c>
      <c r="W155" s="203">
        <f t="shared" si="49"/>
        <v>1052.6291184571401</v>
      </c>
      <c r="X155" s="203">
        <f t="shared" si="49"/>
        <v>1039.498994848798</v>
      </c>
      <c r="Y155" s="203">
        <f t="shared" si="49"/>
        <v>1026.4991207307614</v>
      </c>
      <c r="Z155" s="203">
        <f t="shared" si="49"/>
        <v>1011.9998265834117</v>
      </c>
      <c r="AA155" s="203">
        <f t="shared" si="49"/>
        <v>1009.9997369018301</v>
      </c>
      <c r="AB155" s="203">
        <f t="shared" si="49"/>
        <v>1010.2495428326588</v>
      </c>
      <c r="AC155" s="203">
        <f t="shared" si="49"/>
        <v>1010.4994815552799</v>
      </c>
      <c r="AD155" s="203">
        <f t="shared" si="49"/>
        <v>1025.9996062219761</v>
      </c>
      <c r="AE155" s="203">
        <f t="shared" si="49"/>
        <v>1033.2493834496383</v>
      </c>
      <c r="AF155" s="203">
        <f t="shared" si="49"/>
        <v>1046.7938203791382</v>
      </c>
      <c r="AG155" s="203">
        <f t="shared" si="49"/>
        <v>1055.4188424250272</v>
      </c>
      <c r="AH155" s="203">
        <f t="shared" si="49"/>
        <v>1039.0383306312281</v>
      </c>
      <c r="AI155" s="44">
        <f>AH155-844</f>
        <v>195.03833063122806</v>
      </c>
      <c r="AJ155" s="213" t="s">
        <v>275</v>
      </c>
      <c r="AK155" s="214">
        <f>SUM(AH64:AH76)+SUM(AH77:AH79)+SUM(AH80:AH81)+SUM(AH82:AH87)+AH90+SUM(AH99:AH100)+AH104+AH108+AH112+AH119+SUM(AH122:AH122)+SUM(AH125:AH125)+AH127+SUM(AH129:AH129)+SUM(AH139:AH142)</f>
        <v>959.60822432015186</v>
      </c>
      <c r="AL155" s="59"/>
      <c r="AM155" s="118">
        <f>SUM(AM56:AM154)</f>
        <v>79.730106311076156</v>
      </c>
      <c r="AN155"/>
      <c r="AO155" s="118">
        <f>SUM(AO56:AO154)</f>
        <v>959.60822432015186</v>
      </c>
      <c r="AP155"/>
      <c r="AQ155" s="118">
        <f>SUM(AQ56:AQ154)</f>
        <v>0</v>
      </c>
      <c r="AR155" s="5"/>
      <c r="AS155" s="5"/>
      <c r="AU155" s="119">
        <f ca="1">SUM(AU61:OFFSET(AU155,-1,0))</f>
        <v>2148331.0175378411</v>
      </c>
      <c r="AV155" s="119">
        <f ca="1">SUM(AV61:OFFSET(AV155,-1,0))</f>
        <v>500859.9475378411</v>
      </c>
      <c r="BB155" s="3">
        <f ca="1">+BC155+'CityPA-M Price Out'!BC21</f>
        <v>8523.1331352092238</v>
      </c>
      <c r="BC155" s="510">
        <f ca="1">SUM(BC61:OFFSET(BC155,-1,0))</f>
        <v>8201.5236999424687</v>
      </c>
      <c r="BD155" s="510">
        <f ca="1">SUM(BD61:OFFSET(BD155,-1,0))</f>
        <v>509061.47123778361</v>
      </c>
    </row>
    <row r="156" spans="1:56" ht="12" customHeight="1">
      <c r="B156" s="150"/>
      <c r="C156" s="150"/>
      <c r="D156" s="199"/>
      <c r="E156" s="199"/>
      <c r="F156" s="67"/>
      <c r="G156" s="68"/>
      <c r="H156" s="68"/>
      <c r="I156" s="68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5"/>
      <c r="U156" s="5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  <c r="AH156" s="68"/>
      <c r="AL156" s="5"/>
      <c r="AN156" s="137"/>
      <c r="AQ156" s="137"/>
      <c r="AR156" s="5"/>
      <c r="AS156" s="5"/>
      <c r="AT156" s="5"/>
      <c r="AU156" s="5"/>
      <c r="AV156" s="5"/>
      <c r="AW156" s="5"/>
      <c r="AX156" s="3"/>
      <c r="AY156" s="5"/>
      <c r="AZ156" s="5"/>
      <c r="BA156" s="5"/>
    </row>
    <row r="157" spans="1:56" ht="12" customHeight="1">
      <c r="B157" s="50" t="s">
        <v>276</v>
      </c>
      <c r="C157" s="50" t="s">
        <v>276</v>
      </c>
      <c r="D157" s="209"/>
      <c r="E157" s="209"/>
      <c r="F157" s="48"/>
      <c r="G157" s="6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5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  <c r="AH157" s="68"/>
      <c r="AI157" s="6">
        <f>+AH155+'CityPA-M Price Out'!AI21</f>
        <v>1068.8961070979833</v>
      </c>
      <c r="AL157" s="5"/>
      <c r="AN157" s="137"/>
      <c r="AQ157" s="137"/>
      <c r="AR157" s="5"/>
      <c r="AX157" s="215"/>
    </row>
    <row r="158" spans="1:56" ht="12" customHeight="1">
      <c r="B158" s="153"/>
      <c r="C158" s="153"/>
      <c r="D158" s="209"/>
      <c r="E158" s="209"/>
      <c r="F158" s="48"/>
      <c r="G158" s="6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5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8"/>
      <c r="AL158" s="5"/>
      <c r="AN158" s="137"/>
      <c r="AQ158" s="137"/>
      <c r="AR158" s="5"/>
    </row>
    <row r="159" spans="1:56" ht="12" customHeight="1">
      <c r="B159" s="154" t="s">
        <v>277</v>
      </c>
      <c r="C159" s="154" t="s">
        <v>277</v>
      </c>
      <c r="D159" s="209"/>
      <c r="E159" s="209"/>
      <c r="F159" s="48"/>
      <c r="G159" s="6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5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8"/>
      <c r="AL159" s="5"/>
      <c r="AN159" s="137"/>
      <c r="AQ159" s="137"/>
      <c r="AR159" s="5"/>
    </row>
    <row r="160" spans="1:56" ht="12" customHeight="1">
      <c r="A160" s="5" t="str">
        <f t="shared" ref="A160:A175" si="50">"PA-C"&amp;B160</f>
        <v>PA-CCONNECTFEE</v>
      </c>
      <c r="B160" s="48" t="s">
        <v>278</v>
      </c>
      <c r="C160" s="48" t="s">
        <v>279</v>
      </c>
      <c r="D160" s="197">
        <v>6.02</v>
      </c>
      <c r="E160" s="192">
        <v>42</v>
      </c>
      <c r="F160" s="48"/>
      <c r="G160" s="68">
        <v>66.22</v>
      </c>
      <c r="H160" s="68">
        <v>54.18</v>
      </c>
      <c r="I160" s="68">
        <v>60.2</v>
      </c>
      <c r="J160" s="68">
        <v>72.239999999999995</v>
      </c>
      <c r="K160" s="68">
        <v>60.2</v>
      </c>
      <c r="L160" s="68">
        <v>66.22</v>
      </c>
      <c r="M160" s="68">
        <v>48.16</v>
      </c>
      <c r="N160" s="68">
        <v>66.22</v>
      </c>
      <c r="O160" s="68">
        <v>54.18</v>
      </c>
      <c r="P160" s="68">
        <v>66.22</v>
      </c>
      <c r="Q160" s="68">
        <v>60.2</v>
      </c>
      <c r="R160" s="68">
        <v>48.16</v>
      </c>
      <c r="S160" s="68">
        <f t="shared" ref="S160:S175" si="51">SUM(G160:R160)</f>
        <v>722.4</v>
      </c>
      <c r="T160" s="5">
        <v>31010</v>
      </c>
      <c r="V160" s="69">
        <f t="shared" ref="V160:AG170" si="52">IFERROR(G160/$D160,0)</f>
        <v>11</v>
      </c>
      <c r="W160" s="69">
        <f t="shared" si="52"/>
        <v>9</v>
      </c>
      <c r="X160" s="69">
        <f t="shared" si="52"/>
        <v>10.000000000000002</v>
      </c>
      <c r="Y160" s="69">
        <f t="shared" si="52"/>
        <v>12</v>
      </c>
      <c r="Z160" s="69">
        <f t="shared" si="52"/>
        <v>10.000000000000002</v>
      </c>
      <c r="AA160" s="69">
        <f t="shared" si="52"/>
        <v>11</v>
      </c>
      <c r="AB160" s="69">
        <f t="shared" si="52"/>
        <v>8</v>
      </c>
      <c r="AC160" s="69">
        <f t="shared" si="52"/>
        <v>11</v>
      </c>
      <c r="AD160" s="69">
        <f t="shared" si="52"/>
        <v>9</v>
      </c>
      <c r="AE160" s="69">
        <f t="shared" si="52"/>
        <v>11</v>
      </c>
      <c r="AF160" s="69">
        <f t="shared" si="52"/>
        <v>10.000000000000002</v>
      </c>
      <c r="AG160" s="69">
        <f t="shared" si="52"/>
        <v>8</v>
      </c>
      <c r="AH160" s="68">
        <f>IFERROR(AVERAGEIF(V160:AG160,"&gt;0"),0)</f>
        <v>10</v>
      </c>
      <c r="AJ160" s="19"/>
      <c r="AN160" s="137"/>
      <c r="AQ160" s="137"/>
      <c r="AT160" s="195">
        <f t="shared" ref="AT160:AT176" ca="1" si="53">+D160*(1+$AZ$2)</f>
        <v>6.6874950297160822</v>
      </c>
      <c r="AU160" s="80">
        <f t="shared" ref="AU160:AU176" ca="1" si="54">+AT160*AH160*12</f>
        <v>802.49940356592992</v>
      </c>
      <c r="AV160" s="80">
        <f t="shared" ref="AV160:AV176" ca="1" si="55">+AU160-S160</f>
        <v>80.099403565929947</v>
      </c>
      <c r="BC160" s="499">
        <f t="shared" ref="BC160:BC175" ca="1" si="56">AU160*BD$2</f>
        <v>3.0636423455258988</v>
      </c>
      <c r="BD160" s="499">
        <f t="shared" ref="BD160:BD175" ca="1" si="57">+BC160+AV160</f>
        <v>83.163045911455839</v>
      </c>
    </row>
    <row r="161" spans="1:56" ht="12" customHeight="1">
      <c r="A161" s="5" t="str">
        <f t="shared" si="50"/>
        <v>PA-CCPHAUL20</v>
      </c>
      <c r="B161" s="72" t="s">
        <v>436</v>
      </c>
      <c r="C161" s="72" t="s">
        <v>437</v>
      </c>
      <c r="D161" s="197">
        <v>144.80000000000001</v>
      </c>
      <c r="E161" s="192">
        <v>42</v>
      </c>
      <c r="F161" s="48"/>
      <c r="G161" s="75">
        <v>1158.4000000000001</v>
      </c>
      <c r="H161" s="75">
        <v>1013.6</v>
      </c>
      <c r="I161" s="75">
        <v>1158.4000000000001</v>
      </c>
      <c r="J161" s="75">
        <v>1303.2</v>
      </c>
      <c r="K161" s="75">
        <v>1013.6</v>
      </c>
      <c r="L161" s="75">
        <v>1303.2</v>
      </c>
      <c r="M161" s="75">
        <v>1013.6</v>
      </c>
      <c r="N161" s="75">
        <v>1303.2</v>
      </c>
      <c r="O161" s="75">
        <v>1013.6</v>
      </c>
      <c r="P161" s="75">
        <v>1303.2</v>
      </c>
      <c r="Q161" s="75">
        <v>1158.4000000000001</v>
      </c>
      <c r="R161" s="75">
        <v>868.8</v>
      </c>
      <c r="S161" s="75">
        <f t="shared" si="51"/>
        <v>13611.2</v>
      </c>
      <c r="T161" s="71">
        <v>31000</v>
      </c>
      <c r="U161" s="48"/>
      <c r="V161" s="75">
        <f t="shared" si="52"/>
        <v>8</v>
      </c>
      <c r="W161" s="75">
        <f t="shared" si="52"/>
        <v>7</v>
      </c>
      <c r="X161" s="75">
        <f t="shared" si="52"/>
        <v>8</v>
      </c>
      <c r="Y161" s="75">
        <f t="shared" si="52"/>
        <v>9</v>
      </c>
      <c r="Z161" s="75">
        <f t="shared" si="52"/>
        <v>7</v>
      </c>
      <c r="AA161" s="75">
        <f t="shared" si="52"/>
        <v>9</v>
      </c>
      <c r="AB161" s="75">
        <f t="shared" si="52"/>
        <v>7</v>
      </c>
      <c r="AC161" s="75">
        <f t="shared" si="52"/>
        <v>9</v>
      </c>
      <c r="AD161" s="75">
        <f t="shared" si="52"/>
        <v>7</v>
      </c>
      <c r="AE161" s="75">
        <f t="shared" si="52"/>
        <v>9</v>
      </c>
      <c r="AF161" s="75">
        <f t="shared" si="52"/>
        <v>8</v>
      </c>
      <c r="AG161" s="75">
        <f t="shared" si="52"/>
        <v>5.9999999999999991</v>
      </c>
      <c r="AH161" s="75">
        <v>4</v>
      </c>
      <c r="AJ161" s="19"/>
      <c r="AK161" s="7" t="s">
        <v>438</v>
      </c>
      <c r="AN161" s="137"/>
      <c r="AQ161" s="137"/>
      <c r="AS161" s="19"/>
      <c r="AT161" s="195">
        <f t="shared" ca="1" si="53"/>
        <v>160.85536217655962</v>
      </c>
      <c r="AU161" s="80">
        <f ca="1">+AT161*AVERAGE(V161:AG161)*12</f>
        <v>15120.404044596604</v>
      </c>
      <c r="AV161" s="80">
        <f t="shared" ca="1" si="55"/>
        <v>1509.2040445966031</v>
      </c>
      <c r="AW161" s="216"/>
      <c r="BC161" s="499">
        <f t="shared" ca="1" si="56"/>
        <v>57.724043041835714</v>
      </c>
      <c r="BD161" s="499">
        <f t="shared" ca="1" si="57"/>
        <v>1566.9280876384389</v>
      </c>
    </row>
    <row r="162" spans="1:56" ht="12" customHeight="1">
      <c r="A162" s="5" t="str">
        <f t="shared" si="50"/>
        <v>PA-CCPHAUL30</v>
      </c>
      <c r="B162" s="72" t="s">
        <v>282</v>
      </c>
      <c r="C162" s="72" t="s">
        <v>283</v>
      </c>
      <c r="D162" s="197">
        <v>206.82</v>
      </c>
      <c r="E162" s="192">
        <v>42</v>
      </c>
      <c r="F162" s="48"/>
      <c r="G162" s="75">
        <v>620.46</v>
      </c>
      <c r="H162" s="75">
        <v>413.64</v>
      </c>
      <c r="I162" s="75">
        <v>413.64</v>
      </c>
      <c r="J162" s="75">
        <v>620.46</v>
      </c>
      <c r="K162" s="75">
        <v>620.46</v>
      </c>
      <c r="L162" s="75">
        <v>413.64</v>
      </c>
      <c r="M162" s="75">
        <v>206.82</v>
      </c>
      <c r="N162" s="75">
        <v>413.64</v>
      </c>
      <c r="O162" s="75">
        <v>413.64</v>
      </c>
      <c r="P162" s="75">
        <v>413.64</v>
      </c>
      <c r="Q162" s="75">
        <v>413.64</v>
      </c>
      <c r="R162" s="75">
        <v>413.64</v>
      </c>
      <c r="S162" s="75">
        <f t="shared" si="51"/>
        <v>5377.3200000000006</v>
      </c>
      <c r="T162" s="71">
        <v>31000</v>
      </c>
      <c r="U162" s="48"/>
      <c r="V162" s="75">
        <f t="shared" si="52"/>
        <v>3.0000000000000004</v>
      </c>
      <c r="W162" s="75">
        <f t="shared" si="52"/>
        <v>2</v>
      </c>
      <c r="X162" s="75">
        <f t="shared" si="52"/>
        <v>2</v>
      </c>
      <c r="Y162" s="75">
        <f t="shared" si="52"/>
        <v>3.0000000000000004</v>
      </c>
      <c r="Z162" s="75">
        <f t="shared" si="52"/>
        <v>3.0000000000000004</v>
      </c>
      <c r="AA162" s="75">
        <f t="shared" si="52"/>
        <v>2</v>
      </c>
      <c r="AB162" s="75">
        <f t="shared" si="52"/>
        <v>1</v>
      </c>
      <c r="AC162" s="75">
        <f t="shared" si="52"/>
        <v>2</v>
      </c>
      <c r="AD162" s="75">
        <f t="shared" si="52"/>
        <v>2</v>
      </c>
      <c r="AE162" s="75">
        <f t="shared" si="52"/>
        <v>2</v>
      </c>
      <c r="AF162" s="75">
        <f t="shared" si="52"/>
        <v>2</v>
      </c>
      <c r="AG162" s="75">
        <f t="shared" si="52"/>
        <v>2</v>
      </c>
      <c r="AH162" s="75">
        <v>1</v>
      </c>
      <c r="AJ162" s="19"/>
      <c r="AK162" s="7" t="s">
        <v>439</v>
      </c>
      <c r="AN162" s="137"/>
      <c r="AQ162" s="137"/>
      <c r="AS162" s="19"/>
      <c r="AT162" s="195">
        <f t="shared" ca="1" si="53"/>
        <v>229.75211329665785</v>
      </c>
      <c r="AU162" s="80">
        <f ca="1">+AT162*AVERAGE(V162:AG162)*12</f>
        <v>5973.5549457131037</v>
      </c>
      <c r="AV162" s="80">
        <f t="shared" ca="1" si="55"/>
        <v>596.23494571310312</v>
      </c>
      <c r="AW162" s="216"/>
      <c r="BC162" s="499">
        <f t="shared" ca="1" si="56"/>
        <v>22.804796868000174</v>
      </c>
      <c r="BD162" s="499">
        <f t="shared" ca="1" si="57"/>
        <v>619.03974258110327</v>
      </c>
    </row>
    <row r="163" spans="1:56" ht="12" customHeight="1">
      <c r="A163" s="5" t="str">
        <f t="shared" si="50"/>
        <v>PA-CRODEL</v>
      </c>
      <c r="B163" s="48" t="s">
        <v>284</v>
      </c>
      <c r="C163" s="48" t="s">
        <v>285</v>
      </c>
      <c r="D163" s="197">
        <v>166.66</v>
      </c>
      <c r="E163" s="192">
        <v>42</v>
      </c>
      <c r="F163" s="48"/>
      <c r="G163" s="68">
        <v>5166.46</v>
      </c>
      <c r="H163" s="68">
        <v>2499.9</v>
      </c>
      <c r="I163" s="68">
        <v>3166.54</v>
      </c>
      <c r="J163" s="68">
        <v>2333.2399999999998</v>
      </c>
      <c r="K163" s="68">
        <v>1333.28</v>
      </c>
      <c r="L163" s="68">
        <v>1666.6</v>
      </c>
      <c r="M163" s="68">
        <v>1999.92</v>
      </c>
      <c r="N163" s="68">
        <v>2666.56</v>
      </c>
      <c r="O163" s="68">
        <v>2833.22</v>
      </c>
      <c r="P163" s="68">
        <v>3333.2</v>
      </c>
      <c r="Q163" s="68">
        <v>3333.2</v>
      </c>
      <c r="R163" s="68">
        <v>3166.54</v>
      </c>
      <c r="S163" s="68">
        <f t="shared" si="51"/>
        <v>33498.660000000003</v>
      </c>
      <c r="T163" s="5">
        <v>31010</v>
      </c>
      <c r="V163" s="69">
        <f t="shared" si="52"/>
        <v>31</v>
      </c>
      <c r="W163" s="69">
        <f t="shared" si="52"/>
        <v>15</v>
      </c>
      <c r="X163" s="69">
        <f t="shared" si="52"/>
        <v>19</v>
      </c>
      <c r="Y163" s="69">
        <f t="shared" si="52"/>
        <v>13.999999999999998</v>
      </c>
      <c r="Z163" s="69">
        <f t="shared" si="52"/>
        <v>8</v>
      </c>
      <c r="AA163" s="69">
        <f t="shared" si="52"/>
        <v>10</v>
      </c>
      <c r="AB163" s="69">
        <f t="shared" si="52"/>
        <v>12</v>
      </c>
      <c r="AC163" s="69">
        <f t="shared" si="52"/>
        <v>16</v>
      </c>
      <c r="AD163" s="69">
        <f t="shared" si="52"/>
        <v>17</v>
      </c>
      <c r="AE163" s="69">
        <f t="shared" si="52"/>
        <v>20</v>
      </c>
      <c r="AF163" s="69">
        <f t="shared" si="52"/>
        <v>20</v>
      </c>
      <c r="AG163" s="69">
        <f t="shared" si="52"/>
        <v>19</v>
      </c>
      <c r="AH163" s="68">
        <f t="shared" ref="AH163:AH175" si="58">IFERROR(AVERAGEIF(V163:AG163,"&gt;0"),0)</f>
        <v>16.75</v>
      </c>
      <c r="AJ163" s="19"/>
      <c r="AN163" s="137"/>
      <c r="AQ163" s="137"/>
      <c r="AS163" s="19"/>
      <c r="AT163" s="195">
        <f t="shared" ca="1" si="53"/>
        <v>185.1391896432695</v>
      </c>
      <c r="AU163" s="80">
        <f t="shared" ca="1" si="54"/>
        <v>37212.977118297167</v>
      </c>
      <c r="AV163" s="80">
        <f t="shared" ca="1" si="55"/>
        <v>3714.3171182971637</v>
      </c>
      <c r="AW163" s="216"/>
      <c r="BC163" s="499">
        <f t="shared" ca="1" si="56"/>
        <v>142.0652177386138</v>
      </c>
      <c r="BD163" s="499">
        <f t="shared" ca="1" si="57"/>
        <v>3856.3823360357774</v>
      </c>
    </row>
    <row r="164" spans="1:56" ht="12" customHeight="1">
      <c r="A164" s="5" t="str">
        <f t="shared" si="50"/>
        <v>PA-CROHAUL20</v>
      </c>
      <c r="B164" s="48" t="s">
        <v>286</v>
      </c>
      <c r="C164" s="48" t="s">
        <v>287</v>
      </c>
      <c r="D164" s="197">
        <v>106.78</v>
      </c>
      <c r="E164" s="192">
        <v>39</v>
      </c>
      <c r="F164" s="48"/>
      <c r="G164" s="68">
        <v>1922.04</v>
      </c>
      <c r="H164" s="68">
        <v>1494.92</v>
      </c>
      <c r="I164" s="68">
        <v>1494.92</v>
      </c>
      <c r="J164" s="68">
        <v>1922.04</v>
      </c>
      <c r="K164" s="68">
        <v>1388.14</v>
      </c>
      <c r="L164" s="68">
        <v>961.02</v>
      </c>
      <c r="M164" s="68">
        <v>1067.8</v>
      </c>
      <c r="N164" s="68">
        <v>1174.58</v>
      </c>
      <c r="O164" s="68">
        <v>1601.7</v>
      </c>
      <c r="P164" s="68">
        <v>2028.82</v>
      </c>
      <c r="Q164" s="68">
        <v>2669.5</v>
      </c>
      <c r="R164" s="68">
        <v>2349.16</v>
      </c>
      <c r="S164" s="68">
        <f t="shared" si="51"/>
        <v>20074.64</v>
      </c>
      <c r="T164" s="5">
        <v>31000</v>
      </c>
      <c r="V164" s="69">
        <f t="shared" si="52"/>
        <v>18</v>
      </c>
      <c r="W164" s="69">
        <f t="shared" si="52"/>
        <v>14</v>
      </c>
      <c r="X164" s="69">
        <f t="shared" si="52"/>
        <v>14</v>
      </c>
      <c r="Y164" s="69">
        <f t="shared" si="52"/>
        <v>18</v>
      </c>
      <c r="Z164" s="69">
        <f t="shared" si="52"/>
        <v>13</v>
      </c>
      <c r="AA164" s="69">
        <f t="shared" si="52"/>
        <v>9</v>
      </c>
      <c r="AB164" s="69">
        <f t="shared" si="52"/>
        <v>10</v>
      </c>
      <c r="AC164" s="69">
        <f t="shared" si="52"/>
        <v>11</v>
      </c>
      <c r="AD164" s="69">
        <f t="shared" si="52"/>
        <v>15</v>
      </c>
      <c r="AE164" s="69">
        <f t="shared" si="52"/>
        <v>19</v>
      </c>
      <c r="AF164" s="69">
        <f t="shared" si="52"/>
        <v>25</v>
      </c>
      <c r="AG164" s="69">
        <f t="shared" si="52"/>
        <v>22</v>
      </c>
      <c r="AH164" s="68">
        <f t="shared" si="58"/>
        <v>15.666666666666666</v>
      </c>
      <c r="AJ164" s="19"/>
      <c r="AN164" s="137"/>
      <c r="AQ164" s="137"/>
      <c r="AS164" s="19"/>
      <c r="AT164" s="195">
        <f t="shared" ca="1" si="53"/>
        <v>118.61972080948229</v>
      </c>
      <c r="AU164" s="80">
        <f t="shared" ca="1" si="54"/>
        <v>22300.50751218267</v>
      </c>
      <c r="AV164" s="80">
        <f t="shared" ca="1" si="55"/>
        <v>2225.8675121826709</v>
      </c>
      <c r="AW164" s="216"/>
      <c r="BC164" s="499">
        <f t="shared" ca="1" si="56"/>
        <v>85.134990552585876</v>
      </c>
      <c r="BD164" s="499">
        <f t="shared" ca="1" si="57"/>
        <v>2311.0025027352567</v>
      </c>
    </row>
    <row r="165" spans="1:56" ht="12" customHeight="1">
      <c r="A165" s="5" t="str">
        <f t="shared" si="50"/>
        <v>PA-CROHAUL20T</v>
      </c>
      <c r="B165" s="48" t="s">
        <v>288</v>
      </c>
      <c r="C165" s="48" t="s">
        <v>289</v>
      </c>
      <c r="D165" s="197">
        <v>153.33000000000001</v>
      </c>
      <c r="E165" s="192">
        <v>39</v>
      </c>
      <c r="F165" s="48"/>
      <c r="G165" s="68">
        <v>3373.26</v>
      </c>
      <c r="H165" s="68">
        <v>1993.29</v>
      </c>
      <c r="I165" s="68">
        <v>3219.93</v>
      </c>
      <c r="J165" s="68">
        <v>1993.29</v>
      </c>
      <c r="K165" s="68">
        <v>1686.63</v>
      </c>
      <c r="L165" s="68">
        <v>1379.97</v>
      </c>
      <c r="M165" s="68">
        <v>1073.31</v>
      </c>
      <c r="N165" s="68">
        <v>1379.97</v>
      </c>
      <c r="O165" s="68">
        <v>2299.9499999999998</v>
      </c>
      <c r="P165" s="68">
        <v>2606.61</v>
      </c>
      <c r="Q165" s="68">
        <v>2146.62</v>
      </c>
      <c r="R165" s="68">
        <v>1839.96</v>
      </c>
      <c r="S165" s="68">
        <f t="shared" si="51"/>
        <v>24992.789999999997</v>
      </c>
      <c r="T165" s="5">
        <v>31000</v>
      </c>
      <c r="V165" s="69">
        <f t="shared" si="52"/>
        <v>22</v>
      </c>
      <c r="W165" s="69">
        <f t="shared" si="52"/>
        <v>12.999999999999998</v>
      </c>
      <c r="X165" s="69">
        <f t="shared" si="52"/>
        <v>20.999999999999996</v>
      </c>
      <c r="Y165" s="69">
        <f t="shared" si="52"/>
        <v>12.999999999999998</v>
      </c>
      <c r="Z165" s="69">
        <f t="shared" si="52"/>
        <v>11</v>
      </c>
      <c r="AA165" s="69">
        <f t="shared" si="52"/>
        <v>9</v>
      </c>
      <c r="AB165" s="69">
        <f t="shared" si="52"/>
        <v>6.9999999999999991</v>
      </c>
      <c r="AC165" s="69">
        <f t="shared" si="52"/>
        <v>9</v>
      </c>
      <c r="AD165" s="69">
        <f t="shared" si="52"/>
        <v>14.999999999999998</v>
      </c>
      <c r="AE165" s="69">
        <f t="shared" si="52"/>
        <v>17</v>
      </c>
      <c r="AF165" s="69">
        <f t="shared" si="52"/>
        <v>13.999999999999998</v>
      </c>
      <c r="AG165" s="69">
        <f t="shared" si="52"/>
        <v>12</v>
      </c>
      <c r="AH165" s="68">
        <f t="shared" si="58"/>
        <v>13.583333333333334</v>
      </c>
      <c r="AJ165" s="19"/>
      <c r="AN165" s="137"/>
      <c r="AQ165" s="137"/>
      <c r="AS165" s="19"/>
      <c r="AT165" s="195">
        <f t="shared" ca="1" si="53"/>
        <v>170.33116493461247</v>
      </c>
      <c r="AU165" s="80">
        <f t="shared" ca="1" si="54"/>
        <v>27763.979884341832</v>
      </c>
      <c r="AV165" s="80">
        <f t="shared" ca="1" si="55"/>
        <v>2771.1898843418348</v>
      </c>
      <c r="AW165" s="216"/>
      <c r="BC165" s="499">
        <f t="shared" ca="1" si="56"/>
        <v>105.99248307978438</v>
      </c>
      <c r="BD165" s="499">
        <f t="shared" ca="1" si="57"/>
        <v>2877.1823674216193</v>
      </c>
    </row>
    <row r="166" spans="1:56" ht="12" customHeight="1">
      <c r="A166" s="5" t="str">
        <f t="shared" si="50"/>
        <v>PA-CROHAUL30</v>
      </c>
      <c r="B166" s="48" t="s">
        <v>290</v>
      </c>
      <c r="C166" s="48" t="s">
        <v>291</v>
      </c>
      <c r="D166" s="197">
        <v>113.41</v>
      </c>
      <c r="E166" s="192">
        <v>39</v>
      </c>
      <c r="F166" s="48"/>
      <c r="G166" s="68">
        <v>6691.19</v>
      </c>
      <c r="H166" s="68">
        <v>6010.73</v>
      </c>
      <c r="I166" s="68">
        <v>6691.19</v>
      </c>
      <c r="J166" s="68">
        <v>6577.78</v>
      </c>
      <c r="K166" s="68">
        <v>5897.32</v>
      </c>
      <c r="L166" s="68">
        <v>6350.96</v>
      </c>
      <c r="M166" s="68">
        <v>6464.37</v>
      </c>
      <c r="N166" s="68">
        <v>6918.01</v>
      </c>
      <c r="O166" s="68">
        <v>5897.32</v>
      </c>
      <c r="P166" s="68">
        <v>7371.65</v>
      </c>
      <c r="Q166" s="68">
        <v>6918.01</v>
      </c>
      <c r="R166" s="68">
        <v>5670.5</v>
      </c>
      <c r="S166" s="68">
        <f t="shared" si="51"/>
        <v>77459.03</v>
      </c>
      <c r="T166" s="5">
        <v>31000</v>
      </c>
      <c r="V166" s="69">
        <f t="shared" si="52"/>
        <v>59</v>
      </c>
      <c r="W166" s="69">
        <f t="shared" si="52"/>
        <v>53</v>
      </c>
      <c r="X166" s="69">
        <f t="shared" si="52"/>
        <v>59</v>
      </c>
      <c r="Y166" s="69">
        <f t="shared" si="52"/>
        <v>58</v>
      </c>
      <c r="Z166" s="69">
        <f t="shared" si="52"/>
        <v>52</v>
      </c>
      <c r="AA166" s="69">
        <f t="shared" si="52"/>
        <v>56</v>
      </c>
      <c r="AB166" s="69">
        <f t="shared" si="52"/>
        <v>57</v>
      </c>
      <c r="AC166" s="69">
        <f t="shared" si="52"/>
        <v>61.000000000000007</v>
      </c>
      <c r="AD166" s="69">
        <f t="shared" si="52"/>
        <v>52</v>
      </c>
      <c r="AE166" s="69">
        <f t="shared" si="52"/>
        <v>65</v>
      </c>
      <c r="AF166" s="69">
        <f t="shared" si="52"/>
        <v>61.000000000000007</v>
      </c>
      <c r="AG166" s="69">
        <f t="shared" si="52"/>
        <v>50</v>
      </c>
      <c r="AH166" s="68">
        <f t="shared" si="58"/>
        <v>56.916666666666664</v>
      </c>
      <c r="AJ166" s="19"/>
      <c r="AN166" s="137"/>
      <c r="AQ166" s="137"/>
      <c r="AS166" s="19"/>
      <c r="AT166" s="195">
        <f t="shared" ca="1" si="53"/>
        <v>125.98485237875431</v>
      </c>
      <c r="AU166" s="80">
        <f t="shared" ca="1" si="54"/>
        <v>86047.654174689204</v>
      </c>
      <c r="AV166" s="80">
        <f t="shared" ca="1" si="55"/>
        <v>8588.6241746892047</v>
      </c>
      <c r="AW166" s="216"/>
      <c r="BC166" s="499">
        <f t="shared" ca="1" si="56"/>
        <v>328.49773581306891</v>
      </c>
      <c r="BD166" s="499">
        <f t="shared" ca="1" si="57"/>
        <v>8917.1219105022737</v>
      </c>
    </row>
    <row r="167" spans="1:56" ht="12" customHeight="1">
      <c r="A167" s="5" t="str">
        <f t="shared" si="50"/>
        <v>PA-CROHAUL30T</v>
      </c>
      <c r="B167" s="48" t="s">
        <v>292</v>
      </c>
      <c r="C167" s="48" t="s">
        <v>293</v>
      </c>
      <c r="D167" s="197">
        <v>242.07</v>
      </c>
      <c r="E167" s="192">
        <v>39</v>
      </c>
      <c r="F167" s="48"/>
      <c r="G167" s="68">
        <v>4841.3999999999996</v>
      </c>
      <c r="H167" s="68">
        <v>2662.77</v>
      </c>
      <c r="I167" s="68">
        <v>3631.05</v>
      </c>
      <c r="J167" s="68">
        <v>2662.77</v>
      </c>
      <c r="K167" s="68">
        <v>1936.56</v>
      </c>
      <c r="L167" s="68">
        <v>9198.66</v>
      </c>
      <c r="M167" s="68">
        <v>5567.61</v>
      </c>
      <c r="N167" s="68">
        <v>3873.12</v>
      </c>
      <c r="O167" s="68">
        <v>2178.63</v>
      </c>
      <c r="P167" s="68">
        <v>4841.3999999999996</v>
      </c>
      <c r="Q167" s="68">
        <v>3388.98</v>
      </c>
      <c r="R167" s="68">
        <v>4357.26</v>
      </c>
      <c r="S167" s="68">
        <f t="shared" si="51"/>
        <v>49140.210000000006</v>
      </c>
      <c r="T167" s="5">
        <v>31000</v>
      </c>
      <c r="V167" s="69">
        <f t="shared" si="52"/>
        <v>20</v>
      </c>
      <c r="W167" s="69">
        <f t="shared" si="52"/>
        <v>11</v>
      </c>
      <c r="X167" s="69">
        <f t="shared" si="52"/>
        <v>15.000000000000002</v>
      </c>
      <c r="Y167" s="69">
        <f t="shared" si="52"/>
        <v>11</v>
      </c>
      <c r="Z167" s="69">
        <f t="shared" si="52"/>
        <v>8</v>
      </c>
      <c r="AA167" s="69">
        <f t="shared" si="52"/>
        <v>38</v>
      </c>
      <c r="AB167" s="69">
        <f t="shared" si="52"/>
        <v>23</v>
      </c>
      <c r="AC167" s="69">
        <f t="shared" si="52"/>
        <v>16</v>
      </c>
      <c r="AD167" s="69">
        <f t="shared" si="52"/>
        <v>9</v>
      </c>
      <c r="AE167" s="69">
        <f t="shared" si="52"/>
        <v>20</v>
      </c>
      <c r="AF167" s="69">
        <f t="shared" si="52"/>
        <v>14</v>
      </c>
      <c r="AG167" s="69">
        <f t="shared" si="52"/>
        <v>18</v>
      </c>
      <c r="AH167" s="68">
        <f t="shared" si="58"/>
        <v>16.916666666666668</v>
      </c>
      <c r="AJ167" s="19"/>
      <c r="AN167" s="137"/>
      <c r="AQ167" s="137"/>
      <c r="AS167" s="19"/>
      <c r="AT167" s="195">
        <f t="shared" ca="1" si="53"/>
        <v>268.91061824640735</v>
      </c>
      <c r="AU167" s="80">
        <f t="shared" ca="1" si="54"/>
        <v>54588.855504020699</v>
      </c>
      <c r="AV167" s="80">
        <f t="shared" ca="1" si="55"/>
        <v>5448.6455040206929</v>
      </c>
      <c r="AW167" s="216"/>
      <c r="BC167" s="499">
        <f t="shared" ca="1" si="56"/>
        <v>208.39981758587385</v>
      </c>
      <c r="BD167" s="499">
        <f t="shared" ca="1" si="57"/>
        <v>5657.0453216065671</v>
      </c>
    </row>
    <row r="168" spans="1:56" ht="12" customHeight="1">
      <c r="A168" s="5" t="str">
        <f t="shared" si="50"/>
        <v>PA-CROHAUL40CO</v>
      </c>
      <c r="B168" s="48" t="s">
        <v>440</v>
      </c>
      <c r="C168" s="48" t="s">
        <v>441</v>
      </c>
      <c r="D168" s="197">
        <v>114.97</v>
      </c>
      <c r="E168" s="192">
        <v>40</v>
      </c>
      <c r="F168" s="48"/>
      <c r="G168" s="68">
        <v>0</v>
      </c>
      <c r="H168" s="68">
        <v>0</v>
      </c>
      <c r="I168" s="68">
        <v>114.97</v>
      </c>
      <c r="J168" s="68">
        <v>0</v>
      </c>
      <c r="K168" s="68">
        <v>0</v>
      </c>
      <c r="L168" s="68">
        <v>0</v>
      </c>
      <c r="M168" s="68">
        <v>0</v>
      </c>
      <c r="N168" s="68">
        <v>0</v>
      </c>
      <c r="O168" s="68">
        <v>0</v>
      </c>
      <c r="P168" s="68">
        <v>0</v>
      </c>
      <c r="Q168" s="68">
        <v>0</v>
      </c>
      <c r="R168" s="68">
        <v>0</v>
      </c>
      <c r="S168" s="68">
        <f t="shared" si="51"/>
        <v>114.97</v>
      </c>
      <c r="T168" s="5">
        <v>31000</v>
      </c>
      <c r="V168" s="69">
        <f t="shared" si="52"/>
        <v>0</v>
      </c>
      <c r="W168" s="69">
        <f t="shared" si="52"/>
        <v>0</v>
      </c>
      <c r="X168" s="69">
        <f t="shared" si="52"/>
        <v>1</v>
      </c>
      <c r="Y168" s="69">
        <f t="shared" si="52"/>
        <v>0</v>
      </c>
      <c r="Z168" s="69">
        <f t="shared" si="52"/>
        <v>0</v>
      </c>
      <c r="AA168" s="69">
        <f t="shared" si="52"/>
        <v>0</v>
      </c>
      <c r="AB168" s="69">
        <f t="shared" si="52"/>
        <v>0</v>
      </c>
      <c r="AC168" s="69">
        <f t="shared" si="52"/>
        <v>0</v>
      </c>
      <c r="AD168" s="69">
        <f t="shared" si="52"/>
        <v>0</v>
      </c>
      <c r="AE168" s="69">
        <f t="shared" si="52"/>
        <v>0</v>
      </c>
      <c r="AF168" s="69">
        <f t="shared" si="52"/>
        <v>0</v>
      </c>
      <c r="AG168" s="69">
        <f t="shared" si="52"/>
        <v>0</v>
      </c>
      <c r="AH168" s="68">
        <f t="shared" si="58"/>
        <v>1</v>
      </c>
      <c r="AJ168" s="19"/>
      <c r="AN168" s="137"/>
      <c r="AQ168" s="137"/>
      <c r="AS168" s="19"/>
      <c r="AT168" s="195">
        <f t="shared" ca="1" si="53"/>
        <v>127.71782451270067</v>
      </c>
      <c r="AU168" s="80">
        <f t="shared" ca="1" si="54"/>
        <v>1532.6138941524082</v>
      </c>
      <c r="AV168" s="80">
        <f t="shared" ca="1" si="55"/>
        <v>1417.6438941524082</v>
      </c>
      <c r="AW168" s="216"/>
      <c r="BC168" s="499">
        <f t="shared" ca="1" si="56"/>
        <v>5.850946187128117</v>
      </c>
      <c r="BD168" s="499">
        <f t="shared" ca="1" si="57"/>
        <v>1423.4948403395363</v>
      </c>
    </row>
    <row r="169" spans="1:56" s="157" customFormat="1" ht="12" customHeight="1">
      <c r="A169" s="5" t="str">
        <f t="shared" si="50"/>
        <v>PA-CROMILE</v>
      </c>
      <c r="B169" s="48" t="s">
        <v>294</v>
      </c>
      <c r="C169" s="48" t="s">
        <v>295</v>
      </c>
      <c r="D169" s="197">
        <v>3.84</v>
      </c>
      <c r="E169" s="192">
        <v>40</v>
      </c>
      <c r="F169" s="48"/>
      <c r="G169" s="68">
        <v>3521.28</v>
      </c>
      <c r="H169" s="68">
        <v>2799.36</v>
      </c>
      <c r="I169" s="68">
        <v>3379.2</v>
      </c>
      <c r="J169" s="68">
        <v>2983.68</v>
      </c>
      <c r="K169" s="68">
        <v>2284.8000000000002</v>
      </c>
      <c r="L169" s="68">
        <v>2680.32</v>
      </c>
      <c r="M169" s="68">
        <v>2641.92</v>
      </c>
      <c r="N169" s="68">
        <v>2983.68</v>
      </c>
      <c r="O169" s="68">
        <v>2818.56</v>
      </c>
      <c r="P169" s="68">
        <v>3402.24</v>
      </c>
      <c r="Q169" s="68">
        <v>3340.8</v>
      </c>
      <c r="R169" s="68">
        <v>2956.8</v>
      </c>
      <c r="S169" s="68">
        <f t="shared" si="51"/>
        <v>35792.640000000007</v>
      </c>
      <c r="T169" s="5">
        <v>31010</v>
      </c>
      <c r="U169" s="1"/>
      <c r="V169" s="69">
        <f t="shared" si="52"/>
        <v>917.00000000000011</v>
      </c>
      <c r="W169" s="69">
        <f t="shared" si="52"/>
        <v>729.00000000000011</v>
      </c>
      <c r="X169" s="69">
        <f t="shared" si="52"/>
        <v>880</v>
      </c>
      <c r="Y169" s="69">
        <f t="shared" si="52"/>
        <v>777</v>
      </c>
      <c r="Z169" s="69">
        <f t="shared" si="52"/>
        <v>595.00000000000011</v>
      </c>
      <c r="AA169" s="69">
        <f t="shared" si="52"/>
        <v>698.00000000000011</v>
      </c>
      <c r="AB169" s="69">
        <f t="shared" si="52"/>
        <v>688</v>
      </c>
      <c r="AC169" s="69">
        <f t="shared" si="52"/>
        <v>777</v>
      </c>
      <c r="AD169" s="69">
        <f t="shared" si="52"/>
        <v>734</v>
      </c>
      <c r="AE169" s="69">
        <f t="shared" si="52"/>
        <v>886</v>
      </c>
      <c r="AF169" s="69">
        <f t="shared" si="52"/>
        <v>870.00000000000011</v>
      </c>
      <c r="AG169" s="69">
        <f t="shared" si="52"/>
        <v>770.00000000000011</v>
      </c>
      <c r="AH169" s="68">
        <f t="shared" si="58"/>
        <v>776.75</v>
      </c>
      <c r="AI169" s="217"/>
      <c r="AJ169" s="19"/>
      <c r="AK169" s="7"/>
      <c r="AL169" s="1"/>
      <c r="AM169" s="1"/>
      <c r="AN169" s="137"/>
      <c r="AO169" s="1"/>
      <c r="AP169" s="1"/>
      <c r="AQ169" s="137"/>
      <c r="AR169" s="1"/>
      <c r="AS169" s="19"/>
      <c r="AT169" s="195">
        <f t="shared" ca="1" si="53"/>
        <v>4.2657775604833486</v>
      </c>
      <c r="AU169" s="80">
        <f t="shared" ca="1" si="54"/>
        <v>39761.312641265293</v>
      </c>
      <c r="AV169" s="80">
        <f t="shared" ca="1" si="55"/>
        <v>3968.6726412652861</v>
      </c>
      <c r="AW169" s="216"/>
      <c r="AX169" s="1"/>
      <c r="AY169" s="1"/>
      <c r="AZ169" s="1"/>
      <c r="BA169" s="1"/>
      <c r="BC169" s="499">
        <f t="shared" ca="1" si="56"/>
        <v>151.79380891772442</v>
      </c>
      <c r="BD169" s="499">
        <f t="shared" ca="1" si="57"/>
        <v>4120.4664501830102</v>
      </c>
    </row>
    <row r="170" spans="1:56" s="157" customFormat="1" ht="12" customHeight="1">
      <c r="A170" s="5" t="str">
        <f t="shared" si="50"/>
        <v>PA-CRORELOCATE</v>
      </c>
      <c r="B170" s="48" t="s">
        <v>296</v>
      </c>
      <c r="C170" s="48" t="s">
        <v>297</v>
      </c>
      <c r="D170" s="197">
        <v>122.34</v>
      </c>
      <c r="E170" s="192">
        <v>17</v>
      </c>
      <c r="F170" s="48"/>
      <c r="G170" s="68">
        <v>122.34</v>
      </c>
      <c r="H170" s="68">
        <v>0</v>
      </c>
      <c r="I170" s="68">
        <v>0</v>
      </c>
      <c r="J170" s="68">
        <v>0</v>
      </c>
      <c r="K170" s="68">
        <v>0</v>
      </c>
      <c r="L170" s="68">
        <v>0</v>
      </c>
      <c r="M170" s="68">
        <v>0</v>
      </c>
      <c r="N170" s="68">
        <v>122.34</v>
      </c>
      <c r="O170" s="68">
        <v>0</v>
      </c>
      <c r="P170" s="68">
        <v>0</v>
      </c>
      <c r="Q170" s="68">
        <v>0</v>
      </c>
      <c r="R170" s="68">
        <v>122.34</v>
      </c>
      <c r="S170" s="68">
        <f t="shared" si="51"/>
        <v>367.02</v>
      </c>
      <c r="T170" s="5">
        <v>31010</v>
      </c>
      <c r="V170" s="68">
        <f>IFERROR(G170/$D170,0)</f>
        <v>1</v>
      </c>
      <c r="W170" s="68">
        <f t="shared" si="52"/>
        <v>0</v>
      </c>
      <c r="X170" s="68">
        <f t="shared" si="52"/>
        <v>0</v>
      </c>
      <c r="Y170" s="68">
        <f t="shared" si="52"/>
        <v>0</v>
      </c>
      <c r="Z170" s="68">
        <f t="shared" si="52"/>
        <v>0</v>
      </c>
      <c r="AA170" s="68">
        <f t="shared" si="52"/>
        <v>0</v>
      </c>
      <c r="AB170" s="68">
        <f t="shared" si="52"/>
        <v>0</v>
      </c>
      <c r="AC170" s="68">
        <f t="shared" si="52"/>
        <v>1</v>
      </c>
      <c r="AD170" s="68">
        <f t="shared" si="52"/>
        <v>0</v>
      </c>
      <c r="AE170" s="68">
        <f t="shared" si="52"/>
        <v>0</v>
      </c>
      <c r="AF170" s="68">
        <f t="shared" si="52"/>
        <v>0</v>
      </c>
      <c r="AG170" s="68">
        <f t="shared" si="52"/>
        <v>1</v>
      </c>
      <c r="AH170" s="68">
        <f t="shared" si="58"/>
        <v>1</v>
      </c>
      <c r="AI170" s="217"/>
      <c r="AJ170" s="19"/>
      <c r="AK170" s="7"/>
      <c r="AL170" s="1"/>
      <c r="AM170" s="1"/>
      <c r="AN170" s="137"/>
      <c r="AO170" s="1"/>
      <c r="AP170" s="1"/>
      <c r="AQ170" s="137"/>
      <c r="AR170" s="1"/>
      <c r="AS170" s="19"/>
      <c r="AT170" s="195">
        <f t="shared" ca="1" si="53"/>
        <v>135.90500696602419</v>
      </c>
      <c r="AU170" s="80">
        <f t="shared" ca="1" si="54"/>
        <v>1630.8600835922903</v>
      </c>
      <c r="AV170" s="80">
        <f t="shared" ca="1" si="55"/>
        <v>1263.8400835922903</v>
      </c>
      <c r="AW170" s="216"/>
      <c r="BC170" s="499">
        <f t="shared" ca="1" si="56"/>
        <v>6.2260133646451576</v>
      </c>
      <c r="BD170" s="499">
        <f t="shared" ca="1" si="57"/>
        <v>1270.0660969569356</v>
      </c>
    </row>
    <row r="171" spans="1:56" s="48" customFormat="1" ht="12" customHeight="1">
      <c r="A171" s="71" t="str">
        <f t="shared" si="50"/>
        <v>PA-CRORENT20D</v>
      </c>
      <c r="B171" s="72" t="s">
        <v>298</v>
      </c>
      <c r="C171" s="72" t="s">
        <v>299</v>
      </c>
      <c r="D171" s="197">
        <v>9.6</v>
      </c>
      <c r="E171" s="192">
        <v>39</v>
      </c>
      <c r="G171" s="75">
        <v>3417.6</v>
      </c>
      <c r="H171" s="75">
        <v>2947.2</v>
      </c>
      <c r="I171" s="75">
        <v>4368</v>
      </c>
      <c r="J171" s="75">
        <v>3398.4</v>
      </c>
      <c r="K171" s="75">
        <v>2688</v>
      </c>
      <c r="L171" s="75">
        <v>1564.8</v>
      </c>
      <c r="M171" s="75">
        <v>1536</v>
      </c>
      <c r="N171" s="75">
        <v>2332.8000000000002</v>
      </c>
      <c r="O171" s="75">
        <v>2284.8000000000002</v>
      </c>
      <c r="P171" s="75">
        <v>2592</v>
      </c>
      <c r="Q171" s="75">
        <v>2208</v>
      </c>
      <c r="R171" s="75">
        <v>2707.2</v>
      </c>
      <c r="S171" s="75">
        <f t="shared" si="51"/>
        <v>32044.799999999996</v>
      </c>
      <c r="T171" s="71">
        <v>31002</v>
      </c>
      <c r="V171" s="75">
        <f t="shared" ref="V171:AG171" si="59">IFERROR(G171/$D171,0)/30</f>
        <v>11.866666666666667</v>
      </c>
      <c r="W171" s="75">
        <f t="shared" si="59"/>
        <v>10.233333333333333</v>
      </c>
      <c r="X171" s="75">
        <f t="shared" si="59"/>
        <v>15.166666666666666</v>
      </c>
      <c r="Y171" s="75">
        <f t="shared" si="59"/>
        <v>11.8</v>
      </c>
      <c r="Z171" s="75">
        <f t="shared" si="59"/>
        <v>9.3333333333333339</v>
      </c>
      <c r="AA171" s="75">
        <f t="shared" si="59"/>
        <v>5.4333333333333336</v>
      </c>
      <c r="AB171" s="75">
        <f t="shared" si="59"/>
        <v>5.333333333333333</v>
      </c>
      <c r="AC171" s="75">
        <f t="shared" si="59"/>
        <v>8.1000000000000014</v>
      </c>
      <c r="AD171" s="75">
        <f t="shared" si="59"/>
        <v>7.9333333333333345</v>
      </c>
      <c r="AE171" s="75">
        <f t="shared" si="59"/>
        <v>9</v>
      </c>
      <c r="AF171" s="75">
        <f t="shared" si="59"/>
        <v>7.666666666666667</v>
      </c>
      <c r="AG171" s="75">
        <f t="shared" si="59"/>
        <v>9.4</v>
      </c>
      <c r="AH171" s="75">
        <f t="shared" si="58"/>
        <v>9.2722222222222221</v>
      </c>
      <c r="AI171" s="161"/>
      <c r="AJ171" s="19"/>
      <c r="AK171" s="7" t="s">
        <v>300</v>
      </c>
      <c r="AL171" s="1"/>
      <c r="AM171" s="1"/>
      <c r="AN171" s="137"/>
      <c r="AO171" s="1"/>
      <c r="AP171" s="1">
        <v>1</v>
      </c>
      <c r="AQ171" s="137">
        <f>+AH171*AP171</f>
        <v>9.2722222222222221</v>
      </c>
      <c r="AR171" s="1"/>
      <c r="AS171" s="19"/>
      <c r="AT171" s="195">
        <f t="shared" ca="1" si="53"/>
        <v>10.66444390120837</v>
      </c>
      <c r="AU171" s="80">
        <f ca="1">+AT171*AH171*12*30</f>
        <v>35597.913742233541</v>
      </c>
      <c r="AV171" s="80">
        <f t="shared" ca="1" si="55"/>
        <v>3553.1137422335451</v>
      </c>
      <c r="AW171" s="216"/>
      <c r="AX171" s="157"/>
      <c r="AY171" s="157"/>
      <c r="AZ171" s="157"/>
      <c r="BA171" s="157"/>
      <c r="BC171" s="499">
        <f t="shared" ca="1" si="56"/>
        <v>135.89951029057076</v>
      </c>
      <c r="BD171" s="499">
        <f t="shared" ca="1" si="57"/>
        <v>3689.0132525241156</v>
      </c>
    </row>
    <row r="172" spans="1:56" s="48" customFormat="1" ht="12" customHeight="1">
      <c r="A172" s="71" t="str">
        <f t="shared" si="50"/>
        <v>PA-CRORENT20M</v>
      </c>
      <c r="B172" s="72" t="s">
        <v>301</v>
      </c>
      <c r="C172" s="72" t="s">
        <v>302</v>
      </c>
      <c r="D172" s="197">
        <v>78.650000000000006</v>
      </c>
      <c r="E172" s="192">
        <v>39</v>
      </c>
      <c r="G172" s="75">
        <v>449.05</v>
      </c>
      <c r="H172" s="75">
        <v>498.11</v>
      </c>
      <c r="I172" s="75">
        <v>550.54999999999995</v>
      </c>
      <c r="J172" s="75">
        <v>498.11</v>
      </c>
      <c r="K172" s="75">
        <v>393.25</v>
      </c>
      <c r="L172" s="75">
        <v>393.25</v>
      </c>
      <c r="M172" s="75">
        <v>488.75</v>
      </c>
      <c r="N172" s="75">
        <v>553.16999999999996</v>
      </c>
      <c r="O172" s="75">
        <v>655.41</v>
      </c>
      <c r="P172" s="75">
        <v>842.31</v>
      </c>
      <c r="Q172" s="75">
        <v>810.09</v>
      </c>
      <c r="R172" s="75">
        <v>786.5</v>
      </c>
      <c r="S172" s="75">
        <f t="shared" si="51"/>
        <v>6918.5500000000011</v>
      </c>
      <c r="T172" s="71">
        <v>31002</v>
      </c>
      <c r="V172" s="75">
        <f t="shared" ref="V172:AG172" si="60">IFERROR(G172/$D172,0)</f>
        <v>5.709472345835982</v>
      </c>
      <c r="W172" s="75">
        <f t="shared" si="60"/>
        <v>6.3332485696122056</v>
      </c>
      <c r="X172" s="75">
        <f t="shared" si="60"/>
        <v>6.9999999999999991</v>
      </c>
      <c r="Y172" s="75">
        <f t="shared" si="60"/>
        <v>6.3332485696122056</v>
      </c>
      <c r="Z172" s="75">
        <f t="shared" si="60"/>
        <v>5</v>
      </c>
      <c r="AA172" s="75">
        <f t="shared" si="60"/>
        <v>5</v>
      </c>
      <c r="AB172" s="75">
        <f t="shared" si="60"/>
        <v>6.2142403051493957</v>
      </c>
      <c r="AC172" s="75">
        <f t="shared" si="60"/>
        <v>7.0333121424030507</v>
      </c>
      <c r="AD172" s="75">
        <f t="shared" si="60"/>
        <v>8.3332485696122056</v>
      </c>
      <c r="AE172" s="75">
        <f t="shared" si="60"/>
        <v>10.709599491417672</v>
      </c>
      <c r="AF172" s="75">
        <f t="shared" si="60"/>
        <v>10.299936427209154</v>
      </c>
      <c r="AG172" s="75">
        <f t="shared" si="60"/>
        <v>10</v>
      </c>
      <c r="AH172" s="75">
        <f t="shared" si="58"/>
        <v>7.3305255350709899</v>
      </c>
      <c r="AI172" s="161"/>
      <c r="AJ172" s="19"/>
      <c r="AK172" s="7" t="s">
        <v>300</v>
      </c>
      <c r="AL172" s="1"/>
      <c r="AM172" s="1"/>
      <c r="AN172" s="137"/>
      <c r="AO172" s="1"/>
      <c r="AP172" s="1">
        <v>1</v>
      </c>
      <c r="AQ172" s="137">
        <f>+AH172*AP172</f>
        <v>7.3305255350709899</v>
      </c>
      <c r="AR172" s="1"/>
      <c r="AS172" s="19"/>
      <c r="AT172" s="195">
        <f t="shared" ca="1" si="53"/>
        <v>87.370678419795681</v>
      </c>
      <c r="AU172" s="80">
        <f t="shared" ca="1" si="54"/>
        <v>7685.6758700734581</v>
      </c>
      <c r="AV172" s="80">
        <f t="shared" ca="1" si="55"/>
        <v>767.12587007345701</v>
      </c>
      <c r="AW172" s="216"/>
      <c r="BC172" s="499">
        <f t="shared" ca="1" si="56"/>
        <v>29.341033706586675</v>
      </c>
      <c r="BD172" s="499">
        <f t="shared" ca="1" si="57"/>
        <v>796.46690378004371</v>
      </c>
    </row>
    <row r="173" spans="1:56" s="19" customFormat="1" ht="12" customHeight="1">
      <c r="A173" s="71" t="str">
        <f t="shared" si="50"/>
        <v>PA-CRORENT30D</v>
      </c>
      <c r="B173" s="72" t="s">
        <v>303</v>
      </c>
      <c r="C173" s="72" t="s">
        <v>304</v>
      </c>
      <c r="D173" s="197">
        <v>16</v>
      </c>
      <c r="E173" s="192">
        <v>39</v>
      </c>
      <c r="F173" s="48"/>
      <c r="G173" s="75">
        <v>2848</v>
      </c>
      <c r="H173" s="75">
        <v>3200</v>
      </c>
      <c r="I173" s="75">
        <v>3360</v>
      </c>
      <c r="J173" s="75">
        <v>448</v>
      </c>
      <c r="K173" s="75">
        <v>4480</v>
      </c>
      <c r="L173" s="75">
        <v>2416</v>
      </c>
      <c r="M173" s="75">
        <v>1616</v>
      </c>
      <c r="N173" s="75">
        <v>2064</v>
      </c>
      <c r="O173" s="75">
        <v>1808</v>
      </c>
      <c r="P173" s="75">
        <v>3504</v>
      </c>
      <c r="Q173" s="75">
        <v>3920</v>
      </c>
      <c r="R173" s="75">
        <v>4688</v>
      </c>
      <c r="S173" s="75">
        <f t="shared" si="51"/>
        <v>34352</v>
      </c>
      <c r="T173" s="71">
        <v>31002</v>
      </c>
      <c r="U173" s="48"/>
      <c r="V173" s="75">
        <f t="shared" ref="V173:AG173" si="61">IFERROR(G173/$D173,0)/30</f>
        <v>5.9333333333333336</v>
      </c>
      <c r="W173" s="75">
        <f t="shared" si="61"/>
        <v>6.666666666666667</v>
      </c>
      <c r="X173" s="75">
        <f t="shared" si="61"/>
        <v>7</v>
      </c>
      <c r="Y173" s="75">
        <f t="shared" si="61"/>
        <v>0.93333333333333335</v>
      </c>
      <c r="Z173" s="75">
        <f t="shared" si="61"/>
        <v>9.3333333333333339</v>
      </c>
      <c r="AA173" s="75">
        <f t="shared" si="61"/>
        <v>5.0333333333333332</v>
      </c>
      <c r="AB173" s="75">
        <f t="shared" si="61"/>
        <v>3.3666666666666667</v>
      </c>
      <c r="AC173" s="75">
        <f t="shared" si="61"/>
        <v>4.3</v>
      </c>
      <c r="AD173" s="75">
        <f t="shared" si="61"/>
        <v>3.7666666666666666</v>
      </c>
      <c r="AE173" s="75">
        <f t="shared" si="61"/>
        <v>7.3</v>
      </c>
      <c r="AF173" s="75">
        <f t="shared" si="61"/>
        <v>8.1666666666666661</v>
      </c>
      <c r="AG173" s="75">
        <f t="shared" si="61"/>
        <v>9.7666666666666675</v>
      </c>
      <c r="AH173" s="75">
        <f t="shared" si="58"/>
        <v>5.9638888888888886</v>
      </c>
      <c r="AI173" s="49"/>
      <c r="AK173" s="7" t="s">
        <v>305</v>
      </c>
      <c r="AL173" s="1"/>
      <c r="AM173" s="1"/>
      <c r="AN173" s="137"/>
      <c r="AO173" s="1"/>
      <c r="AP173" s="1">
        <v>1</v>
      </c>
      <c r="AQ173" s="137">
        <f>+AH173*AP173</f>
        <v>5.9638888888888886</v>
      </c>
      <c r="AR173" s="1"/>
      <c r="AT173" s="195">
        <f t="shared" ca="1" si="53"/>
        <v>17.774073168680619</v>
      </c>
      <c r="AU173" s="80">
        <f ca="1">+AT173*AH173*12*30</f>
        <v>38160.935093157292</v>
      </c>
      <c r="AV173" s="80">
        <f t="shared" ca="1" si="55"/>
        <v>3808.9350931572917</v>
      </c>
      <c r="AW173" s="216"/>
      <c r="AX173" s="48"/>
      <c r="AY173" s="48"/>
      <c r="AZ173" s="48"/>
      <c r="BA173" s="48"/>
      <c r="BC173" s="499">
        <f t="shared" ca="1" si="56"/>
        <v>145.68416646387831</v>
      </c>
      <c r="BD173" s="499">
        <f t="shared" ca="1" si="57"/>
        <v>3954.6192596211699</v>
      </c>
    </row>
    <row r="174" spans="1:56" s="19" customFormat="1" ht="12" customHeight="1">
      <c r="A174" s="71" t="str">
        <f t="shared" si="50"/>
        <v>PA-CRORENT30M</v>
      </c>
      <c r="B174" s="72" t="s">
        <v>306</v>
      </c>
      <c r="C174" s="72" t="s">
        <v>307</v>
      </c>
      <c r="D174" s="197">
        <v>81.900000000000006</v>
      </c>
      <c r="E174" s="192">
        <v>39</v>
      </c>
      <c r="F174" s="48"/>
      <c r="G174" s="75">
        <v>1770.09</v>
      </c>
      <c r="H174" s="75">
        <v>1801.8</v>
      </c>
      <c r="I174" s="75">
        <v>1801.8</v>
      </c>
      <c r="J174" s="75">
        <v>1801.8</v>
      </c>
      <c r="K174" s="75">
        <v>1801.8</v>
      </c>
      <c r="L174" s="75">
        <v>1801.8</v>
      </c>
      <c r="M174" s="75">
        <v>1804.71</v>
      </c>
      <c r="N174" s="75">
        <v>1767.43</v>
      </c>
      <c r="O174" s="75">
        <v>1719.9</v>
      </c>
      <c r="P174" s="75">
        <v>1762.17</v>
      </c>
      <c r="Q174" s="75">
        <v>1741.72</v>
      </c>
      <c r="R174" s="75">
        <v>1719.9</v>
      </c>
      <c r="S174" s="75">
        <f t="shared" si="51"/>
        <v>21294.920000000002</v>
      </c>
      <c r="T174" s="71">
        <v>31002</v>
      </c>
      <c r="U174" s="48"/>
      <c r="V174" s="75">
        <f t="shared" ref="V174:AG175" si="62">IFERROR(G174/$D174,0)</f>
        <v>21.612820512820509</v>
      </c>
      <c r="W174" s="75">
        <f t="shared" si="62"/>
        <v>21.999999999999996</v>
      </c>
      <c r="X174" s="75">
        <f t="shared" si="62"/>
        <v>21.999999999999996</v>
      </c>
      <c r="Y174" s="75">
        <f t="shared" si="62"/>
        <v>21.999999999999996</v>
      </c>
      <c r="Z174" s="75">
        <f t="shared" si="62"/>
        <v>21.999999999999996</v>
      </c>
      <c r="AA174" s="75">
        <f t="shared" si="62"/>
        <v>21.999999999999996</v>
      </c>
      <c r="AB174" s="75">
        <f t="shared" si="62"/>
        <v>22.035531135531134</v>
      </c>
      <c r="AC174" s="75">
        <f t="shared" si="62"/>
        <v>21.58034188034188</v>
      </c>
      <c r="AD174" s="75">
        <f t="shared" si="62"/>
        <v>21</v>
      </c>
      <c r="AE174" s="75">
        <f t="shared" si="62"/>
        <v>21.516117216117216</v>
      </c>
      <c r="AF174" s="75">
        <f t="shared" si="62"/>
        <v>21.266422466422465</v>
      </c>
      <c r="AG174" s="75">
        <f t="shared" si="62"/>
        <v>21</v>
      </c>
      <c r="AH174" s="75">
        <f t="shared" si="58"/>
        <v>21.667602767602762</v>
      </c>
      <c r="AI174" s="49"/>
      <c r="AK174" s="7" t="s">
        <v>305</v>
      </c>
      <c r="AL174" s="1"/>
      <c r="AM174" s="1"/>
      <c r="AN174" s="137"/>
      <c r="AO174" s="1"/>
      <c r="AP174" s="1">
        <v>1</v>
      </c>
      <c r="AQ174" s="137">
        <f>+AH174*AP174</f>
        <v>21.667602767602762</v>
      </c>
      <c r="AR174" s="1"/>
      <c r="AT174" s="195">
        <f t="shared" ca="1" si="53"/>
        <v>90.98103703218392</v>
      </c>
      <c r="AU174" s="80">
        <f ca="1">+AT174*AH174*12</f>
        <v>23656.091637575013</v>
      </c>
      <c r="AV174" s="80">
        <f t="shared" ca="1" si="55"/>
        <v>2361.1716375750111</v>
      </c>
      <c r="AW174" s="216"/>
      <c r="BC174" s="499">
        <f t="shared" ca="1" si="56"/>
        <v>90.310103345219218</v>
      </c>
      <c r="BD174" s="499">
        <f t="shared" ca="1" si="57"/>
        <v>2451.4817409202305</v>
      </c>
    </row>
    <row r="175" spans="1:56" s="48" customFormat="1" ht="12" customHeight="1">
      <c r="A175" s="19" t="str">
        <f t="shared" si="50"/>
        <v>PA-CROWAIT</v>
      </c>
      <c r="B175" s="48" t="s">
        <v>308</v>
      </c>
      <c r="C175" s="48" t="s">
        <v>309</v>
      </c>
      <c r="D175" s="197">
        <v>80.72</v>
      </c>
      <c r="E175" s="192">
        <v>29</v>
      </c>
      <c r="G175" s="68">
        <v>0</v>
      </c>
      <c r="H175" s="68">
        <v>40.36</v>
      </c>
      <c r="I175" s="68">
        <v>0</v>
      </c>
      <c r="J175" s="68">
        <v>0</v>
      </c>
      <c r="K175" s="68">
        <v>0</v>
      </c>
      <c r="L175" s="68">
        <v>40.36</v>
      </c>
      <c r="M175" s="68">
        <v>0</v>
      </c>
      <c r="N175" s="68">
        <v>0</v>
      </c>
      <c r="O175" s="68">
        <v>0</v>
      </c>
      <c r="P175" s="68">
        <v>60.54</v>
      </c>
      <c r="Q175" s="68">
        <v>0</v>
      </c>
      <c r="R175" s="68">
        <v>40.36</v>
      </c>
      <c r="S175" s="68">
        <f t="shared" si="51"/>
        <v>181.62</v>
      </c>
      <c r="T175" s="19">
        <v>31010</v>
      </c>
      <c r="V175" s="69">
        <f t="shared" si="62"/>
        <v>0</v>
      </c>
      <c r="W175" s="69">
        <f t="shared" si="62"/>
        <v>0.5</v>
      </c>
      <c r="X175" s="69">
        <f t="shared" si="62"/>
        <v>0</v>
      </c>
      <c r="Y175" s="69">
        <f t="shared" si="62"/>
        <v>0</v>
      </c>
      <c r="Z175" s="69">
        <f t="shared" si="62"/>
        <v>0</v>
      </c>
      <c r="AA175" s="69">
        <f t="shared" si="62"/>
        <v>0.5</v>
      </c>
      <c r="AB175" s="69">
        <f t="shared" si="62"/>
        <v>0</v>
      </c>
      <c r="AC175" s="69">
        <f t="shared" si="62"/>
        <v>0</v>
      </c>
      <c r="AD175" s="69">
        <f t="shared" si="62"/>
        <v>0</v>
      </c>
      <c r="AE175" s="69">
        <f t="shared" si="62"/>
        <v>0.75</v>
      </c>
      <c r="AF175" s="69">
        <f t="shared" si="62"/>
        <v>0</v>
      </c>
      <c r="AG175" s="69">
        <f t="shared" si="62"/>
        <v>0.5</v>
      </c>
      <c r="AH175" s="68">
        <f t="shared" si="58"/>
        <v>0.5625</v>
      </c>
      <c r="AI175" s="161"/>
      <c r="AJ175" s="19"/>
      <c r="AK175" s="7"/>
      <c r="AL175" s="1"/>
      <c r="AM175" s="1"/>
      <c r="AN175" s="137"/>
      <c r="AO175" s="1"/>
      <c r="AP175" s="1"/>
      <c r="AQ175" s="137"/>
      <c r="AR175" s="1"/>
      <c r="AS175" s="19"/>
      <c r="AT175" s="195">
        <f t="shared" ca="1" si="53"/>
        <v>89.670199135993727</v>
      </c>
      <c r="AU175" s="80">
        <f t="shared" ca="1" si="54"/>
        <v>605.27384416795758</v>
      </c>
      <c r="AV175" s="80">
        <f t="shared" ca="1" si="55"/>
        <v>423.65384416795757</v>
      </c>
      <c r="AW175" s="216"/>
      <c r="AX175" s="19"/>
      <c r="AY175" s="19"/>
      <c r="AZ175" s="19"/>
      <c r="BA175" s="19"/>
      <c r="BC175" s="499">
        <f t="shared" ca="1" si="56"/>
        <v>2.310708981704376</v>
      </c>
      <c r="BD175" s="499">
        <f t="shared" ca="1" si="57"/>
        <v>425.96455314966192</v>
      </c>
    </row>
    <row r="176" spans="1:56" ht="12" customHeight="1" thickBot="1">
      <c r="B176" s="48"/>
      <c r="C176" s="48"/>
      <c r="D176" s="209"/>
      <c r="E176" s="21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5"/>
      <c r="V176" s="69"/>
      <c r="W176" s="69"/>
      <c r="X176" s="69"/>
      <c r="Y176" s="69"/>
      <c r="Z176" s="69"/>
      <c r="AA176" s="69"/>
      <c r="AB176" s="69"/>
      <c r="AC176" s="69"/>
      <c r="AD176" s="69"/>
      <c r="AE176" s="69"/>
      <c r="AF176" s="69"/>
      <c r="AG176" s="69"/>
      <c r="AH176" s="68"/>
      <c r="AN176" s="137"/>
      <c r="AP176" s="137"/>
      <c r="AS176" s="19"/>
      <c r="AT176" s="195">
        <f t="shared" ca="1" si="53"/>
        <v>0</v>
      </c>
      <c r="AU176" s="80">
        <f t="shared" ca="1" si="54"/>
        <v>0</v>
      </c>
      <c r="AV176" s="80">
        <f t="shared" ca="1" si="55"/>
        <v>0</v>
      </c>
      <c r="AW176" s="216"/>
      <c r="AX176" s="48"/>
      <c r="AY176" s="48"/>
      <c r="AZ176" s="48"/>
      <c r="BA176" s="48"/>
    </row>
    <row r="177" spans="1:73" s="41" customFormat="1" ht="12" customHeight="1" thickBot="1">
      <c r="B177" s="108"/>
      <c r="C177" s="108"/>
      <c r="D177" s="209"/>
      <c r="E177" s="218"/>
      <c r="F177" s="108"/>
      <c r="G177" s="115">
        <f t="shared" ref="G177:R177" si="63">SUM(G160:G176)</f>
        <v>35967.789999999994</v>
      </c>
      <c r="H177" s="115">
        <f t="shared" si="63"/>
        <v>27429.86</v>
      </c>
      <c r="I177" s="115">
        <f t="shared" si="63"/>
        <v>33410.39</v>
      </c>
      <c r="J177" s="115">
        <f t="shared" si="63"/>
        <v>26615.010000000002</v>
      </c>
      <c r="K177" s="115">
        <f t="shared" si="63"/>
        <v>25584.04</v>
      </c>
      <c r="L177" s="115">
        <f t="shared" si="63"/>
        <v>30236.799999999999</v>
      </c>
      <c r="M177" s="115">
        <f t="shared" si="63"/>
        <v>25528.97</v>
      </c>
      <c r="N177" s="115">
        <f t="shared" si="63"/>
        <v>27618.719999999998</v>
      </c>
      <c r="O177" s="115">
        <f t="shared" si="63"/>
        <v>25578.91</v>
      </c>
      <c r="P177" s="115">
        <f t="shared" si="63"/>
        <v>34128</v>
      </c>
      <c r="Q177" s="115">
        <f t="shared" si="63"/>
        <v>32109.16</v>
      </c>
      <c r="R177" s="115">
        <f t="shared" si="63"/>
        <v>31735.119999999999</v>
      </c>
      <c r="S177" s="115">
        <f>SUM(G177:R177)</f>
        <v>355942.76999999996</v>
      </c>
      <c r="T177" s="3"/>
      <c r="V177" s="203">
        <f t="shared" ref="V177:AH177" si="64">+SUM(V161:V162,V171:V174)</f>
        <v>56.122292858656493</v>
      </c>
      <c r="W177" s="203">
        <f t="shared" si="64"/>
        <v>54.233248569612201</v>
      </c>
      <c r="X177" s="203">
        <f t="shared" si="64"/>
        <v>61.166666666666657</v>
      </c>
      <c r="Y177" s="203">
        <f t="shared" si="64"/>
        <v>53.066581902945536</v>
      </c>
      <c r="Z177" s="203">
        <f t="shared" si="64"/>
        <v>55.666666666666671</v>
      </c>
      <c r="AA177" s="203">
        <f t="shared" si="64"/>
        <v>48.466666666666669</v>
      </c>
      <c r="AB177" s="203">
        <f t="shared" si="64"/>
        <v>44.949771440680529</v>
      </c>
      <c r="AC177" s="203">
        <f t="shared" si="64"/>
        <v>52.01365402274493</v>
      </c>
      <c r="AD177" s="203">
        <f t="shared" si="64"/>
        <v>50.033248569612205</v>
      </c>
      <c r="AE177" s="203">
        <f t="shared" si="64"/>
        <v>59.525716707534883</v>
      </c>
      <c r="AF177" s="203">
        <f t="shared" si="64"/>
        <v>57.399692226964959</v>
      </c>
      <c r="AG177" s="203">
        <f t="shared" si="64"/>
        <v>58.166666666666664</v>
      </c>
      <c r="AH177" s="203">
        <f t="shared" si="64"/>
        <v>49.234239413784863</v>
      </c>
      <c r="AI177" s="6">
        <f>AH177-39</f>
        <v>10.234239413784863</v>
      </c>
      <c r="AK177" s="7"/>
      <c r="AL177" s="1"/>
      <c r="AM177" s="118">
        <f>SUM(AM156:AM176)</f>
        <v>0</v>
      </c>
      <c r="AN177"/>
      <c r="AO177" s="118">
        <f>SUM(AO156:AO176)</f>
        <v>0</v>
      </c>
      <c r="AP177"/>
      <c r="AQ177" s="118">
        <f>SUM(AQ156:AQ176)</f>
        <v>44.234239413784863</v>
      </c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C177" s="502"/>
      <c r="BD177" s="502"/>
    </row>
    <row r="178" spans="1:73" ht="12" customHeight="1">
      <c r="B178" s="19"/>
      <c r="C178" s="19"/>
      <c r="D178" s="209"/>
      <c r="E178" s="209"/>
      <c r="F178" s="48"/>
      <c r="G178" s="219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5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1"/>
      <c r="AS178" s="41"/>
    </row>
    <row r="179" spans="1:73" ht="12" customHeight="1">
      <c r="B179" s="154" t="s">
        <v>317</v>
      </c>
      <c r="C179" s="154" t="s">
        <v>317</v>
      </c>
      <c r="D179" s="209"/>
      <c r="E179" s="209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5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1"/>
      <c r="AT179" s="41"/>
      <c r="AU179" s="119">
        <f ca="1">SUM(AU161:OFFSET(AU179,-1,0))</f>
        <v>397638.60999005847</v>
      </c>
      <c r="AV179" s="119">
        <f ca="1">SUM(AV161:OFFSET(AV179,-1,0))</f>
        <v>42418.239990058515</v>
      </c>
      <c r="AW179" s="41"/>
      <c r="AX179" s="41"/>
      <c r="AY179" s="41"/>
      <c r="AZ179" s="41"/>
      <c r="BA179" s="41"/>
      <c r="BB179" s="513">
        <f ca="1">+BC179+'CityPA-M Price Out'!BC44</f>
        <v>2207.8298445807068</v>
      </c>
      <c r="BC179" s="510">
        <f ca="1">SUM(BC161:OFFSET(BC179,-1,0))</f>
        <v>1518.0353759372199</v>
      </c>
      <c r="BD179" s="510">
        <f ca="1">SUM(BD161:OFFSET(BD179,-1,0))</f>
        <v>43936.275365995731</v>
      </c>
    </row>
    <row r="180" spans="1:73" ht="12" customHeight="1">
      <c r="A180" s="5" t="str">
        <f>"PA-C"&amp;B180</f>
        <v>PA-CDISP</v>
      </c>
      <c r="B180" s="48" t="s">
        <v>318</v>
      </c>
      <c r="C180" s="48" t="s">
        <v>319</v>
      </c>
      <c r="D180" s="73">
        <v>144.99</v>
      </c>
      <c r="E180" s="192">
        <v>34</v>
      </c>
      <c r="F180" s="48"/>
      <c r="G180" s="68">
        <v>51910.79</v>
      </c>
      <c r="H180" s="68">
        <v>36711.51</v>
      </c>
      <c r="I180" s="68">
        <v>44364.07</v>
      </c>
      <c r="J180" s="68">
        <v>43995.76</v>
      </c>
      <c r="K180" s="68">
        <v>38580.400000000001</v>
      </c>
      <c r="L180" s="68">
        <v>39303.839999999997</v>
      </c>
      <c r="M180" s="68">
        <v>44519.14</v>
      </c>
      <c r="N180" s="68">
        <v>46582.39</v>
      </c>
      <c r="O180" s="68">
        <v>36737.620000000003</v>
      </c>
      <c r="P180" s="68">
        <v>50563.77</v>
      </c>
      <c r="Q180" s="68">
        <v>45074.49</v>
      </c>
      <c r="R180" s="68">
        <v>39109.550000000003</v>
      </c>
      <c r="S180" s="68">
        <f>SUM(G180:R180)</f>
        <v>517453.33</v>
      </c>
      <c r="T180" s="5">
        <v>31005</v>
      </c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1"/>
      <c r="AX180" s="41"/>
    </row>
    <row r="181" spans="1:73" ht="12" customHeight="1">
      <c r="B181" s="48"/>
      <c r="C181" s="48"/>
      <c r="D181" s="209"/>
      <c r="E181" s="209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5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1"/>
      <c r="AJ181" s="19"/>
      <c r="AT181" s="80"/>
      <c r="AX181" s="215"/>
    </row>
    <row r="182" spans="1:73" s="41" customFormat="1" ht="12" customHeight="1">
      <c r="A182" s="3"/>
      <c r="B182" s="45"/>
      <c r="C182" s="112" t="s">
        <v>320</v>
      </c>
      <c r="D182" s="209"/>
      <c r="E182" s="209"/>
      <c r="F182" s="108"/>
      <c r="G182" s="115">
        <f t="shared" ref="G182:R182" si="65">SUM(G180:G181)</f>
        <v>51910.79</v>
      </c>
      <c r="H182" s="115">
        <f t="shared" si="65"/>
        <v>36711.51</v>
      </c>
      <c r="I182" s="115">
        <f t="shared" si="65"/>
        <v>44364.07</v>
      </c>
      <c r="J182" s="115">
        <f t="shared" si="65"/>
        <v>43995.76</v>
      </c>
      <c r="K182" s="115">
        <f t="shared" si="65"/>
        <v>38580.400000000001</v>
      </c>
      <c r="L182" s="115">
        <f t="shared" si="65"/>
        <v>39303.839999999997</v>
      </c>
      <c r="M182" s="115">
        <f t="shared" si="65"/>
        <v>44519.14</v>
      </c>
      <c r="N182" s="115">
        <f t="shared" si="65"/>
        <v>46582.39</v>
      </c>
      <c r="O182" s="115">
        <f t="shared" si="65"/>
        <v>36737.620000000003</v>
      </c>
      <c r="P182" s="115">
        <f t="shared" si="65"/>
        <v>50563.77</v>
      </c>
      <c r="Q182" s="115">
        <f t="shared" si="65"/>
        <v>45074.49</v>
      </c>
      <c r="R182" s="115">
        <f t="shared" si="65"/>
        <v>39109.550000000003</v>
      </c>
      <c r="S182" s="115">
        <f>SUM(G182:R182)</f>
        <v>517453.33</v>
      </c>
      <c r="T182" s="3"/>
      <c r="V182" s="108"/>
      <c r="W182" s="108"/>
      <c r="X182" s="108"/>
      <c r="Y182" s="108"/>
      <c r="Z182" s="108"/>
      <c r="AA182" s="108"/>
      <c r="AB182" s="108"/>
      <c r="AC182" s="108"/>
      <c r="AD182" s="108"/>
      <c r="AE182" s="108"/>
      <c r="AF182" s="108"/>
      <c r="AG182" s="108"/>
      <c r="AI182" s="6"/>
      <c r="AJ182" s="19"/>
      <c r="AK182" s="7"/>
      <c r="AL182" s="1"/>
      <c r="AM182" s="1"/>
      <c r="AN182" s="1"/>
      <c r="AO182" s="1"/>
      <c r="AP182" s="1"/>
      <c r="AQ182" s="1"/>
      <c r="AR182" s="1"/>
      <c r="AS182" s="19"/>
      <c r="AT182" s="80">
        <f>+D182</f>
        <v>0</v>
      </c>
      <c r="AU182" s="80">
        <f>+S182</f>
        <v>517453.33</v>
      </c>
      <c r="AV182" s="80">
        <f>+AU182-S182</f>
        <v>0</v>
      </c>
      <c r="AW182" s="1"/>
      <c r="AX182" s="1"/>
      <c r="AY182" s="1"/>
      <c r="AZ182" s="1"/>
      <c r="BA182" s="1"/>
      <c r="BC182" s="502"/>
      <c r="BD182" s="502"/>
    </row>
    <row r="183" spans="1:73" s="5" customFormat="1" ht="12" customHeight="1">
      <c r="B183" s="19"/>
      <c r="C183" s="126"/>
      <c r="D183" s="209"/>
      <c r="E183" s="209"/>
      <c r="F183" s="48"/>
      <c r="G183" s="220"/>
      <c r="H183" s="220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U183" s="1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1"/>
      <c r="AI183" s="44"/>
      <c r="AJ183" s="19"/>
      <c r="AK183" s="7"/>
      <c r="AL183" s="1"/>
      <c r="AM183" s="1"/>
      <c r="AN183" s="1"/>
      <c r="AO183" s="1"/>
      <c r="AP183" s="1"/>
      <c r="AQ183" s="1"/>
      <c r="AR183" s="1"/>
      <c r="AS183" s="19"/>
      <c r="AT183" s="80"/>
      <c r="AU183" s="80"/>
      <c r="AV183" s="1"/>
      <c r="AW183" s="1"/>
      <c r="AX183" s="1"/>
      <c r="AY183" s="1"/>
      <c r="AZ183" s="1"/>
      <c r="BA183" s="1"/>
      <c r="BC183" s="502"/>
      <c r="BD183" s="502"/>
    </row>
    <row r="184" spans="1:73" s="5" customFormat="1" ht="12" customHeight="1">
      <c r="B184" s="153" t="s">
        <v>321</v>
      </c>
      <c r="C184" s="153" t="s">
        <v>321</v>
      </c>
      <c r="D184" s="199"/>
      <c r="E184" s="199"/>
      <c r="F184" s="67"/>
      <c r="G184" s="125"/>
      <c r="H184" s="68" t="str">
        <f>IF(F184="","",(#REF!/F184)+(#REF!/D184))</f>
        <v/>
      </c>
      <c r="I184" s="68" t="str">
        <f>IF(F184="","",H184/12)</f>
        <v/>
      </c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V184" s="69"/>
      <c r="W184" s="69"/>
      <c r="X184" s="69"/>
      <c r="Y184" s="69"/>
      <c r="Z184" s="69"/>
      <c r="AA184" s="69"/>
      <c r="AB184" s="69"/>
      <c r="AC184" s="69"/>
      <c r="AD184" s="69"/>
      <c r="AE184" s="69"/>
      <c r="AF184" s="69"/>
      <c r="AG184" s="69"/>
      <c r="AH184" s="41"/>
      <c r="AI184" s="44"/>
      <c r="AJ184" s="19"/>
      <c r="AK184" s="7"/>
      <c r="AL184" s="1"/>
      <c r="AM184" s="1"/>
      <c r="AN184" s="1"/>
      <c r="AO184" s="1"/>
      <c r="AP184" s="1"/>
      <c r="AQ184" s="1"/>
      <c r="AR184" s="1"/>
      <c r="AS184" s="19"/>
      <c r="AT184" s="80"/>
      <c r="AU184" s="115">
        <f>SUM(AU182:AU183)</f>
        <v>517453.33</v>
      </c>
      <c r="AV184" s="115">
        <f>SUM(AV182:AV183)</f>
        <v>0</v>
      </c>
      <c r="AW184" s="41"/>
      <c r="AX184" s="41"/>
      <c r="AY184" s="41"/>
      <c r="AZ184" s="41"/>
      <c r="BA184" s="41"/>
      <c r="BC184" s="502"/>
      <c r="BD184" s="502"/>
    </row>
    <row r="185" spans="1:73" s="5" customFormat="1" ht="12" customHeight="1">
      <c r="A185" s="5" t="str">
        <f>"PA-C"&amp;B185</f>
        <v>PA-CFINCHG</v>
      </c>
      <c r="B185" s="48" t="s">
        <v>322</v>
      </c>
      <c r="C185" s="48" t="s">
        <v>323</v>
      </c>
      <c r="D185" s="73">
        <v>1</v>
      </c>
      <c r="E185" s="192">
        <v>8</v>
      </c>
      <c r="F185" s="67"/>
      <c r="G185" s="68">
        <v>379.61</v>
      </c>
      <c r="H185" s="68">
        <v>440.13</v>
      </c>
      <c r="I185" s="68">
        <v>383.91</v>
      </c>
      <c r="J185" s="68">
        <v>317.91000000000003</v>
      </c>
      <c r="K185" s="68">
        <v>426.48999999999995</v>
      </c>
      <c r="L185" s="68">
        <v>294.48999999999995</v>
      </c>
      <c r="M185" s="68">
        <v>393.59</v>
      </c>
      <c r="N185" s="68">
        <v>163.6</v>
      </c>
      <c r="O185" s="68">
        <v>345.4</v>
      </c>
      <c r="P185" s="68">
        <v>333.73999999999995</v>
      </c>
      <c r="Q185" s="68">
        <v>191.24</v>
      </c>
      <c r="R185" s="68">
        <v>315.58999999999997</v>
      </c>
      <c r="S185" s="68">
        <f>SUM(G185:R185)</f>
        <v>3985.7</v>
      </c>
      <c r="T185" s="5">
        <v>38000</v>
      </c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1"/>
      <c r="AI185" s="44"/>
      <c r="AJ185" s="19"/>
      <c r="AK185" s="7"/>
      <c r="AL185" s="1"/>
      <c r="AM185" s="1"/>
      <c r="AN185" s="1"/>
      <c r="AO185" s="1"/>
      <c r="AP185" s="1"/>
      <c r="AQ185" s="1"/>
      <c r="AR185" s="1"/>
      <c r="AS185" s="19"/>
      <c r="AT185" s="221"/>
      <c r="AU185" s="221"/>
      <c r="BC185" s="502"/>
      <c r="BD185" s="502"/>
    </row>
    <row r="186" spans="1:73" s="5" customFormat="1" ht="12" customHeight="1">
      <c r="A186" s="1"/>
      <c r="B186" s="48"/>
      <c r="C186" s="48"/>
      <c r="D186" s="199"/>
      <c r="E186" s="199"/>
      <c r="F186" s="67"/>
      <c r="G186" s="125"/>
      <c r="H186" s="68"/>
      <c r="I186" s="68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1"/>
      <c r="AI186" s="44"/>
      <c r="AJ186" s="19"/>
      <c r="AK186" s="7"/>
      <c r="AL186" s="1"/>
      <c r="AM186" s="1"/>
      <c r="AN186" s="1"/>
      <c r="AO186" s="1"/>
      <c r="AP186" s="1"/>
      <c r="AQ186" s="1"/>
      <c r="AR186" s="1"/>
      <c r="AS186" s="19"/>
      <c r="AT186" s="221"/>
      <c r="AU186" s="221"/>
      <c r="BC186" s="502"/>
      <c r="BD186" s="502"/>
    </row>
    <row r="187" spans="1:73" s="41" customFormat="1" ht="12" customHeight="1">
      <c r="B187" s="45"/>
      <c r="C187" s="112" t="s">
        <v>324</v>
      </c>
      <c r="D187" s="199"/>
      <c r="E187" s="199"/>
      <c r="F187" s="114"/>
      <c r="G187" s="115">
        <f t="shared" ref="G187:R187" si="66">SUM(G185:G186)</f>
        <v>379.61</v>
      </c>
      <c r="H187" s="115">
        <f t="shared" si="66"/>
        <v>440.13</v>
      </c>
      <c r="I187" s="115">
        <f t="shared" si="66"/>
        <v>383.91</v>
      </c>
      <c r="J187" s="115">
        <f t="shared" si="66"/>
        <v>317.91000000000003</v>
      </c>
      <c r="K187" s="115">
        <f t="shared" si="66"/>
        <v>426.48999999999995</v>
      </c>
      <c r="L187" s="115">
        <f t="shared" si="66"/>
        <v>294.48999999999995</v>
      </c>
      <c r="M187" s="115">
        <f t="shared" si="66"/>
        <v>393.59</v>
      </c>
      <c r="N187" s="115">
        <f t="shared" si="66"/>
        <v>163.6</v>
      </c>
      <c r="O187" s="115">
        <f t="shared" si="66"/>
        <v>345.4</v>
      </c>
      <c r="P187" s="115">
        <f t="shared" si="66"/>
        <v>333.73999999999995</v>
      </c>
      <c r="Q187" s="115">
        <f t="shared" si="66"/>
        <v>191.24</v>
      </c>
      <c r="R187" s="115">
        <f t="shared" si="66"/>
        <v>315.58999999999997</v>
      </c>
      <c r="S187" s="115">
        <f>SUM(G187:R187)</f>
        <v>3985.7</v>
      </c>
      <c r="T187" s="3"/>
      <c r="U187" s="3"/>
      <c r="V187" s="202"/>
      <c r="W187" s="202"/>
      <c r="X187" s="202"/>
      <c r="Y187" s="202"/>
      <c r="Z187" s="202"/>
      <c r="AA187" s="202"/>
      <c r="AB187" s="202"/>
      <c r="AC187" s="202"/>
      <c r="AD187" s="202"/>
      <c r="AE187" s="202"/>
      <c r="AF187" s="202"/>
      <c r="AG187" s="202"/>
      <c r="AI187" s="6"/>
      <c r="AJ187" s="19"/>
      <c r="AK187" s="7"/>
      <c r="AL187" s="1"/>
      <c r="AM187" s="1"/>
      <c r="AN187" s="1"/>
      <c r="AO187" s="1"/>
      <c r="AP187" s="1"/>
      <c r="AQ187" s="1"/>
      <c r="AR187" s="1"/>
      <c r="AS187" s="19"/>
      <c r="AT187" s="221">
        <f>+D187</f>
        <v>0</v>
      </c>
      <c r="AU187" s="221">
        <f>+S187</f>
        <v>3985.7</v>
      </c>
      <c r="AV187" s="80">
        <f>+AU187-S187</f>
        <v>0</v>
      </c>
      <c r="AW187" s="5"/>
      <c r="AX187" s="5"/>
      <c r="AY187" s="5"/>
      <c r="AZ187" s="5"/>
      <c r="BA187" s="5"/>
      <c r="BC187" s="499">
        <f t="shared" ref="BC187" ca="1" si="67">AU187*BD$2</f>
        <v>15.215910743738505</v>
      </c>
      <c r="BD187" s="499">
        <f t="shared" ref="BD187" ca="1" si="68">+BC187+AV187</f>
        <v>15.215910743738505</v>
      </c>
    </row>
    <row r="188" spans="1:73" ht="13.5" thickBot="1">
      <c r="B188" s="19"/>
      <c r="C188" s="126"/>
      <c r="D188" s="209"/>
      <c r="E188" s="209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5"/>
      <c r="AH188" s="41"/>
      <c r="AJ188" s="19"/>
      <c r="AS188" s="19"/>
      <c r="AT188" s="5"/>
      <c r="AU188" s="5"/>
      <c r="AV188" s="5"/>
      <c r="AW188" s="5"/>
      <c r="AX188" s="5"/>
      <c r="AY188" s="5"/>
      <c r="AZ188" s="5"/>
      <c r="BA188" s="5"/>
    </row>
    <row r="189" spans="1:73" s="41" customFormat="1" ht="15.75" thickBot="1">
      <c r="B189" s="155"/>
      <c r="C189" s="112" t="s">
        <v>332</v>
      </c>
      <c r="D189" s="209"/>
      <c r="E189" s="209"/>
      <c r="F189" s="108"/>
      <c r="G189" s="115">
        <f t="shared" ref="G189:R189" si="69">G187+G182+G177+G155+G55+G49</f>
        <v>564520.9800000001</v>
      </c>
      <c r="H189" s="115">
        <f t="shared" si="69"/>
        <v>546719.8899999999</v>
      </c>
      <c r="I189" s="115">
        <f t="shared" si="69"/>
        <v>550788.22000000009</v>
      </c>
      <c r="J189" s="115">
        <f t="shared" si="69"/>
        <v>545109.1</v>
      </c>
      <c r="K189" s="115">
        <f t="shared" si="69"/>
        <v>527609.91000000015</v>
      </c>
      <c r="L189" s="115">
        <f t="shared" si="69"/>
        <v>538269.73</v>
      </c>
      <c r="M189" s="115">
        <f t="shared" si="69"/>
        <v>533483.18000000017</v>
      </c>
      <c r="N189" s="115">
        <f t="shared" si="69"/>
        <v>546483.74000000011</v>
      </c>
      <c r="O189" s="115">
        <f t="shared" si="69"/>
        <v>532429.16</v>
      </c>
      <c r="P189" s="115">
        <f t="shared" si="69"/>
        <v>567951.80000000005</v>
      </c>
      <c r="Q189" s="115">
        <f t="shared" si="69"/>
        <v>560577.41000000015</v>
      </c>
      <c r="R189" s="115">
        <f t="shared" si="69"/>
        <v>566318.06000000006</v>
      </c>
      <c r="S189" s="115">
        <f>SUM(G189:R189)</f>
        <v>6580261.1800000016</v>
      </c>
      <c r="T189" s="3"/>
      <c r="AH189" s="222">
        <f>+AH177+AH155+AH55+AH49</f>
        <v>17351.209965540096</v>
      </c>
      <c r="AI189" s="6">
        <f>AI55+AI155+AI177</f>
        <v>205.27257004501291</v>
      </c>
      <c r="AJ189" s="19"/>
      <c r="AK189" s="7"/>
      <c r="AL189" s="1"/>
      <c r="AM189" s="118">
        <f>AM49+AM55+AM155+AM177</f>
        <v>16352.844659135024</v>
      </c>
      <c r="AN189"/>
      <c r="AO189" s="118">
        <f>AO49+AO55+AO155+AO177</f>
        <v>959.60822432015186</v>
      </c>
      <c r="AP189"/>
      <c r="AQ189" s="118">
        <f>AQ49+AQ55+AQ155+AQ177</f>
        <v>44.234239413784863</v>
      </c>
      <c r="AR189" s="1"/>
      <c r="AS189" s="118">
        <f>+AQ189+AO189+AM189</f>
        <v>17356.68712286896</v>
      </c>
      <c r="AT189" s="5"/>
      <c r="AU189" s="5"/>
      <c r="AV189" s="5"/>
      <c r="AW189" s="5"/>
      <c r="AX189" s="5"/>
      <c r="AY189" s="5"/>
      <c r="AZ189" s="5"/>
      <c r="BA189" s="5"/>
      <c r="BC189" s="502"/>
      <c r="BD189" s="502"/>
    </row>
    <row r="190" spans="1:73">
      <c r="B190" s="154"/>
      <c r="C190" s="154"/>
      <c r="D190" s="209"/>
      <c r="E190" s="209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5"/>
      <c r="AH190" s="41"/>
      <c r="AS190" s="19"/>
      <c r="AT190" s="41"/>
      <c r="AU190" s="115">
        <f>SUM(AU187:AU189)</f>
        <v>3985.7</v>
      </c>
      <c r="AV190" s="115">
        <f>SUM(AV187:AV189)</f>
        <v>0</v>
      </c>
      <c r="AW190" s="41"/>
      <c r="AX190" s="41"/>
      <c r="AY190" s="41"/>
      <c r="AZ190" s="41"/>
      <c r="BA190" s="41"/>
    </row>
    <row r="191" spans="1:73">
      <c r="B191" s="48"/>
      <c r="C191" s="48"/>
      <c r="D191" s="209"/>
      <c r="E191" s="209"/>
      <c r="F191" s="48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48"/>
      <c r="T191" s="5"/>
      <c r="AH191" s="41"/>
      <c r="BB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</row>
    <row r="192" spans="1:73">
      <c r="B192" s="48"/>
      <c r="C192" s="48"/>
      <c r="D192" s="209"/>
      <c r="E192" s="209"/>
      <c r="F192" s="48"/>
      <c r="G192" s="223"/>
      <c r="H192" s="223"/>
      <c r="I192" s="223"/>
      <c r="J192" s="223"/>
      <c r="K192" s="223"/>
      <c r="L192" s="223"/>
      <c r="M192" s="223"/>
      <c r="N192" s="223"/>
      <c r="O192" s="48"/>
      <c r="P192" s="48"/>
      <c r="Q192" s="48"/>
      <c r="R192" s="48"/>
      <c r="S192" s="108"/>
      <c r="AH192" s="41"/>
      <c r="AT192" s="41"/>
      <c r="AU192" s="41"/>
      <c r="AV192" s="41"/>
      <c r="AW192" s="41"/>
      <c r="AX192" s="41"/>
      <c r="AY192" s="41"/>
      <c r="AZ192" s="41"/>
      <c r="BA192" s="41"/>
      <c r="BB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</row>
    <row r="193" spans="2:73">
      <c r="B193" s="48"/>
      <c r="C193" s="48"/>
      <c r="D193" s="209"/>
      <c r="E193" s="209" t="s">
        <v>442</v>
      </c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108">
        <f>+S189+'CityPA-M Price Out'!T64</f>
        <v>7620717.1900000013</v>
      </c>
      <c r="AH193" s="41"/>
      <c r="BB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</row>
    <row r="194" spans="2:73" ht="13.5" thickBot="1">
      <c r="B194" s="48"/>
      <c r="C194" s="48"/>
      <c r="D194" s="209"/>
      <c r="E194" s="209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AH194" s="41"/>
      <c r="AU194" s="2" t="s">
        <v>30</v>
      </c>
      <c r="AV194" s="2" t="s">
        <v>443</v>
      </c>
      <c r="BB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</row>
    <row r="195" spans="2:73">
      <c r="B195" s="48"/>
      <c r="C195" s="48"/>
      <c r="D195" s="209"/>
      <c r="E195" s="209" t="s">
        <v>444</v>
      </c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224">
        <f>+'LG Public - Clallam Total'!J19</f>
        <v>8012085.6289376263</v>
      </c>
      <c r="AH195" s="41"/>
      <c r="AT195" s="225" t="s">
        <v>445</v>
      </c>
      <c r="AU195" s="226">
        <f ca="1">+AU190+AU184+AU179+AU155+AU55+AU49</f>
        <v>8035408.5874378821</v>
      </c>
      <c r="AV195" s="227">
        <f ca="1">+AV190+AV184+AV179+AV155+AV55+AV49</f>
        <v>1455869.8074378814</v>
      </c>
      <c r="BB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U195" s="19"/>
    </row>
    <row r="196" spans="2:73">
      <c r="B196" s="48"/>
      <c r="C196" s="48"/>
      <c r="D196" s="209"/>
      <c r="E196" s="209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AH196" s="41"/>
      <c r="AT196" s="228" t="s">
        <v>446</v>
      </c>
      <c r="AU196" s="229">
        <f ca="1">+'CityPA-M Price Out'!AV71</f>
        <v>520611.42586251808</v>
      </c>
      <c r="AV196" s="229">
        <f ca="1">+'CityPA-M Price Out'!AW71</f>
        <v>68596.81780603301</v>
      </c>
      <c r="BB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U196" s="19"/>
    </row>
    <row r="197" spans="2:73">
      <c r="B197" s="48"/>
      <c r="C197" s="48"/>
      <c r="D197" s="209"/>
      <c r="E197" s="209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AH197" s="41"/>
      <c r="AT197" s="230"/>
      <c r="AU197" s="41">
        <f ca="1">+AU195+AU196</f>
        <v>8556020.0133004002</v>
      </c>
      <c r="AV197" s="231">
        <f ca="1">+AV196+AV195</f>
        <v>1524466.6252439143</v>
      </c>
      <c r="BB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  <c r="BU197" s="19"/>
    </row>
    <row r="198" spans="2:73">
      <c r="B198" s="48"/>
      <c r="C198" s="48"/>
      <c r="D198" s="209"/>
      <c r="E198" s="209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219">
        <f>+S193-S195</f>
        <v>-391368.43893762492</v>
      </c>
      <c r="T198" s="232">
        <f>+'LG Public - Clallam Total'!J19</f>
        <v>8012085.6289376263</v>
      </c>
      <c r="AH198" s="41"/>
      <c r="AT198" s="1" t="s">
        <v>447</v>
      </c>
      <c r="AU198" s="233">
        <v>267965.35230000003</v>
      </c>
      <c r="AV198" s="233">
        <v>686241.10419106926</v>
      </c>
      <c r="BB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  <c r="BU198" s="19"/>
    </row>
    <row r="199" spans="2:73">
      <c r="B199" s="48"/>
      <c r="C199" s="48"/>
      <c r="D199" s="209"/>
      <c r="E199" s="209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AH199" s="41"/>
      <c r="AT199" s="1" t="s">
        <v>448</v>
      </c>
      <c r="AU199" s="41">
        <f ca="1">+AU198+AU197</f>
        <v>8823985.3656003997</v>
      </c>
      <c r="AV199" s="41">
        <f ca="1">+AV198+AV197</f>
        <v>2210707.7294349838</v>
      </c>
      <c r="BB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  <c r="BU199" s="19"/>
    </row>
    <row r="200" spans="2:73">
      <c r="B200" s="48"/>
      <c r="C200" s="48"/>
      <c r="D200" s="209"/>
      <c r="E200" s="209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234">
        <f>+S198-'LG Public - Clallam Total'!J19</f>
        <v>-8403454.0678752512</v>
      </c>
      <c r="AH200" s="41"/>
      <c r="BB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  <c r="BU200" s="19"/>
    </row>
    <row r="201" spans="2:73">
      <c r="B201" s="48"/>
      <c r="C201" s="48"/>
      <c r="D201" s="209"/>
      <c r="E201" s="209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AH201" s="41"/>
      <c r="BB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</row>
    <row r="202" spans="2:73">
      <c r="AH202" s="41"/>
      <c r="BB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</row>
    <row r="203" spans="2:73">
      <c r="AH203" s="41"/>
      <c r="BB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</row>
    <row r="204" spans="2:73">
      <c r="AH204" s="41"/>
      <c r="BB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</row>
    <row r="205" spans="2:73">
      <c r="AH205" s="41"/>
      <c r="BB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</row>
    <row r="206" spans="2:73">
      <c r="AH206" s="41"/>
      <c r="BB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</row>
    <row r="207" spans="2:73">
      <c r="AH207" s="41"/>
      <c r="BB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</row>
    <row r="208" spans="2:73">
      <c r="AH208" s="41"/>
      <c r="BB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</row>
    <row r="209" spans="34:73">
      <c r="AH209" s="41"/>
      <c r="BB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9"/>
      <c r="BU209" s="19"/>
    </row>
    <row r="210" spans="34:73">
      <c r="AH210" s="41"/>
      <c r="BB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9"/>
      <c r="BS210" s="19"/>
      <c r="BT210" s="19"/>
      <c r="BU210" s="19"/>
    </row>
    <row r="211" spans="34:73">
      <c r="AH211" s="41"/>
      <c r="BB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9"/>
      <c r="BU211" s="19"/>
    </row>
    <row r="212" spans="34:73">
      <c r="AH212" s="41"/>
      <c r="BB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  <c r="BU212" s="19"/>
    </row>
    <row r="213" spans="34:73">
      <c r="AH213" s="41"/>
      <c r="BB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  <c r="BU213" s="19"/>
    </row>
    <row r="214" spans="34:73">
      <c r="AH214" s="41"/>
    </row>
    <row r="215" spans="34:73">
      <c r="AH215" s="41"/>
    </row>
    <row r="216" spans="34:73">
      <c r="AH216" s="41"/>
    </row>
    <row r="217" spans="34:73">
      <c r="AH217" s="41"/>
    </row>
    <row r="218" spans="34:73">
      <c r="AH218" s="41"/>
    </row>
    <row r="219" spans="34:73">
      <c r="AH219" s="41"/>
    </row>
    <row r="220" spans="34:73">
      <c r="AH220" s="41"/>
    </row>
    <row r="221" spans="34:73">
      <c r="AH221" s="41"/>
    </row>
    <row r="222" spans="34:73">
      <c r="AH222" s="41"/>
    </row>
    <row r="223" spans="34:73">
      <c r="AH223" s="41"/>
    </row>
    <row r="224" spans="34:73">
      <c r="AH224" s="41"/>
    </row>
    <row r="225" spans="34:34">
      <c r="AH225" s="41"/>
    </row>
    <row r="226" spans="34:34">
      <c r="AH226" s="41"/>
    </row>
    <row r="227" spans="34:34">
      <c r="AH227" s="41"/>
    </row>
    <row r="228" spans="34:34">
      <c r="AH228" s="41"/>
    </row>
    <row r="229" spans="34:34">
      <c r="AH229" s="41"/>
    </row>
    <row r="230" spans="34:34">
      <c r="AH230" s="41"/>
    </row>
    <row r="231" spans="34:34">
      <c r="AH231" s="41"/>
    </row>
    <row r="232" spans="34:34">
      <c r="AH232" s="41"/>
    </row>
    <row r="233" spans="34:34">
      <c r="AH233" s="41"/>
    </row>
    <row r="234" spans="34:34">
      <c r="AH234" s="41"/>
    </row>
    <row r="235" spans="34:34">
      <c r="AH235" s="41"/>
    </row>
    <row r="236" spans="34:34">
      <c r="AH236" s="41"/>
    </row>
    <row r="237" spans="34:34">
      <c r="AH237" s="41"/>
    </row>
    <row r="238" spans="34:34">
      <c r="AH238" s="41"/>
    </row>
    <row r="239" spans="34:34">
      <c r="AH239" s="41"/>
    </row>
    <row r="240" spans="34:34">
      <c r="AH240" s="41"/>
    </row>
    <row r="241" spans="34:34">
      <c r="AH241" s="41"/>
    </row>
    <row r="242" spans="34:34">
      <c r="AH242" s="41"/>
    </row>
    <row r="243" spans="34:34">
      <c r="AH243" s="41"/>
    </row>
    <row r="244" spans="34:34">
      <c r="AH244" s="41"/>
    </row>
    <row r="245" spans="34:34">
      <c r="AH245" s="41"/>
    </row>
    <row r="246" spans="34:34">
      <c r="AH246" s="41"/>
    </row>
    <row r="247" spans="34:34">
      <c r="AH247" s="41"/>
    </row>
    <row r="248" spans="34:34">
      <c r="AH248" s="41"/>
    </row>
    <row r="249" spans="34:34">
      <c r="AH249" s="41"/>
    </row>
    <row r="250" spans="34:34">
      <c r="AH250" s="41"/>
    </row>
    <row r="251" spans="34:34">
      <c r="AH251" s="41"/>
    </row>
    <row r="252" spans="34:34">
      <c r="AH252" s="41"/>
    </row>
    <row r="253" spans="34:34">
      <c r="AH253" s="41"/>
    </row>
    <row r="254" spans="34:34">
      <c r="AH254" s="41"/>
    </row>
    <row r="255" spans="34:34">
      <c r="AH255" s="41"/>
    </row>
    <row r="256" spans="34:34">
      <c r="AH256" s="41"/>
    </row>
    <row r="257" spans="34:34">
      <c r="AH257" s="41"/>
    </row>
    <row r="258" spans="34:34">
      <c r="AH258" s="41"/>
    </row>
    <row r="259" spans="34:34">
      <c r="AH259" s="41"/>
    </row>
    <row r="260" spans="34:34">
      <c r="AH260" s="41"/>
    </row>
    <row r="261" spans="34:34">
      <c r="AH261" s="41"/>
    </row>
    <row r="262" spans="34:34">
      <c r="AH262" s="41"/>
    </row>
    <row r="263" spans="34:34">
      <c r="AH263" s="41"/>
    </row>
    <row r="264" spans="34:34">
      <c r="AH264" s="41"/>
    </row>
    <row r="265" spans="34:34">
      <c r="AH265" s="41"/>
    </row>
    <row r="266" spans="34:34">
      <c r="AH266" s="41"/>
    </row>
    <row r="267" spans="34:34">
      <c r="AH267" s="41"/>
    </row>
    <row r="268" spans="34:34">
      <c r="AH268" s="41"/>
    </row>
    <row r="269" spans="34:34">
      <c r="AH269" s="41"/>
    </row>
    <row r="270" spans="34:34">
      <c r="AH270" s="41"/>
    </row>
    <row r="271" spans="34:34">
      <c r="AH271" s="41"/>
    </row>
    <row r="272" spans="34:34">
      <c r="AH272" s="41"/>
    </row>
    <row r="273" spans="34:34">
      <c r="AH273" s="41"/>
    </row>
    <row r="274" spans="34:34">
      <c r="AH274" s="41"/>
    </row>
    <row r="275" spans="34:34">
      <c r="AH275" s="41"/>
    </row>
    <row r="276" spans="34:34">
      <c r="AH276" s="41"/>
    </row>
    <row r="277" spans="34:34">
      <c r="AH277" s="41"/>
    </row>
    <row r="278" spans="34:34">
      <c r="AH278" s="41"/>
    </row>
    <row r="279" spans="34:34">
      <c r="AH279" s="41"/>
    </row>
    <row r="280" spans="34:34">
      <c r="AH280" s="41"/>
    </row>
    <row r="281" spans="34:34">
      <c r="AH281" s="41"/>
    </row>
    <row r="282" spans="34:34">
      <c r="AH282" s="41"/>
    </row>
    <row r="283" spans="34:34">
      <c r="AH283" s="41"/>
    </row>
    <row r="284" spans="34:34">
      <c r="AH284" s="41"/>
    </row>
    <row r="285" spans="34:34">
      <c r="AH285" s="41"/>
    </row>
    <row r="286" spans="34:34">
      <c r="AH286" s="41"/>
    </row>
    <row r="287" spans="34:34">
      <c r="AH287" s="41"/>
    </row>
    <row r="288" spans="34:34">
      <c r="AH288" s="41"/>
    </row>
    <row r="289" spans="34:34">
      <c r="AH289" s="41"/>
    </row>
    <row r="290" spans="34:34">
      <c r="AH290" s="41"/>
    </row>
    <row r="291" spans="34:34">
      <c r="AH291" s="41"/>
    </row>
    <row r="292" spans="34:34">
      <c r="AH292" s="41"/>
    </row>
    <row r="293" spans="34:34">
      <c r="AH293" s="41"/>
    </row>
    <row r="294" spans="34:34">
      <c r="AH294" s="41"/>
    </row>
    <row r="295" spans="34:34">
      <c r="AH295" s="41"/>
    </row>
    <row r="296" spans="34:34">
      <c r="AH296" s="41"/>
    </row>
    <row r="297" spans="34:34">
      <c r="AH297" s="41"/>
    </row>
    <row r="298" spans="34:34">
      <c r="AH298" s="41"/>
    </row>
    <row r="299" spans="34:34">
      <c r="AH299" s="41"/>
    </row>
    <row r="300" spans="34:34">
      <c r="AH300" s="41"/>
    </row>
    <row r="301" spans="34:34">
      <c r="AH301" s="41"/>
    </row>
    <row r="302" spans="34:34">
      <c r="AH302" s="41"/>
    </row>
    <row r="303" spans="34:34">
      <c r="AH303" s="41"/>
    </row>
    <row r="304" spans="34:34">
      <c r="AH304" s="41"/>
    </row>
    <row r="305" spans="34:34">
      <c r="AH305" s="41"/>
    </row>
    <row r="306" spans="34:34">
      <c r="AH306" s="41"/>
    </row>
    <row r="307" spans="34:34">
      <c r="AH307" s="41"/>
    </row>
    <row r="308" spans="34:34">
      <c r="AH308" s="41"/>
    </row>
    <row r="309" spans="34:34">
      <c r="AH309" s="41"/>
    </row>
    <row r="310" spans="34:34">
      <c r="AH310" s="41"/>
    </row>
    <row r="311" spans="34:34">
      <c r="AH311" s="41"/>
    </row>
    <row r="312" spans="34:34">
      <c r="AH312" s="41"/>
    </row>
    <row r="313" spans="34:34">
      <c r="AH313" s="41"/>
    </row>
    <row r="314" spans="34:34">
      <c r="AH314" s="41"/>
    </row>
    <row r="315" spans="34:34">
      <c r="AH315" s="41"/>
    </row>
    <row r="316" spans="34:34">
      <c r="AH316" s="41"/>
    </row>
    <row r="317" spans="34:34">
      <c r="AH317" s="41"/>
    </row>
    <row r="318" spans="34:34">
      <c r="AH318" s="41"/>
    </row>
    <row r="319" spans="34:34">
      <c r="AH319" s="41"/>
    </row>
    <row r="320" spans="34:34">
      <c r="AH320" s="41"/>
    </row>
    <row r="321" spans="34:34">
      <c r="AH321" s="41"/>
    </row>
    <row r="322" spans="34:34">
      <c r="AH322" s="41"/>
    </row>
    <row r="323" spans="34:34">
      <c r="AH323" s="41"/>
    </row>
    <row r="324" spans="34:34">
      <c r="AH324" s="41"/>
    </row>
    <row r="325" spans="34:34">
      <c r="AH325" s="41"/>
    </row>
    <row r="326" spans="34:34">
      <c r="AH326" s="41"/>
    </row>
    <row r="327" spans="34:34">
      <c r="AH327" s="41"/>
    </row>
    <row r="328" spans="34:34">
      <c r="AH328" s="41"/>
    </row>
    <row r="329" spans="34:34">
      <c r="AH329" s="41"/>
    </row>
    <row r="330" spans="34:34">
      <c r="AH330" s="41"/>
    </row>
    <row r="331" spans="34:34">
      <c r="AH331" s="41"/>
    </row>
    <row r="332" spans="34:34">
      <c r="AH332" s="41"/>
    </row>
    <row r="333" spans="34:34">
      <c r="AH333" s="41"/>
    </row>
    <row r="334" spans="34:34">
      <c r="AH334" s="41"/>
    </row>
    <row r="335" spans="34:34">
      <c r="AH335" s="41"/>
    </row>
    <row r="336" spans="34:34">
      <c r="AH336" s="41"/>
    </row>
    <row r="337" spans="34:34">
      <c r="AH337" s="41"/>
    </row>
    <row r="338" spans="34:34">
      <c r="AH338" s="41"/>
    </row>
    <row r="339" spans="34:34">
      <c r="AH339" s="41"/>
    </row>
    <row r="340" spans="34:34">
      <c r="AH340" s="41"/>
    </row>
    <row r="341" spans="34:34">
      <c r="AH341" s="41"/>
    </row>
    <row r="342" spans="34:34">
      <c r="AH342" s="41"/>
    </row>
    <row r="343" spans="34:34">
      <c r="AH343" s="41"/>
    </row>
    <row r="344" spans="34:34">
      <c r="AH344" s="41"/>
    </row>
    <row r="345" spans="34:34">
      <c r="AH345" s="41"/>
    </row>
    <row r="346" spans="34:34">
      <c r="AH346" s="41"/>
    </row>
    <row r="347" spans="34:34">
      <c r="AH347" s="41"/>
    </row>
    <row r="348" spans="34:34">
      <c r="AH348" s="41"/>
    </row>
    <row r="349" spans="34:34">
      <c r="AH349" s="41"/>
    </row>
    <row r="350" spans="34:34">
      <c r="AH350" s="41"/>
    </row>
    <row r="351" spans="34:34">
      <c r="AH351" s="41"/>
    </row>
    <row r="352" spans="34:34">
      <c r="AH352" s="41"/>
    </row>
    <row r="353" spans="34:34">
      <c r="AH353" s="41"/>
    </row>
    <row r="354" spans="34:34">
      <c r="AH354" s="41"/>
    </row>
    <row r="355" spans="34:34">
      <c r="AH355" s="41"/>
    </row>
    <row r="356" spans="34:34">
      <c r="AH356" s="41"/>
    </row>
    <row r="357" spans="34:34">
      <c r="AH357" s="41"/>
    </row>
    <row r="358" spans="34:34">
      <c r="AH358" s="41"/>
    </row>
    <row r="359" spans="34:34">
      <c r="AH359" s="41"/>
    </row>
    <row r="360" spans="34:34">
      <c r="AH360" s="41"/>
    </row>
    <row r="361" spans="34:34">
      <c r="AH361" s="41"/>
    </row>
    <row r="362" spans="34:34">
      <c r="AH362" s="41"/>
    </row>
    <row r="363" spans="34:34">
      <c r="AH363" s="41"/>
    </row>
    <row r="364" spans="34:34">
      <c r="AH364" s="41"/>
    </row>
    <row r="365" spans="34:34">
      <c r="AH365" s="41"/>
    </row>
    <row r="366" spans="34:34">
      <c r="AH366" s="41"/>
    </row>
    <row r="367" spans="34:34">
      <c r="AH367" s="41"/>
    </row>
    <row r="368" spans="34:34">
      <c r="AH368" s="41"/>
    </row>
    <row r="369" spans="34:34">
      <c r="AH369" s="41"/>
    </row>
    <row r="370" spans="34:34">
      <c r="AH370" s="41"/>
    </row>
    <row r="371" spans="34:34">
      <c r="AH371" s="41"/>
    </row>
    <row r="372" spans="34:34">
      <c r="AH372" s="41"/>
    </row>
    <row r="373" spans="34:34">
      <c r="AH373" s="41"/>
    </row>
    <row r="374" spans="34:34">
      <c r="AH374" s="41"/>
    </row>
    <row r="375" spans="34:34">
      <c r="AH375" s="41"/>
    </row>
    <row r="376" spans="34:34">
      <c r="AH376" s="41"/>
    </row>
    <row r="377" spans="34:34">
      <c r="AH377" s="41"/>
    </row>
    <row r="378" spans="34:34">
      <c r="AH378" s="41"/>
    </row>
    <row r="379" spans="34:34">
      <c r="AH379" s="41"/>
    </row>
    <row r="380" spans="34:34">
      <c r="AH380" s="41"/>
    </row>
    <row r="381" spans="34:34">
      <c r="AH381" s="41"/>
    </row>
    <row r="382" spans="34:34">
      <c r="AH382" s="41"/>
    </row>
    <row r="383" spans="34:34">
      <c r="AH383" s="41"/>
    </row>
    <row r="384" spans="34:34">
      <c r="AH384" s="41"/>
    </row>
    <row r="385" spans="34:34">
      <c r="AH385" s="41"/>
    </row>
    <row r="386" spans="34:34">
      <c r="AH386" s="41"/>
    </row>
    <row r="387" spans="34:34">
      <c r="AH387" s="41"/>
    </row>
    <row r="388" spans="34:34">
      <c r="AH388" s="41"/>
    </row>
    <row r="389" spans="34:34">
      <c r="AH389" s="41"/>
    </row>
    <row r="390" spans="34:34">
      <c r="AH390" s="41"/>
    </row>
    <row r="391" spans="34:34">
      <c r="AH391" s="41"/>
    </row>
    <row r="392" spans="34:34">
      <c r="AH392" s="41"/>
    </row>
    <row r="393" spans="34:34">
      <c r="AH393" s="41"/>
    </row>
    <row r="394" spans="34:34">
      <c r="AH394" s="41"/>
    </row>
    <row r="395" spans="34:34">
      <c r="AH395" s="41"/>
    </row>
    <row r="396" spans="34:34">
      <c r="AH396" s="41"/>
    </row>
    <row r="397" spans="34:34">
      <c r="AH397" s="41"/>
    </row>
    <row r="398" spans="34:34">
      <c r="AH398" s="41"/>
    </row>
    <row r="399" spans="34:34">
      <c r="AH399" s="41"/>
    </row>
    <row r="400" spans="34:34">
      <c r="AH400" s="41"/>
    </row>
    <row r="401" spans="34:34">
      <c r="AH401" s="41"/>
    </row>
    <row r="402" spans="34:34">
      <c r="AH402" s="41"/>
    </row>
    <row r="403" spans="34:34">
      <c r="AH403" s="41"/>
    </row>
    <row r="404" spans="34:34">
      <c r="AH404" s="41"/>
    </row>
    <row r="405" spans="34:34">
      <c r="AH405" s="41"/>
    </row>
    <row r="406" spans="34:34">
      <c r="AH406" s="41"/>
    </row>
    <row r="407" spans="34:34">
      <c r="AH407" s="41"/>
    </row>
    <row r="408" spans="34:34">
      <c r="AH408" s="41"/>
    </row>
    <row r="409" spans="34:34">
      <c r="AH409" s="41"/>
    </row>
    <row r="410" spans="34:34">
      <c r="AH410" s="41"/>
    </row>
    <row r="411" spans="34:34">
      <c r="AH411" s="41"/>
    </row>
    <row r="412" spans="34:34">
      <c r="AH412" s="41"/>
    </row>
    <row r="413" spans="34:34">
      <c r="AH413" s="41"/>
    </row>
    <row r="414" spans="34:34">
      <c r="AH414" s="41"/>
    </row>
    <row r="415" spans="34:34">
      <c r="AH415" s="41"/>
    </row>
    <row r="416" spans="34:34">
      <c r="AH416" s="41"/>
    </row>
    <row r="417" spans="34:34">
      <c r="AH417" s="41"/>
    </row>
    <row r="418" spans="34:34">
      <c r="AH418" s="41"/>
    </row>
    <row r="419" spans="34:34">
      <c r="AH419" s="41"/>
    </row>
    <row r="420" spans="34:34">
      <c r="AH420" s="41"/>
    </row>
    <row r="421" spans="34:34">
      <c r="AH421" s="41"/>
    </row>
    <row r="422" spans="34:34">
      <c r="AH422" s="41"/>
    </row>
    <row r="423" spans="34:34">
      <c r="AH423" s="41"/>
    </row>
    <row r="424" spans="34:34">
      <c r="AH424" s="41"/>
    </row>
    <row r="425" spans="34:34">
      <c r="AH425" s="41"/>
    </row>
    <row r="426" spans="34:34">
      <c r="AH426" s="41"/>
    </row>
    <row r="427" spans="34:34">
      <c r="AH427" s="41"/>
    </row>
    <row r="428" spans="34:34">
      <c r="AH428" s="41"/>
    </row>
    <row r="429" spans="34:34">
      <c r="AH429" s="41"/>
    </row>
    <row r="430" spans="34:34">
      <c r="AH430" s="41"/>
    </row>
    <row r="431" spans="34:34">
      <c r="AH431" s="41"/>
    </row>
    <row r="432" spans="34:34">
      <c r="AH432" s="41"/>
    </row>
    <row r="433" spans="34:34">
      <c r="AH433" s="41"/>
    </row>
    <row r="434" spans="34:34">
      <c r="AH434" s="41"/>
    </row>
    <row r="435" spans="34:34">
      <c r="AH435" s="41"/>
    </row>
    <row r="436" spans="34:34">
      <c r="AH436" s="41"/>
    </row>
    <row r="437" spans="34:34">
      <c r="AH437" s="41"/>
    </row>
    <row r="438" spans="34:34">
      <c r="AH438" s="41"/>
    </row>
    <row r="439" spans="34:34">
      <c r="AH439" s="41"/>
    </row>
    <row r="440" spans="34:34">
      <c r="AH440" s="41"/>
    </row>
    <row r="441" spans="34:34">
      <c r="AH441" s="41"/>
    </row>
    <row r="442" spans="34:34">
      <c r="AH442" s="41"/>
    </row>
    <row r="443" spans="34:34">
      <c r="AH443" s="41"/>
    </row>
    <row r="444" spans="34:34">
      <c r="AH444" s="41"/>
    </row>
    <row r="445" spans="34:34">
      <c r="AH445" s="41"/>
    </row>
    <row r="446" spans="34:34">
      <c r="AH446" s="41"/>
    </row>
    <row r="447" spans="34:34">
      <c r="AH447" s="41"/>
    </row>
    <row r="448" spans="34:34">
      <c r="AH448" s="41"/>
    </row>
    <row r="449" spans="34:34">
      <c r="AH449" s="41"/>
    </row>
    <row r="450" spans="34:34">
      <c r="AH450" s="41"/>
    </row>
    <row r="451" spans="34:34">
      <c r="AH451" s="41"/>
    </row>
    <row r="452" spans="34:34">
      <c r="AH452" s="41"/>
    </row>
    <row r="453" spans="34:34">
      <c r="AH453" s="41"/>
    </row>
    <row r="454" spans="34:34">
      <c r="AH454" s="41"/>
    </row>
    <row r="455" spans="34:34">
      <c r="AH455" s="41"/>
    </row>
    <row r="456" spans="34:34">
      <c r="AH456" s="41"/>
    </row>
    <row r="457" spans="34:34">
      <c r="AH457" s="41"/>
    </row>
    <row r="458" spans="34:34">
      <c r="AH458" s="41"/>
    </row>
    <row r="459" spans="34:34">
      <c r="AH459" s="41"/>
    </row>
    <row r="460" spans="34:34">
      <c r="AH460" s="41"/>
    </row>
    <row r="461" spans="34:34">
      <c r="AH461" s="41"/>
    </row>
    <row r="462" spans="34:34">
      <c r="AH462" s="41"/>
    </row>
    <row r="463" spans="34:34">
      <c r="AH463" s="41"/>
    </row>
    <row r="464" spans="34:34">
      <c r="AH464" s="41"/>
    </row>
    <row r="465" spans="34:34">
      <c r="AH465" s="41"/>
    </row>
    <row r="466" spans="34:34">
      <c r="AH466" s="41"/>
    </row>
    <row r="467" spans="34:34">
      <c r="AH467" s="41"/>
    </row>
    <row r="468" spans="34:34">
      <c r="AH468" s="41"/>
    </row>
    <row r="469" spans="34:34">
      <c r="AH469" s="41"/>
    </row>
    <row r="470" spans="34:34">
      <c r="AH470" s="41"/>
    </row>
    <row r="471" spans="34:34">
      <c r="AH471" s="41"/>
    </row>
    <row r="472" spans="34:34">
      <c r="AH472" s="41"/>
    </row>
    <row r="473" spans="34:34">
      <c r="AH473" s="41"/>
    </row>
    <row r="474" spans="34:34">
      <c r="AH474" s="41"/>
    </row>
    <row r="475" spans="34:34">
      <c r="AH475" s="41"/>
    </row>
    <row r="476" spans="34:34">
      <c r="AH476" s="41"/>
    </row>
    <row r="477" spans="34:34">
      <c r="AH477" s="41"/>
    </row>
    <row r="478" spans="34:34">
      <c r="AH478" s="41"/>
    </row>
    <row r="479" spans="34:34">
      <c r="AH479" s="41"/>
    </row>
    <row r="480" spans="34:34">
      <c r="AH480" s="41"/>
    </row>
    <row r="481" spans="34:34">
      <c r="AH481" s="41"/>
    </row>
    <row r="482" spans="34:34">
      <c r="AH482" s="41"/>
    </row>
    <row r="483" spans="34:34">
      <c r="AH483" s="41"/>
    </row>
    <row r="484" spans="34:34">
      <c r="AH484" s="41"/>
    </row>
    <row r="485" spans="34:34">
      <c r="AH485" s="41"/>
    </row>
    <row r="486" spans="34:34">
      <c r="AH486" s="41"/>
    </row>
    <row r="487" spans="34:34">
      <c r="AH487" s="41"/>
    </row>
    <row r="488" spans="34:34">
      <c r="AH488" s="41"/>
    </row>
    <row r="489" spans="34:34">
      <c r="AH489" s="41"/>
    </row>
    <row r="490" spans="34:34">
      <c r="AH490" s="41"/>
    </row>
    <row r="491" spans="34:34">
      <c r="AH491" s="41"/>
    </row>
    <row r="492" spans="34:34">
      <c r="AH492" s="41"/>
    </row>
    <row r="493" spans="34:34">
      <c r="AH493" s="41"/>
    </row>
    <row r="494" spans="34:34">
      <c r="AH494" s="41"/>
    </row>
    <row r="495" spans="34:34">
      <c r="AH495" s="41"/>
    </row>
    <row r="496" spans="34:34">
      <c r="AH496" s="41"/>
    </row>
    <row r="497" spans="34:34">
      <c r="AH497" s="41"/>
    </row>
    <row r="498" spans="34:34">
      <c r="AH498" s="41"/>
    </row>
    <row r="499" spans="34:34">
      <c r="AH499" s="41"/>
    </row>
    <row r="500" spans="34:34">
      <c r="AH500" s="41"/>
    </row>
    <row r="501" spans="34:34">
      <c r="AH501" s="41"/>
    </row>
    <row r="502" spans="34:34">
      <c r="AH502" s="41"/>
    </row>
    <row r="503" spans="34:34">
      <c r="AH503" s="41"/>
    </row>
    <row r="504" spans="34:34">
      <c r="AH504" s="41"/>
    </row>
    <row r="505" spans="34:34">
      <c r="AH505" s="41"/>
    </row>
    <row r="506" spans="34:34">
      <c r="AH506" s="41"/>
    </row>
    <row r="507" spans="34:34">
      <c r="AH507" s="41"/>
    </row>
    <row r="508" spans="34:34">
      <c r="AH508" s="41"/>
    </row>
    <row r="509" spans="34:34">
      <c r="AH509" s="41"/>
    </row>
    <row r="510" spans="34:34">
      <c r="AH510" s="41"/>
    </row>
    <row r="511" spans="34:34">
      <c r="AH511" s="41"/>
    </row>
    <row r="512" spans="34:34">
      <c r="AH512" s="41"/>
    </row>
    <row r="513" spans="34:34">
      <c r="AH513" s="41"/>
    </row>
    <row r="514" spans="34:34">
      <c r="AH514" s="41"/>
    </row>
    <row r="515" spans="34:34">
      <c r="AH515" s="41"/>
    </row>
    <row r="516" spans="34:34">
      <c r="AH516" s="41"/>
    </row>
    <row r="517" spans="34:34">
      <c r="AH517" s="41"/>
    </row>
    <row r="518" spans="34:34">
      <c r="AH518" s="41"/>
    </row>
    <row r="519" spans="34:34">
      <c r="AH519" s="41"/>
    </row>
    <row r="520" spans="34:34">
      <c r="AH520" s="41"/>
    </row>
    <row r="521" spans="34:34">
      <c r="AH521" s="41"/>
    </row>
    <row r="522" spans="34:34">
      <c r="AH522" s="41"/>
    </row>
    <row r="523" spans="34:34">
      <c r="AH523" s="41"/>
    </row>
    <row r="524" spans="34:34">
      <c r="AH524" s="41"/>
    </row>
    <row r="525" spans="34:34">
      <c r="AH525" s="41"/>
    </row>
    <row r="526" spans="34:34">
      <c r="AH526" s="41"/>
    </row>
    <row r="527" spans="34:34">
      <c r="AH527" s="41"/>
    </row>
    <row r="528" spans="34:34">
      <c r="AH528" s="41"/>
    </row>
    <row r="529" spans="34:34">
      <c r="AH529" s="41"/>
    </row>
    <row r="530" spans="34:34">
      <c r="AH530" s="41"/>
    </row>
    <row r="531" spans="34:34">
      <c r="AH531" s="41"/>
    </row>
    <row r="532" spans="34:34">
      <c r="AH532" s="41"/>
    </row>
    <row r="533" spans="34:34">
      <c r="AH533" s="41"/>
    </row>
    <row r="534" spans="34:34">
      <c r="AH534" s="41"/>
    </row>
    <row r="535" spans="34:34">
      <c r="AH535" s="41"/>
    </row>
    <row r="536" spans="34:34">
      <c r="AH536" s="41"/>
    </row>
    <row r="537" spans="34:34">
      <c r="AH537" s="41"/>
    </row>
    <row r="538" spans="34:34">
      <c r="AH538" s="41"/>
    </row>
    <row r="539" spans="34:34">
      <c r="AH539" s="41"/>
    </row>
    <row r="540" spans="34:34">
      <c r="AH540" s="41"/>
    </row>
    <row r="541" spans="34:34">
      <c r="AH541" s="41"/>
    </row>
    <row r="542" spans="34:34">
      <c r="AH542" s="41"/>
    </row>
    <row r="543" spans="34:34">
      <c r="AH543" s="41"/>
    </row>
    <row r="544" spans="34:34">
      <c r="AH544" s="41"/>
    </row>
    <row r="545" spans="34:34">
      <c r="AH545" s="41"/>
    </row>
    <row r="546" spans="34:34">
      <c r="AH546" s="41"/>
    </row>
    <row r="547" spans="34:34">
      <c r="AH547" s="41"/>
    </row>
    <row r="548" spans="34:34">
      <c r="AH548" s="41"/>
    </row>
    <row r="549" spans="34:34">
      <c r="AH549" s="41"/>
    </row>
    <row r="550" spans="34:34">
      <c r="AH550" s="41"/>
    </row>
    <row r="551" spans="34:34">
      <c r="AH551" s="41"/>
    </row>
    <row r="552" spans="34:34">
      <c r="AH552" s="41"/>
    </row>
    <row r="553" spans="34:34">
      <c r="AH553" s="41"/>
    </row>
    <row r="554" spans="34:34">
      <c r="AH554" s="41"/>
    </row>
    <row r="555" spans="34:34">
      <c r="AH555" s="41"/>
    </row>
    <row r="556" spans="34:34">
      <c r="AH556" s="41"/>
    </row>
    <row r="557" spans="34:34">
      <c r="AH557" s="41"/>
    </row>
    <row r="558" spans="34:34">
      <c r="AH558" s="41"/>
    </row>
    <row r="559" spans="34:34">
      <c r="AH559" s="41"/>
    </row>
    <row r="560" spans="34:34">
      <c r="AH560" s="41"/>
    </row>
    <row r="561" spans="34:34">
      <c r="AH561" s="41"/>
    </row>
    <row r="562" spans="34:34">
      <c r="AH562" s="41"/>
    </row>
    <row r="563" spans="34:34">
      <c r="AH563" s="41"/>
    </row>
    <row r="564" spans="34:34">
      <c r="AH564" s="41"/>
    </row>
    <row r="565" spans="34:34">
      <c r="AH565" s="41"/>
    </row>
    <row r="566" spans="34:34">
      <c r="AH566" s="41"/>
    </row>
    <row r="567" spans="34:34">
      <c r="AH567" s="41"/>
    </row>
    <row r="568" spans="34:34">
      <c r="AH568" s="41"/>
    </row>
    <row r="569" spans="34:34">
      <c r="AH569" s="41"/>
    </row>
    <row r="570" spans="34:34">
      <c r="AH570" s="41"/>
    </row>
    <row r="571" spans="34:34">
      <c r="AH571" s="41"/>
    </row>
    <row r="572" spans="34:34">
      <c r="AH572" s="41"/>
    </row>
    <row r="573" spans="34:34">
      <c r="AH573" s="41"/>
    </row>
    <row r="574" spans="34:34">
      <c r="AH574" s="41"/>
    </row>
    <row r="575" spans="34:34">
      <c r="AH575" s="41"/>
    </row>
    <row r="576" spans="34:34">
      <c r="AH576" s="41"/>
    </row>
    <row r="577" spans="34:34">
      <c r="AH577" s="41"/>
    </row>
    <row r="578" spans="34:34">
      <c r="AH578" s="41"/>
    </row>
    <row r="579" spans="34:34">
      <c r="AH579" s="41"/>
    </row>
    <row r="580" spans="34:34">
      <c r="AH580" s="41"/>
    </row>
    <row r="581" spans="34:34">
      <c r="AH581" s="41"/>
    </row>
    <row r="582" spans="34:34">
      <c r="AH582" s="41"/>
    </row>
    <row r="583" spans="34:34">
      <c r="AH583" s="41"/>
    </row>
    <row r="584" spans="34:34">
      <c r="AH584" s="41"/>
    </row>
    <row r="585" spans="34:34">
      <c r="AH585" s="41"/>
    </row>
    <row r="586" spans="34:34">
      <c r="AH586" s="41"/>
    </row>
    <row r="587" spans="34:34">
      <c r="AH587" s="41"/>
    </row>
    <row r="588" spans="34:34">
      <c r="AH588" s="41"/>
    </row>
    <row r="589" spans="34:34">
      <c r="AH589" s="41"/>
    </row>
    <row r="590" spans="34:34">
      <c r="AH590" s="41"/>
    </row>
    <row r="591" spans="34:34">
      <c r="AH591" s="41"/>
    </row>
    <row r="592" spans="34:34">
      <c r="AH592" s="41"/>
    </row>
    <row r="593" spans="34:34">
      <c r="AH593" s="41"/>
    </row>
    <row r="594" spans="34:34">
      <c r="AH594" s="41"/>
    </row>
    <row r="595" spans="34:34">
      <c r="AH595" s="41"/>
    </row>
    <row r="596" spans="34:34">
      <c r="AH596" s="41"/>
    </row>
    <row r="597" spans="34:34">
      <c r="AH597" s="41"/>
    </row>
    <row r="598" spans="34:34">
      <c r="AH598" s="41"/>
    </row>
    <row r="599" spans="34:34">
      <c r="AH599" s="41"/>
    </row>
    <row r="600" spans="34:34">
      <c r="AH600" s="41"/>
    </row>
    <row r="601" spans="34:34">
      <c r="AH601" s="41"/>
    </row>
    <row r="602" spans="34:34">
      <c r="AH602" s="41"/>
    </row>
    <row r="603" spans="34:34">
      <c r="AH603" s="41"/>
    </row>
    <row r="604" spans="34:34">
      <c r="AH604" s="41"/>
    </row>
    <row r="605" spans="34:34">
      <c r="AH605" s="41"/>
    </row>
    <row r="606" spans="34:34">
      <c r="AH606" s="41"/>
    </row>
    <row r="607" spans="34:34">
      <c r="AH607" s="41"/>
    </row>
    <row r="608" spans="34:34">
      <c r="AH608" s="41"/>
    </row>
    <row r="609" spans="34:34">
      <c r="AH609" s="41"/>
    </row>
    <row r="610" spans="34:34">
      <c r="AH610" s="41"/>
    </row>
    <row r="611" spans="34:34">
      <c r="AH611" s="41"/>
    </row>
    <row r="612" spans="34:34">
      <c r="AH612" s="41"/>
    </row>
    <row r="613" spans="34:34">
      <c r="AH613" s="41"/>
    </row>
    <row r="614" spans="34:34">
      <c r="AH614" s="41"/>
    </row>
    <row r="615" spans="34:34">
      <c r="AH615" s="41"/>
    </row>
    <row r="616" spans="34:34">
      <c r="AH616" s="41"/>
    </row>
    <row r="617" spans="34:34">
      <c r="AH617" s="41"/>
    </row>
    <row r="618" spans="34:34">
      <c r="AH618" s="41"/>
    </row>
    <row r="619" spans="34:34">
      <c r="AH619" s="41"/>
    </row>
    <row r="620" spans="34:34">
      <c r="AH620" s="41"/>
    </row>
    <row r="621" spans="34:34">
      <c r="AH621" s="41"/>
    </row>
    <row r="622" spans="34:34">
      <c r="AH622" s="41"/>
    </row>
    <row r="623" spans="34:34">
      <c r="AH623" s="41"/>
    </row>
    <row r="624" spans="34:34">
      <c r="AH624" s="41"/>
    </row>
    <row r="625" spans="34:34">
      <c r="AH625" s="41"/>
    </row>
    <row r="626" spans="34:34">
      <c r="AH626" s="41"/>
    </row>
    <row r="627" spans="34:34">
      <c r="AH627" s="41"/>
    </row>
    <row r="628" spans="34:34">
      <c r="AH628" s="41"/>
    </row>
    <row r="629" spans="34:34">
      <c r="AH629" s="41"/>
    </row>
    <row r="630" spans="34:34">
      <c r="AH630" s="41"/>
    </row>
    <row r="631" spans="34:34">
      <c r="AH631" s="41"/>
    </row>
    <row r="632" spans="34:34">
      <c r="AH632" s="41"/>
    </row>
    <row r="633" spans="34:34">
      <c r="AH633" s="41"/>
    </row>
    <row r="634" spans="34:34">
      <c r="AH634" s="41"/>
    </row>
    <row r="635" spans="34:34">
      <c r="AH635" s="41"/>
    </row>
    <row r="636" spans="34:34">
      <c r="AH636" s="41"/>
    </row>
    <row r="637" spans="34:34">
      <c r="AH637" s="41"/>
    </row>
    <row r="638" spans="34:34">
      <c r="AH638" s="41"/>
    </row>
    <row r="639" spans="34:34">
      <c r="AH639" s="41"/>
    </row>
    <row r="640" spans="34:34">
      <c r="AH640" s="41"/>
    </row>
    <row r="641" spans="34:34">
      <c r="AH641" s="41"/>
    </row>
    <row r="642" spans="34:34">
      <c r="AH642" s="41"/>
    </row>
    <row r="643" spans="34:34">
      <c r="AH643" s="41"/>
    </row>
    <row r="644" spans="34:34">
      <c r="AH644" s="41"/>
    </row>
    <row r="645" spans="34:34">
      <c r="AH645" s="41"/>
    </row>
    <row r="646" spans="34:34">
      <c r="AH646" s="41"/>
    </row>
    <row r="647" spans="34:34">
      <c r="AH647" s="41"/>
    </row>
    <row r="648" spans="34:34">
      <c r="AH648" s="41"/>
    </row>
    <row r="649" spans="34:34">
      <c r="AH649" s="41"/>
    </row>
    <row r="650" spans="34:34">
      <c r="AH650" s="41"/>
    </row>
    <row r="651" spans="34:34">
      <c r="AH651" s="41"/>
    </row>
    <row r="652" spans="34:34">
      <c r="AH652" s="41"/>
    </row>
    <row r="653" spans="34:34">
      <c r="AH653" s="41"/>
    </row>
    <row r="654" spans="34:34">
      <c r="AH654" s="41"/>
    </row>
    <row r="655" spans="34:34">
      <c r="AH655" s="41"/>
    </row>
    <row r="656" spans="34:34">
      <c r="AH656" s="41"/>
    </row>
    <row r="657" spans="34:34">
      <c r="AH657" s="41"/>
    </row>
    <row r="658" spans="34:34">
      <c r="AH658" s="41"/>
    </row>
    <row r="659" spans="34:34">
      <c r="AH659" s="41"/>
    </row>
    <row r="660" spans="34:34">
      <c r="AH660" s="41"/>
    </row>
    <row r="661" spans="34:34">
      <c r="AH661" s="41"/>
    </row>
    <row r="662" spans="34:34">
      <c r="AH662" s="41"/>
    </row>
    <row r="663" spans="34:34">
      <c r="AH663" s="41"/>
    </row>
    <row r="664" spans="34:34">
      <c r="AH664" s="41"/>
    </row>
    <row r="665" spans="34:34">
      <c r="AH665" s="41"/>
    </row>
    <row r="666" spans="34:34">
      <c r="AH666" s="41"/>
    </row>
    <row r="667" spans="34:34">
      <c r="AH667" s="41"/>
    </row>
    <row r="668" spans="34:34">
      <c r="AH668" s="41"/>
    </row>
    <row r="669" spans="34:34">
      <c r="AH669" s="41"/>
    </row>
    <row r="670" spans="34:34">
      <c r="AH670" s="41"/>
    </row>
    <row r="671" spans="34:34">
      <c r="AH671" s="41"/>
    </row>
    <row r="672" spans="34:34">
      <c r="AH672" s="41"/>
    </row>
    <row r="673" spans="34:34">
      <c r="AH673" s="41"/>
    </row>
    <row r="674" spans="34:34">
      <c r="AH674" s="41"/>
    </row>
    <row r="675" spans="34:34">
      <c r="AH675" s="41"/>
    </row>
    <row r="676" spans="34:34">
      <c r="AH676" s="41"/>
    </row>
    <row r="677" spans="34:34">
      <c r="AH677" s="41"/>
    </row>
    <row r="678" spans="34:34">
      <c r="AH678" s="41"/>
    </row>
    <row r="679" spans="34:34">
      <c r="AH679" s="41"/>
    </row>
    <row r="680" spans="34:34">
      <c r="AH680" s="41"/>
    </row>
    <row r="681" spans="34:34">
      <c r="AH681" s="41"/>
    </row>
    <row r="682" spans="34:34">
      <c r="AH682" s="41"/>
    </row>
    <row r="683" spans="34:34">
      <c r="AH683" s="41"/>
    </row>
    <row r="684" spans="34:34">
      <c r="AH684" s="41"/>
    </row>
    <row r="685" spans="34:34">
      <c r="AH685" s="41"/>
    </row>
    <row r="686" spans="34:34">
      <c r="AH686" s="41"/>
    </row>
    <row r="687" spans="34:34">
      <c r="AH687" s="41"/>
    </row>
    <row r="688" spans="34:34">
      <c r="AH688" s="41"/>
    </row>
    <row r="689" spans="34:34">
      <c r="AH689" s="41"/>
    </row>
    <row r="690" spans="34:34">
      <c r="AH690" s="41"/>
    </row>
    <row r="691" spans="34:34">
      <c r="AH691" s="41"/>
    </row>
    <row r="692" spans="34:34">
      <c r="AH692" s="41"/>
    </row>
    <row r="693" spans="34:34">
      <c r="AH693" s="41"/>
    </row>
    <row r="694" spans="34:34">
      <c r="AH694" s="41"/>
    </row>
    <row r="695" spans="34:34">
      <c r="AH695" s="41"/>
    </row>
    <row r="696" spans="34:34">
      <c r="AH696" s="41"/>
    </row>
    <row r="697" spans="34:34">
      <c r="AH697" s="41"/>
    </row>
  </sheetData>
  <autoFilter ref="B6:AH185" xr:uid="{00000000-0001-0000-0300-000000000000}"/>
  <conditionalFormatting sqref="B13:B47">
    <cfRule type="duplicateValues" dxfId="12" priority="2"/>
  </conditionalFormatting>
  <conditionalFormatting sqref="B52:B53">
    <cfRule type="duplicateValues" dxfId="11" priority="1"/>
  </conditionalFormatting>
  <pageMargins left="0.25" right="0.25" top="0.27" bottom="0.4" header="0.18" footer="0.25"/>
  <pageSetup scale="70" orientation="landscape" errors="blank" r:id="rId1"/>
  <headerFooter alignWithMargins="0">
    <oddFooter>&amp;L&amp;F - &amp;A&amp;CPrinted &amp;D - &amp;T&amp;RPage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F1CB3-61A0-4488-B394-AEAC6F7A6241}">
  <sheetPr>
    <tabColor theme="9" tint="0.59999389629810485"/>
  </sheetPr>
  <dimension ref="A1:BE182"/>
  <sheetViews>
    <sheetView topLeftCell="B29" workbookViewId="0">
      <pane xSplit="1" topLeftCell="AK1" activePane="topRight" state="frozen"/>
      <selection activeCell="C88" sqref="C88"/>
      <selection pane="topRight" activeCell="C88" sqref="C88"/>
    </sheetView>
  </sheetViews>
  <sheetFormatPr defaultColWidth="9.140625" defaultRowHeight="12.75" outlineLevelCol="1"/>
  <cols>
    <col min="1" max="1" width="27.7109375" style="1" hidden="1" customWidth="1" outlineLevel="1"/>
    <col min="2" max="2" width="22.7109375" style="1" customWidth="1" collapsed="1"/>
    <col min="3" max="3" width="29.140625" style="1" bestFit="1" customWidth="1"/>
    <col min="4" max="5" width="17.5703125" style="41" customWidth="1"/>
    <col min="6" max="6" width="12" style="1" customWidth="1"/>
    <col min="7" max="7" width="3" style="1" customWidth="1"/>
    <col min="8" max="9" width="12" style="1" hidden="1" customWidth="1" outlineLevel="1"/>
    <col min="10" max="15" width="11.140625" style="1" hidden="1" customWidth="1" outlineLevel="1"/>
    <col min="16" max="17" width="12" style="1" hidden="1" customWidth="1" outlineLevel="1"/>
    <col min="18" max="18" width="11.140625" style="1" hidden="1" customWidth="1" outlineLevel="1"/>
    <col min="19" max="19" width="12" style="1" hidden="1" customWidth="1" outlineLevel="1"/>
    <col min="20" max="20" width="13" style="1" bestFit="1" customWidth="1" collapsed="1"/>
    <col min="21" max="21" width="6.5703125" style="1" bestFit="1" customWidth="1"/>
    <col min="22" max="22" width="4.7109375" style="1" customWidth="1"/>
    <col min="23" max="34" width="9.42578125" style="1" hidden="1" customWidth="1" outlineLevel="1"/>
    <col min="35" max="35" width="10.28515625" style="5" bestFit="1" customWidth="1" collapsed="1"/>
    <col min="36" max="36" width="18" style="1" bestFit="1" customWidth="1"/>
    <col min="37" max="37" width="9.140625" style="1"/>
    <col min="38" max="38" width="10" style="7" bestFit="1" customWidth="1"/>
    <col min="39" max="39" width="11" style="1" hidden="1" customWidth="1" outlineLevel="1"/>
    <col min="40" max="40" width="17.7109375" style="1" hidden="1" customWidth="1" outlineLevel="1"/>
    <col min="41" max="42" width="9.140625" style="1" hidden="1" customWidth="1" outlineLevel="1"/>
    <col min="43" max="43" width="9.85546875" style="1" hidden="1" customWidth="1" outlineLevel="1"/>
    <col min="44" max="45" width="9.140625" style="1" hidden="1" customWidth="1" outlineLevel="1"/>
    <col min="46" max="46" width="9.140625" style="7" collapsed="1"/>
    <col min="47" max="47" width="30.85546875" style="1" bestFit="1" customWidth="1"/>
    <col min="48" max="48" width="19.85546875" style="1" bestFit="1" customWidth="1"/>
    <col min="49" max="49" width="25.28515625" style="1" bestFit="1" customWidth="1"/>
    <col min="50" max="50" width="9" style="1" bestFit="1" customWidth="1"/>
    <col min="51" max="51" width="11.5703125" style="1" bestFit="1" customWidth="1"/>
    <col min="52" max="54" width="9.140625" style="1"/>
    <col min="55" max="55" width="11" style="502" customWidth="1"/>
    <col min="56" max="56" width="13.140625" style="502" customWidth="1"/>
    <col min="57" max="16384" width="9.140625" style="1"/>
  </cols>
  <sheetData>
    <row r="1" spans="1:57" ht="12" customHeight="1">
      <c r="B1" s="2" t="s">
        <v>449</v>
      </c>
      <c r="D1" s="3"/>
      <c r="E1" s="3"/>
      <c r="F1" s="237"/>
      <c r="G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X1" s="9"/>
      <c r="AY1" s="10" t="s">
        <v>1</v>
      </c>
      <c r="AZ1" s="10" t="s">
        <v>2</v>
      </c>
      <c r="BA1" s="10" t="s">
        <v>3</v>
      </c>
      <c r="BC1" s="502" t="s">
        <v>850</v>
      </c>
    </row>
    <row r="2" spans="1:57" ht="12" customHeight="1">
      <c r="B2" s="2" t="s">
        <v>5</v>
      </c>
      <c r="D2" s="3"/>
      <c r="E2" s="3"/>
      <c r="F2" s="237"/>
      <c r="G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X2" s="11" t="s">
        <v>6</v>
      </c>
      <c r="AY2" s="12">
        <f ca="1">+'Clallam Reg Price Out'!AX2</f>
        <v>9.6441773042538648E-2</v>
      </c>
      <c r="AZ2" s="12">
        <f>+'Clallam Reg Price Out'!AY2</f>
        <v>1.4437800000000001E-2</v>
      </c>
      <c r="BA2" s="12">
        <f ca="1">+'Clallam Reg Price Out'!AZ2</f>
        <v>0.11087957304253865</v>
      </c>
      <c r="BB2" s="14"/>
      <c r="BD2" s="507">
        <f ca="1">+'Clallam Proposed Rates'!$H$8</f>
        <v>3.8176256978042764E-3</v>
      </c>
    </row>
    <row r="3" spans="1:57" ht="12" customHeight="1">
      <c r="B3" s="53" t="s">
        <v>450</v>
      </c>
      <c r="D3" s="3"/>
      <c r="E3" s="3"/>
      <c r="F3" s="237"/>
      <c r="G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X3" s="11"/>
      <c r="AY3" s="12"/>
      <c r="AZ3" s="12"/>
      <c r="BA3" s="12"/>
      <c r="BB3" s="14"/>
    </row>
    <row r="4" spans="1:57" ht="12" customHeight="1">
      <c r="B4" s="15" t="str">
        <f>'Clallam Reg Price Out'!B4</f>
        <v>August 1, 2022 - July 31, 2023</v>
      </c>
      <c r="C4" s="5"/>
      <c r="D4" s="3"/>
      <c r="E4" s="3"/>
      <c r="F4" s="237"/>
      <c r="G4" s="5"/>
      <c r="H4" s="5"/>
      <c r="I4" s="5"/>
      <c r="J4" s="5"/>
      <c r="K4" s="1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N4" s="17" t="s">
        <v>8</v>
      </c>
      <c r="AO4" s="18"/>
      <c r="AP4" s="17" t="s">
        <v>9</v>
      </c>
      <c r="AQ4" s="18"/>
      <c r="AR4" s="17" t="s">
        <v>10</v>
      </c>
      <c r="AS4" s="18"/>
    </row>
    <row r="5" spans="1:57" ht="12" customHeight="1">
      <c r="B5" s="5"/>
      <c r="C5" s="20"/>
      <c r="D5" s="21" t="s">
        <v>11</v>
      </c>
      <c r="E5" s="21" t="s">
        <v>11</v>
      </c>
      <c r="F5" s="21" t="s">
        <v>12</v>
      </c>
      <c r="G5" s="5"/>
      <c r="H5" s="23">
        <f>+'Clallam Reg Price Out'!G5</f>
        <v>44774</v>
      </c>
      <c r="I5" s="23">
        <f>+'Clallam Reg Price Out'!H5</f>
        <v>44805</v>
      </c>
      <c r="J5" s="23">
        <f>+'Clallam Reg Price Out'!I5</f>
        <v>44836</v>
      </c>
      <c r="K5" s="23">
        <f>+'Clallam Reg Price Out'!J5</f>
        <v>44867</v>
      </c>
      <c r="L5" s="23">
        <f>+'Clallam Reg Price Out'!K5</f>
        <v>44898</v>
      </c>
      <c r="M5" s="23">
        <f>+'Clallam Reg Price Out'!L5</f>
        <v>44929</v>
      </c>
      <c r="N5" s="23">
        <f>+'Clallam Reg Price Out'!M5</f>
        <v>44960</v>
      </c>
      <c r="O5" s="23">
        <f>+'Clallam Reg Price Out'!N5</f>
        <v>44991</v>
      </c>
      <c r="P5" s="23">
        <f>+'Clallam Reg Price Out'!O5</f>
        <v>45022</v>
      </c>
      <c r="Q5" s="23">
        <f>+'Clallam Reg Price Out'!P5</f>
        <v>45053</v>
      </c>
      <c r="R5" s="23">
        <f>+'Clallam Reg Price Out'!Q5</f>
        <v>45084</v>
      </c>
      <c r="S5" s="23">
        <f>+'Clallam Reg Price Out'!R5</f>
        <v>45115</v>
      </c>
      <c r="T5" s="23" t="s">
        <v>13</v>
      </c>
      <c r="U5" s="5"/>
      <c r="V5" s="5"/>
      <c r="W5" s="24">
        <f t="shared" ref="W5:AH5" si="0">+H5</f>
        <v>44774</v>
      </c>
      <c r="X5" s="24">
        <f t="shared" si="0"/>
        <v>44805</v>
      </c>
      <c r="Y5" s="24">
        <f t="shared" si="0"/>
        <v>44836</v>
      </c>
      <c r="Z5" s="24">
        <f t="shared" si="0"/>
        <v>44867</v>
      </c>
      <c r="AA5" s="24">
        <f t="shared" si="0"/>
        <v>44898</v>
      </c>
      <c r="AB5" s="24">
        <f t="shared" si="0"/>
        <v>44929</v>
      </c>
      <c r="AC5" s="24">
        <f t="shared" si="0"/>
        <v>44960</v>
      </c>
      <c r="AD5" s="24">
        <f t="shared" si="0"/>
        <v>44991</v>
      </c>
      <c r="AE5" s="24">
        <f t="shared" si="0"/>
        <v>45022</v>
      </c>
      <c r="AF5" s="24">
        <f t="shared" si="0"/>
        <v>45053</v>
      </c>
      <c r="AG5" s="24">
        <f t="shared" si="0"/>
        <v>45084</v>
      </c>
      <c r="AH5" s="24">
        <f t="shared" si="0"/>
        <v>45115</v>
      </c>
      <c r="AI5" s="24" t="s">
        <v>14</v>
      </c>
      <c r="AJ5" s="1" t="s">
        <v>451</v>
      </c>
      <c r="AN5" s="25" t="s">
        <v>15</v>
      </c>
      <c r="AO5" s="26" t="s">
        <v>16</v>
      </c>
      <c r="AP5" s="25" t="s">
        <v>15</v>
      </c>
      <c r="AQ5" s="26" t="s">
        <v>16</v>
      </c>
      <c r="AR5" s="25" t="s">
        <v>15</v>
      </c>
      <c r="AS5" s="26" t="s">
        <v>16</v>
      </c>
    </row>
    <row r="6" spans="1:57" ht="38.25">
      <c r="B6" s="30" t="s">
        <v>21</v>
      </c>
      <c r="C6" s="20" t="s">
        <v>22</v>
      </c>
      <c r="D6" s="31" t="s">
        <v>452</v>
      </c>
      <c r="E6" s="31" t="s">
        <v>453</v>
      </c>
      <c r="F6" s="31" t="s">
        <v>24</v>
      </c>
      <c r="G6" s="20"/>
      <c r="H6" s="33" t="s">
        <v>25</v>
      </c>
      <c r="I6" s="33" t="s">
        <v>25</v>
      </c>
      <c r="J6" s="33" t="s">
        <v>25</v>
      </c>
      <c r="K6" s="33" t="s">
        <v>25</v>
      </c>
      <c r="L6" s="33" t="s">
        <v>25</v>
      </c>
      <c r="M6" s="33" t="s">
        <v>25</v>
      </c>
      <c r="N6" s="33" t="s">
        <v>25</v>
      </c>
      <c r="O6" s="33" t="s">
        <v>25</v>
      </c>
      <c r="P6" s="33" t="s">
        <v>25</v>
      </c>
      <c r="Q6" s="33" t="s">
        <v>25</v>
      </c>
      <c r="R6" s="33" t="s">
        <v>25</v>
      </c>
      <c r="S6" s="33" t="s">
        <v>25</v>
      </c>
      <c r="T6" s="33" t="s">
        <v>25</v>
      </c>
      <c r="U6" s="5"/>
      <c r="V6" s="5"/>
      <c r="W6" s="34" t="s">
        <v>26</v>
      </c>
      <c r="X6" s="34" t="s">
        <v>26</v>
      </c>
      <c r="Y6" s="34" t="s">
        <v>26</v>
      </c>
      <c r="Z6" s="34" t="s">
        <v>26</v>
      </c>
      <c r="AA6" s="34" t="s">
        <v>26</v>
      </c>
      <c r="AB6" s="34" t="s">
        <v>26</v>
      </c>
      <c r="AC6" s="34" t="s">
        <v>26</v>
      </c>
      <c r="AD6" s="34" t="s">
        <v>26</v>
      </c>
      <c r="AE6" s="34" t="s">
        <v>26</v>
      </c>
      <c r="AF6" s="34" t="s">
        <v>26</v>
      </c>
      <c r="AG6" s="34" t="s">
        <v>26</v>
      </c>
      <c r="AH6" s="34" t="s">
        <v>26</v>
      </c>
      <c r="AI6" s="34" t="s">
        <v>27</v>
      </c>
      <c r="AU6" s="35" t="s">
        <v>29</v>
      </c>
      <c r="AV6" s="36" t="s">
        <v>30</v>
      </c>
      <c r="AW6" s="36" t="s">
        <v>31</v>
      </c>
      <c r="BC6" s="509" t="s">
        <v>848</v>
      </c>
      <c r="BD6" s="509" t="s">
        <v>30</v>
      </c>
    </row>
    <row r="7" spans="1:57" s="5" customFormat="1" ht="12" customHeight="1">
      <c r="D7" s="3"/>
      <c r="E7" s="3"/>
      <c r="F7" s="237"/>
      <c r="G7" s="181"/>
      <c r="H7" s="181"/>
      <c r="AL7" s="43"/>
      <c r="AT7" s="43"/>
      <c r="AU7" s="1"/>
      <c r="AV7" s="1"/>
      <c r="AW7" s="1"/>
      <c r="AX7" s="1"/>
      <c r="AY7" s="1"/>
      <c r="AZ7" s="1"/>
      <c r="BA7" s="1"/>
      <c r="BB7" s="1"/>
      <c r="BC7" s="498"/>
      <c r="BD7" s="498"/>
      <c r="BE7"/>
    </row>
    <row r="8" spans="1:57" ht="12" customHeight="1">
      <c r="B8" s="50" t="s">
        <v>141</v>
      </c>
      <c r="C8" s="50" t="s">
        <v>141</v>
      </c>
      <c r="D8" s="51"/>
      <c r="E8" s="51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43"/>
      <c r="AM8" s="5"/>
      <c r="AN8" s="5"/>
      <c r="AO8" s="5"/>
      <c r="AP8" s="53"/>
      <c r="AQ8" s="53"/>
      <c r="AR8" s="5"/>
      <c r="AS8" s="5"/>
      <c r="BC8" s="498"/>
      <c r="BD8" s="498"/>
      <c r="BE8"/>
    </row>
    <row r="9" spans="1:57" ht="12" customHeight="1">
      <c r="B9" s="50"/>
      <c r="C9" s="50"/>
      <c r="D9" s="51"/>
      <c r="E9" s="51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43"/>
      <c r="AM9" s="5"/>
      <c r="AN9" s="5"/>
      <c r="AO9" s="5"/>
      <c r="AP9" s="58"/>
      <c r="AQ9" s="59"/>
      <c r="AR9" s="5"/>
      <c r="AS9" s="5"/>
      <c r="BC9" s="498"/>
      <c r="BD9" s="498"/>
      <c r="BE9"/>
    </row>
    <row r="10" spans="1:57" s="5" customFormat="1" ht="12" customHeight="1">
      <c r="B10" s="64" t="s">
        <v>142</v>
      </c>
      <c r="C10" s="64" t="s">
        <v>142</v>
      </c>
      <c r="D10" s="65"/>
      <c r="E10" s="65"/>
      <c r="F10" s="67"/>
      <c r="G10" s="67"/>
      <c r="H10" s="125"/>
      <c r="I10" s="68" t="str">
        <f>IF(G10="","",(#REF!/G10)+(#REF!/F10))</f>
        <v/>
      </c>
      <c r="J10" s="68" t="str">
        <f>IF(G10="","",I10/12)</f>
        <v/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43"/>
      <c r="AL10" s="43"/>
      <c r="AP10" s="58"/>
      <c r="AQ10" s="59"/>
      <c r="AT10" s="43"/>
      <c r="AX10" s="1"/>
      <c r="AY10" s="1"/>
      <c r="AZ10" s="1"/>
      <c r="BA10" s="1"/>
      <c r="BB10" s="1"/>
      <c r="BC10" s="498"/>
      <c r="BD10" s="498"/>
      <c r="BE10"/>
    </row>
    <row r="11" spans="1:57" s="19" customFormat="1" ht="12" customHeight="1">
      <c r="A11" s="71" t="str">
        <f t="shared" ref="A11:A19" si="1">"CITYPA-M"&amp;B11</f>
        <v>CITYPA-MF2YD1W</v>
      </c>
      <c r="B11" s="72" t="s">
        <v>149</v>
      </c>
      <c r="C11" s="72" t="s">
        <v>150</v>
      </c>
      <c r="D11" s="132">
        <v>185.41</v>
      </c>
      <c r="E11" s="132">
        <f t="shared" ref="E11:E19" si="2">D11</f>
        <v>185.41</v>
      </c>
      <c r="F11" s="238" t="s">
        <v>349</v>
      </c>
      <c r="G11" s="67"/>
      <c r="H11" s="75">
        <v>185.41</v>
      </c>
      <c r="I11" s="75">
        <v>185.41</v>
      </c>
      <c r="J11" s="75">
        <v>185.41</v>
      </c>
      <c r="K11" s="75">
        <v>185.41</v>
      </c>
      <c r="L11" s="75">
        <v>185.41</v>
      </c>
      <c r="M11" s="75">
        <v>185.41</v>
      </c>
      <c r="N11" s="75">
        <v>185.41</v>
      </c>
      <c r="O11" s="75">
        <v>185.41</v>
      </c>
      <c r="P11" s="75">
        <v>185.41</v>
      </c>
      <c r="Q11" s="75">
        <v>185.41</v>
      </c>
      <c r="R11" s="75">
        <v>185.41</v>
      </c>
      <c r="S11" s="75">
        <v>185.41</v>
      </c>
      <c r="T11" s="75">
        <f t="shared" ref="T11:T19" si="3">SUM(H11:S11)</f>
        <v>2224.9200000000005</v>
      </c>
      <c r="U11" s="71">
        <v>33010</v>
      </c>
      <c r="W11" s="75">
        <f t="shared" ref="W11:AG18" si="4">IFERROR(H11/$D11,0)</f>
        <v>1</v>
      </c>
      <c r="X11" s="75">
        <f t="shared" si="4"/>
        <v>1</v>
      </c>
      <c r="Y11" s="75">
        <f t="shared" si="4"/>
        <v>1</v>
      </c>
      <c r="Z11" s="75">
        <f t="shared" si="4"/>
        <v>1</v>
      </c>
      <c r="AA11" s="75">
        <f t="shared" si="4"/>
        <v>1</v>
      </c>
      <c r="AB11" s="75">
        <f t="shared" si="4"/>
        <v>1</v>
      </c>
      <c r="AC11" s="75">
        <f t="shared" si="4"/>
        <v>1</v>
      </c>
      <c r="AD11" s="75">
        <f t="shared" si="4"/>
        <v>1</v>
      </c>
      <c r="AE11" s="75">
        <f t="shared" si="4"/>
        <v>1</v>
      </c>
      <c r="AF11" s="75">
        <f t="shared" si="4"/>
        <v>1</v>
      </c>
      <c r="AG11" s="75">
        <f t="shared" si="4"/>
        <v>1</v>
      </c>
      <c r="AH11" s="75">
        <f t="shared" ref="AH11:AH18" si="5">IFERROR(S11/$E11,0)</f>
        <v>1</v>
      </c>
      <c r="AI11" s="75">
        <f t="shared" ref="AI11:AI19" si="6">IFERROR(AVERAGEIF(W11:AH11,"&gt;0"),0)</f>
        <v>1</v>
      </c>
      <c r="AJ11" s="5"/>
      <c r="AL11" s="239"/>
      <c r="AM11" s="19" t="s">
        <v>151</v>
      </c>
      <c r="AN11" s="5"/>
      <c r="AO11" s="44"/>
      <c r="AP11" s="58">
        <v>1</v>
      </c>
      <c r="AQ11" s="240">
        <f t="shared" ref="AQ11:AQ16" si="7">AP11*AI11</f>
        <v>1</v>
      </c>
      <c r="AR11" s="5"/>
      <c r="AS11" s="5"/>
      <c r="AT11" s="241">
        <f>49.15*4.33</f>
        <v>212.81950000000001</v>
      </c>
      <c r="AU11" s="195">
        <f ca="1">+AT11*(1+$BA$2)</f>
        <v>236.41683529512656</v>
      </c>
      <c r="AV11" s="80">
        <f ca="1">+AU11*AVERAGE(W11:AH11)*12</f>
        <v>2837.0020235415186</v>
      </c>
      <c r="AW11" s="80">
        <f ca="1">+AV11-T11</f>
        <v>612.08202354151808</v>
      </c>
      <c r="AX11" s="1"/>
      <c r="AY11" s="1"/>
      <c r="AZ11" s="1"/>
      <c r="BA11" s="1"/>
      <c r="BB11" s="1"/>
      <c r="BC11" s="499">
        <f ca="1">AV11*BD$2</f>
        <v>10.830611829794835</v>
      </c>
      <c r="BD11" s="499">
        <f ca="1">+BC11+AV11</f>
        <v>2847.8326353713132</v>
      </c>
      <c r="BE11"/>
    </row>
    <row r="12" spans="1:57" s="19" customFormat="1" ht="12" customHeight="1">
      <c r="A12" s="71" t="str">
        <f t="shared" si="1"/>
        <v>CITYPA-MF6YD1W</v>
      </c>
      <c r="B12" s="72" t="s">
        <v>157</v>
      </c>
      <c r="C12" s="72" t="s">
        <v>158</v>
      </c>
      <c r="D12" s="132">
        <v>470.45</v>
      </c>
      <c r="E12" s="132">
        <f t="shared" si="2"/>
        <v>470.45</v>
      </c>
      <c r="F12" s="238" t="s">
        <v>381</v>
      </c>
      <c r="G12" s="67"/>
      <c r="H12" s="75">
        <v>2361.66</v>
      </c>
      <c r="I12" s="75">
        <v>2361.66</v>
      </c>
      <c r="J12" s="75">
        <v>1881.8</v>
      </c>
      <c r="K12" s="75">
        <v>2234.63</v>
      </c>
      <c r="L12" s="75">
        <v>2352.25</v>
      </c>
      <c r="M12" s="75">
        <v>2352.25</v>
      </c>
      <c r="N12" s="75">
        <v>2352.25</v>
      </c>
      <c r="O12" s="75">
        <v>2352.25</v>
      </c>
      <c r="P12" s="75">
        <v>2352.25</v>
      </c>
      <c r="Q12" s="75">
        <v>2352.25</v>
      </c>
      <c r="R12" s="75">
        <v>2352.25</v>
      </c>
      <c r="S12" s="75">
        <v>2352.25</v>
      </c>
      <c r="T12" s="75">
        <f t="shared" si="3"/>
        <v>27657.75</v>
      </c>
      <c r="U12" s="71">
        <v>33010</v>
      </c>
      <c r="W12" s="75">
        <f t="shared" si="4"/>
        <v>5.0200021256244023</v>
      </c>
      <c r="X12" s="75">
        <f t="shared" si="4"/>
        <v>5.0200021256244023</v>
      </c>
      <c r="Y12" s="75">
        <f t="shared" si="4"/>
        <v>4</v>
      </c>
      <c r="Z12" s="75">
        <f t="shared" si="4"/>
        <v>4.7499840578169845</v>
      </c>
      <c r="AA12" s="75">
        <f t="shared" si="4"/>
        <v>5</v>
      </c>
      <c r="AB12" s="75">
        <f t="shared" si="4"/>
        <v>5</v>
      </c>
      <c r="AC12" s="75">
        <f t="shared" si="4"/>
        <v>5</v>
      </c>
      <c r="AD12" s="75">
        <f t="shared" si="4"/>
        <v>5</v>
      </c>
      <c r="AE12" s="75">
        <f t="shared" si="4"/>
        <v>5</v>
      </c>
      <c r="AF12" s="75">
        <f t="shared" si="4"/>
        <v>5</v>
      </c>
      <c r="AG12" s="75">
        <f t="shared" si="4"/>
        <v>5</v>
      </c>
      <c r="AH12" s="75">
        <f t="shared" si="5"/>
        <v>5</v>
      </c>
      <c r="AI12" s="75">
        <f t="shared" si="6"/>
        <v>4.8991656924221489</v>
      </c>
      <c r="AJ12" s="5"/>
      <c r="AL12" s="239"/>
      <c r="AM12" s="19" t="s">
        <v>159</v>
      </c>
      <c r="AN12" s="5"/>
      <c r="AO12" s="44"/>
      <c r="AP12" s="58">
        <v>1</v>
      </c>
      <c r="AQ12" s="240">
        <f t="shared" si="7"/>
        <v>4.8991656924221489</v>
      </c>
      <c r="AR12" s="5"/>
      <c r="AS12" s="5"/>
      <c r="AT12" s="241">
        <v>541.47</v>
      </c>
      <c r="AU12" s="195">
        <f t="shared" ref="AU12:AU19" ca="1" si="8">+AT12*(1+$BA$2)</f>
        <v>601.50796241534351</v>
      </c>
      <c r="AV12" s="80">
        <f ca="1">+AU12*AVERAGE(W12:AH12)*12</f>
        <v>35362.646078208025</v>
      </c>
      <c r="AW12" s="80">
        <f t="shared" ref="AW12:AW19" ca="1" si="9">+AV12-T12</f>
        <v>7704.8960782080248</v>
      </c>
      <c r="AX12" s="1"/>
      <c r="AY12" s="1"/>
      <c r="AZ12" s="1"/>
      <c r="BA12" s="1"/>
      <c r="BB12" s="1"/>
      <c r="BC12" s="499">
        <f t="shared" ref="BC12:BC19" ca="1" si="10">AV12*BD$2</f>
        <v>135.00134641052458</v>
      </c>
      <c r="BD12" s="499">
        <f t="shared" ref="BD12:BD19" ca="1" si="11">+BC12+AV12</f>
        <v>35497.647424618546</v>
      </c>
      <c r="BE12"/>
    </row>
    <row r="13" spans="1:57" s="19" customFormat="1" ht="12" customHeight="1">
      <c r="A13" s="71" t="str">
        <f t="shared" si="1"/>
        <v>CITYPA-MF6YD2W</v>
      </c>
      <c r="B13" s="72" t="s">
        <v>357</v>
      </c>
      <c r="C13" s="72" t="s">
        <v>358</v>
      </c>
      <c r="D13" s="132">
        <v>940.91</v>
      </c>
      <c r="E13" s="132">
        <f t="shared" si="2"/>
        <v>940.91</v>
      </c>
      <c r="F13" s="238" t="s">
        <v>381</v>
      </c>
      <c r="G13" s="67"/>
      <c r="H13" s="75">
        <v>940.91</v>
      </c>
      <c r="I13" s="75">
        <v>940.91</v>
      </c>
      <c r="J13" s="75">
        <v>940.91</v>
      </c>
      <c r="K13" s="75">
        <v>940.91</v>
      </c>
      <c r="L13" s="75">
        <v>940.91</v>
      </c>
      <c r="M13" s="75">
        <v>940.91</v>
      </c>
      <c r="N13" s="75">
        <v>940.91</v>
      </c>
      <c r="O13" s="75">
        <v>940.91</v>
      </c>
      <c r="P13" s="75">
        <v>940.91</v>
      </c>
      <c r="Q13" s="75">
        <v>940.91</v>
      </c>
      <c r="R13" s="75">
        <v>940.91</v>
      </c>
      <c r="S13" s="75">
        <v>940.91</v>
      </c>
      <c r="T13" s="75">
        <f t="shared" si="3"/>
        <v>11290.92</v>
      </c>
      <c r="U13" s="71">
        <v>33010</v>
      </c>
      <c r="W13" s="75">
        <f t="shared" si="4"/>
        <v>1</v>
      </c>
      <c r="X13" s="75">
        <f t="shared" si="4"/>
        <v>1</v>
      </c>
      <c r="Y13" s="75">
        <f t="shared" si="4"/>
        <v>1</v>
      </c>
      <c r="Z13" s="75">
        <f t="shared" si="4"/>
        <v>1</v>
      </c>
      <c r="AA13" s="75">
        <f t="shared" si="4"/>
        <v>1</v>
      </c>
      <c r="AB13" s="75">
        <f t="shared" si="4"/>
        <v>1</v>
      </c>
      <c r="AC13" s="75">
        <f t="shared" si="4"/>
        <v>1</v>
      </c>
      <c r="AD13" s="75">
        <f t="shared" si="4"/>
        <v>1</v>
      </c>
      <c r="AE13" s="75">
        <f t="shared" si="4"/>
        <v>1</v>
      </c>
      <c r="AF13" s="75">
        <f t="shared" si="4"/>
        <v>1</v>
      </c>
      <c r="AG13" s="75">
        <f t="shared" si="4"/>
        <v>1</v>
      </c>
      <c r="AH13" s="75">
        <f t="shared" si="5"/>
        <v>1</v>
      </c>
      <c r="AI13" s="75">
        <f t="shared" si="6"/>
        <v>1</v>
      </c>
      <c r="AJ13" s="5"/>
      <c r="AL13" s="239"/>
      <c r="AM13" s="19" t="s">
        <v>159</v>
      </c>
      <c r="AN13" s="5"/>
      <c r="AO13" s="44"/>
      <c r="AP13" s="58">
        <v>1</v>
      </c>
      <c r="AQ13" s="240">
        <f t="shared" si="7"/>
        <v>1</v>
      </c>
      <c r="AR13" s="5"/>
      <c r="AS13" s="5"/>
      <c r="AT13" s="241">
        <f>+AT12*2</f>
        <v>1082.94</v>
      </c>
      <c r="AU13" s="195">
        <f t="shared" ca="1" si="8"/>
        <v>1203.015924830687</v>
      </c>
      <c r="AV13" s="80">
        <f t="shared" ref="AV13:AV18" ca="1" si="12">+AU13*AVERAGE(W13:AH13)*12</f>
        <v>14436.191097968243</v>
      </c>
      <c r="AW13" s="80">
        <f t="shared" ca="1" si="9"/>
        <v>3145.2710979682433</v>
      </c>
      <c r="AX13" s="216"/>
      <c r="AY13" s="1"/>
      <c r="AZ13" s="1"/>
      <c r="BA13" s="1"/>
      <c r="BB13" s="1"/>
      <c r="BC13" s="499">
        <f t="shared" ca="1" si="10"/>
        <v>55.111974114016895</v>
      </c>
      <c r="BD13" s="499">
        <f t="shared" ca="1" si="11"/>
        <v>14491.303072082261</v>
      </c>
      <c r="BE13"/>
    </row>
    <row r="14" spans="1:57" s="19" customFormat="1" ht="12" customHeight="1">
      <c r="A14" s="71" t="str">
        <f t="shared" si="1"/>
        <v>CITYPA-MFCP4YD1W</v>
      </c>
      <c r="B14" s="72" t="s">
        <v>454</v>
      </c>
      <c r="C14" s="72" t="s">
        <v>455</v>
      </c>
      <c r="D14" s="132">
        <v>692.84</v>
      </c>
      <c r="E14" s="132">
        <f t="shared" si="2"/>
        <v>692.84</v>
      </c>
      <c r="F14" s="238">
        <v>38</v>
      </c>
      <c r="G14" s="67"/>
      <c r="H14" s="75">
        <v>692.84</v>
      </c>
      <c r="I14" s="75">
        <v>692.84</v>
      </c>
      <c r="J14" s="75">
        <v>692.84</v>
      </c>
      <c r="K14" s="75">
        <v>692.84</v>
      </c>
      <c r="L14" s="75">
        <v>692.84</v>
      </c>
      <c r="M14" s="75">
        <v>692.84</v>
      </c>
      <c r="N14" s="75">
        <v>692.84</v>
      </c>
      <c r="O14" s="75">
        <v>692.84</v>
      </c>
      <c r="P14" s="75">
        <v>692.84</v>
      </c>
      <c r="Q14" s="75">
        <v>692.84</v>
      </c>
      <c r="R14" s="75">
        <v>751.73</v>
      </c>
      <c r="S14" s="75">
        <v>751.73</v>
      </c>
      <c r="T14" s="75">
        <f t="shared" si="3"/>
        <v>8431.86</v>
      </c>
      <c r="U14" s="71">
        <v>33010</v>
      </c>
      <c r="W14" s="75">
        <f t="shared" si="4"/>
        <v>1</v>
      </c>
      <c r="X14" s="75">
        <f t="shared" si="4"/>
        <v>1</v>
      </c>
      <c r="Y14" s="75">
        <f t="shared" si="4"/>
        <v>1</v>
      </c>
      <c r="Z14" s="75">
        <f t="shared" si="4"/>
        <v>1</v>
      </c>
      <c r="AA14" s="75">
        <f t="shared" si="4"/>
        <v>1</v>
      </c>
      <c r="AB14" s="75">
        <f t="shared" si="4"/>
        <v>1</v>
      </c>
      <c r="AC14" s="75">
        <f t="shared" si="4"/>
        <v>1</v>
      </c>
      <c r="AD14" s="75">
        <f t="shared" si="4"/>
        <v>1</v>
      </c>
      <c r="AE14" s="75">
        <f t="shared" si="4"/>
        <v>1</v>
      </c>
      <c r="AF14" s="75">
        <f t="shared" si="4"/>
        <v>1</v>
      </c>
      <c r="AG14" s="75">
        <f t="shared" si="4"/>
        <v>1.0849979793314473</v>
      </c>
      <c r="AH14" s="75">
        <f t="shared" si="5"/>
        <v>1.0849979793314473</v>
      </c>
      <c r="AI14" s="75">
        <f t="shared" si="6"/>
        <v>1.0141663298885746</v>
      </c>
      <c r="AJ14" s="5"/>
      <c r="AL14" s="239"/>
      <c r="AM14" s="19" t="s">
        <v>156</v>
      </c>
      <c r="AN14" s="5"/>
      <c r="AO14" s="44"/>
      <c r="AP14" s="58">
        <v>1</v>
      </c>
      <c r="AQ14" s="240">
        <f t="shared" si="7"/>
        <v>1.0141663298885746</v>
      </c>
      <c r="AR14" s="5"/>
      <c r="AS14" s="5"/>
      <c r="AT14" s="241">
        <f>192.93*4.33</f>
        <v>835.38690000000008</v>
      </c>
      <c r="AU14" s="195">
        <f t="shared" ca="1" si="8"/>
        <v>928.0142427973301</v>
      </c>
      <c r="AV14" s="80">
        <f t="shared" ca="1" si="12"/>
        <v>11293.929584425114</v>
      </c>
      <c r="AW14" s="80">
        <f t="shared" ca="1" si="9"/>
        <v>2862.0695844251131</v>
      </c>
      <c r="AX14" s="216"/>
      <c r="AY14" s="1"/>
      <c r="AZ14" s="1"/>
      <c r="BA14" s="1"/>
      <c r="BB14" s="1"/>
      <c r="BC14" s="499">
        <f t="shared" ca="1" si="10"/>
        <v>43.115995810693285</v>
      </c>
      <c r="BD14" s="499">
        <f t="shared" ca="1" si="11"/>
        <v>11337.045580235806</v>
      </c>
      <c r="BE14"/>
    </row>
    <row r="15" spans="1:57" s="19" customFormat="1" ht="12" customHeight="1">
      <c r="A15" s="71" t="str">
        <f t="shared" si="1"/>
        <v>CITYPA-MF3TC-COM</v>
      </c>
      <c r="B15" s="72" t="s">
        <v>359</v>
      </c>
      <c r="C15" s="72" t="s">
        <v>360</v>
      </c>
      <c r="D15" s="132">
        <v>56.85</v>
      </c>
      <c r="E15" s="132">
        <f t="shared" si="2"/>
        <v>56.85</v>
      </c>
      <c r="F15" s="238" t="s">
        <v>349</v>
      </c>
      <c r="G15" s="67"/>
      <c r="H15" s="75">
        <v>1250.7</v>
      </c>
      <c r="I15" s="75">
        <v>568.5</v>
      </c>
      <c r="J15" s="75">
        <v>795.9</v>
      </c>
      <c r="K15" s="75">
        <v>852.75</v>
      </c>
      <c r="L15" s="75">
        <v>739.05</v>
      </c>
      <c r="M15" s="75">
        <v>1137</v>
      </c>
      <c r="N15" s="75">
        <v>1023.3</v>
      </c>
      <c r="O15" s="75">
        <v>739.05</v>
      </c>
      <c r="P15" s="75">
        <v>625.35</v>
      </c>
      <c r="Q15" s="75">
        <v>852.75</v>
      </c>
      <c r="R15" s="75">
        <v>1250.7</v>
      </c>
      <c r="S15" s="75">
        <v>284.25</v>
      </c>
      <c r="T15" s="75">
        <f t="shared" si="3"/>
        <v>10119.300000000001</v>
      </c>
      <c r="U15" s="71">
        <v>33010</v>
      </c>
      <c r="W15" s="75">
        <f t="shared" si="4"/>
        <v>22</v>
      </c>
      <c r="X15" s="75">
        <f t="shared" si="4"/>
        <v>10</v>
      </c>
      <c r="Y15" s="75">
        <f t="shared" si="4"/>
        <v>14</v>
      </c>
      <c r="Z15" s="75">
        <f t="shared" si="4"/>
        <v>15</v>
      </c>
      <c r="AA15" s="75">
        <f t="shared" si="4"/>
        <v>12.999999999999998</v>
      </c>
      <c r="AB15" s="75">
        <f t="shared" si="4"/>
        <v>20</v>
      </c>
      <c r="AC15" s="75">
        <f t="shared" si="4"/>
        <v>18</v>
      </c>
      <c r="AD15" s="75">
        <f t="shared" si="4"/>
        <v>12.999999999999998</v>
      </c>
      <c r="AE15" s="75">
        <f t="shared" si="4"/>
        <v>11</v>
      </c>
      <c r="AF15" s="75">
        <f t="shared" si="4"/>
        <v>15</v>
      </c>
      <c r="AG15" s="75">
        <f t="shared" si="4"/>
        <v>22</v>
      </c>
      <c r="AH15" s="75">
        <f t="shared" si="5"/>
        <v>5</v>
      </c>
      <c r="AI15" s="75">
        <f t="shared" si="6"/>
        <v>14.833333333333334</v>
      </c>
      <c r="AJ15" s="5"/>
      <c r="AL15" s="239"/>
      <c r="AM15" s="19" t="s">
        <v>176</v>
      </c>
      <c r="AN15" s="5"/>
      <c r="AO15" s="44"/>
      <c r="AP15" s="58">
        <v>1</v>
      </c>
      <c r="AQ15" s="240">
        <f t="shared" si="7"/>
        <v>14.833333333333334</v>
      </c>
      <c r="AR15" s="5"/>
      <c r="AS15" s="5"/>
      <c r="AT15" s="241">
        <v>66.09</v>
      </c>
      <c r="AU15" s="195">
        <f t="shared" ca="1" si="8"/>
        <v>73.418030982381381</v>
      </c>
      <c r="AV15" s="80">
        <f t="shared" ca="1" si="12"/>
        <v>13068.409514863884</v>
      </c>
      <c r="AW15" s="80">
        <f t="shared" ca="1" si="9"/>
        <v>2949.1095148638833</v>
      </c>
      <c r="AX15" s="216"/>
      <c r="AY15" s="1"/>
      <c r="AZ15" s="1"/>
      <c r="BA15" s="1"/>
      <c r="BB15" s="1"/>
      <c r="BC15" s="499">
        <f t="shared" ca="1" si="10"/>
        <v>49.890295993374281</v>
      </c>
      <c r="BD15" s="499">
        <f t="shared" ca="1" si="11"/>
        <v>13118.299810857259</v>
      </c>
      <c r="BE15"/>
    </row>
    <row r="16" spans="1:57" s="19" customFormat="1" ht="12" customHeight="1">
      <c r="A16" s="71" t="str">
        <f t="shared" si="1"/>
        <v>CITYPA-MF4TC-COM</v>
      </c>
      <c r="B16" s="72" t="s">
        <v>350</v>
      </c>
      <c r="C16" s="72" t="s">
        <v>351</v>
      </c>
      <c r="D16" s="132">
        <v>77.709999999999994</v>
      </c>
      <c r="E16" s="132">
        <f t="shared" si="2"/>
        <v>77.709999999999994</v>
      </c>
      <c r="F16" s="238" t="s">
        <v>349</v>
      </c>
      <c r="G16" s="67"/>
      <c r="H16" s="75">
        <v>466.26</v>
      </c>
      <c r="I16" s="75">
        <v>777.1</v>
      </c>
      <c r="J16" s="75">
        <v>777.1</v>
      </c>
      <c r="K16" s="75">
        <v>777.1</v>
      </c>
      <c r="L16" s="75">
        <v>466.26</v>
      </c>
      <c r="M16" s="75">
        <v>777.1</v>
      </c>
      <c r="N16" s="75">
        <v>155.41999999999999</v>
      </c>
      <c r="O16" s="75">
        <v>0</v>
      </c>
      <c r="P16" s="75">
        <v>0</v>
      </c>
      <c r="Q16" s="75">
        <v>466.26</v>
      </c>
      <c r="R16" s="75">
        <v>0</v>
      </c>
      <c r="S16" s="75">
        <v>310.83999999999997</v>
      </c>
      <c r="T16" s="75">
        <f t="shared" si="3"/>
        <v>4973.4399999999996</v>
      </c>
      <c r="U16" s="71">
        <v>33010</v>
      </c>
      <c r="W16" s="75">
        <f t="shared" si="4"/>
        <v>6</v>
      </c>
      <c r="X16" s="75">
        <f t="shared" si="4"/>
        <v>10.000000000000002</v>
      </c>
      <c r="Y16" s="75">
        <f t="shared" si="4"/>
        <v>10.000000000000002</v>
      </c>
      <c r="Z16" s="75">
        <f t="shared" si="4"/>
        <v>10.000000000000002</v>
      </c>
      <c r="AA16" s="75">
        <f t="shared" si="4"/>
        <v>6</v>
      </c>
      <c r="AB16" s="75">
        <f t="shared" si="4"/>
        <v>10.000000000000002</v>
      </c>
      <c r="AC16" s="75">
        <f t="shared" si="4"/>
        <v>2</v>
      </c>
      <c r="AD16" s="75">
        <f t="shared" si="4"/>
        <v>0</v>
      </c>
      <c r="AE16" s="75">
        <f t="shared" si="4"/>
        <v>0</v>
      </c>
      <c r="AF16" s="75">
        <f t="shared" si="4"/>
        <v>6</v>
      </c>
      <c r="AG16" s="75">
        <f t="shared" si="4"/>
        <v>0</v>
      </c>
      <c r="AH16" s="75">
        <f t="shared" si="5"/>
        <v>4</v>
      </c>
      <c r="AI16" s="75">
        <f t="shared" si="6"/>
        <v>7.1111111111111107</v>
      </c>
      <c r="AJ16" s="5"/>
      <c r="AL16" s="239"/>
      <c r="AM16" s="19" t="s">
        <v>156</v>
      </c>
      <c r="AN16" s="5"/>
      <c r="AO16" s="44"/>
      <c r="AP16" s="58">
        <v>1</v>
      </c>
      <c r="AQ16" s="240">
        <f t="shared" si="7"/>
        <v>7.1111111111111107</v>
      </c>
      <c r="AR16" s="5"/>
      <c r="AS16" s="5"/>
      <c r="AT16" s="241">
        <v>89.68</v>
      </c>
      <c r="AU16" s="195">
        <f t="shared" ca="1" si="8"/>
        <v>99.623680110454885</v>
      </c>
      <c r="AV16" s="80">
        <f t="shared" ca="1" si="12"/>
        <v>6375.9155270691117</v>
      </c>
      <c r="AW16" s="80">
        <f t="shared" ca="1" si="9"/>
        <v>1402.4755270691121</v>
      </c>
      <c r="AX16" s="216"/>
      <c r="AY16" s="1"/>
      <c r="AZ16" s="1"/>
      <c r="BA16" s="1"/>
      <c r="BB16" s="1"/>
      <c r="BC16" s="499">
        <f t="shared" ca="1" si="10"/>
        <v>24.340858963168337</v>
      </c>
      <c r="BD16" s="499">
        <f t="shared" ca="1" si="11"/>
        <v>6400.2563860322798</v>
      </c>
      <c r="BE16"/>
    </row>
    <row r="17" spans="1:57" s="5" customFormat="1" ht="12" customHeight="1">
      <c r="A17" s="19" t="str">
        <f t="shared" si="1"/>
        <v>CITYPA-MCLOCKWKLY</v>
      </c>
      <c r="B17" s="48" t="s">
        <v>195</v>
      </c>
      <c r="C17" s="48" t="s">
        <v>196</v>
      </c>
      <c r="D17" s="132">
        <v>4.8499999999999996</v>
      </c>
      <c r="E17" s="132">
        <f t="shared" si="2"/>
        <v>4.8499999999999996</v>
      </c>
      <c r="F17" s="238" t="s">
        <v>349</v>
      </c>
      <c r="G17" s="67"/>
      <c r="H17" s="68">
        <v>14.55</v>
      </c>
      <c r="I17" s="68">
        <v>14.55</v>
      </c>
      <c r="J17" s="68">
        <v>14.55</v>
      </c>
      <c r="K17" s="68">
        <v>14.55</v>
      </c>
      <c r="L17" s="68">
        <v>14.55</v>
      </c>
      <c r="M17" s="68">
        <v>14.55</v>
      </c>
      <c r="N17" s="68">
        <v>14.55</v>
      </c>
      <c r="O17" s="68">
        <v>14.55</v>
      </c>
      <c r="P17" s="68">
        <v>14.55</v>
      </c>
      <c r="Q17" s="68">
        <v>14.55</v>
      </c>
      <c r="R17" s="68">
        <v>14.55</v>
      </c>
      <c r="S17" s="68">
        <v>14.55</v>
      </c>
      <c r="T17" s="68">
        <f t="shared" si="3"/>
        <v>174.60000000000002</v>
      </c>
      <c r="U17" s="19">
        <v>33011</v>
      </c>
      <c r="V17" s="19"/>
      <c r="W17" s="68">
        <f t="shared" si="4"/>
        <v>3.0000000000000004</v>
      </c>
      <c r="X17" s="68">
        <f t="shared" si="4"/>
        <v>3.0000000000000004</v>
      </c>
      <c r="Y17" s="68">
        <f t="shared" si="4"/>
        <v>3.0000000000000004</v>
      </c>
      <c r="Z17" s="68">
        <f t="shared" si="4"/>
        <v>3.0000000000000004</v>
      </c>
      <c r="AA17" s="68">
        <f t="shared" si="4"/>
        <v>3.0000000000000004</v>
      </c>
      <c r="AB17" s="68">
        <f t="shared" si="4"/>
        <v>3.0000000000000004</v>
      </c>
      <c r="AC17" s="68">
        <f t="shared" si="4"/>
        <v>3.0000000000000004</v>
      </c>
      <c r="AD17" s="68">
        <f t="shared" si="4"/>
        <v>3.0000000000000004</v>
      </c>
      <c r="AE17" s="68">
        <f t="shared" si="4"/>
        <v>3.0000000000000004</v>
      </c>
      <c r="AF17" s="68">
        <f t="shared" si="4"/>
        <v>3.0000000000000004</v>
      </c>
      <c r="AG17" s="68">
        <f t="shared" si="4"/>
        <v>3.0000000000000004</v>
      </c>
      <c r="AH17" s="68">
        <f t="shared" si="5"/>
        <v>3.0000000000000004</v>
      </c>
      <c r="AI17" s="68">
        <f t="shared" si="6"/>
        <v>3.0000000000000004</v>
      </c>
      <c r="AJ17" s="16"/>
      <c r="AL17" s="239"/>
      <c r="AO17" s="44"/>
      <c r="AP17" s="58"/>
      <c r="AQ17" s="59"/>
      <c r="AT17" s="241">
        <v>4.8499999999999996</v>
      </c>
      <c r="AU17" s="195">
        <f t="shared" ca="1" si="8"/>
        <v>5.3877659292563127</v>
      </c>
      <c r="AV17" s="80">
        <f t="shared" ca="1" si="12"/>
        <v>193.95957345322728</v>
      </c>
      <c r="AW17" s="80">
        <f t="shared" ca="1" si="9"/>
        <v>19.359573453227256</v>
      </c>
      <c r="AX17" s="216"/>
      <c r="AY17"/>
      <c r="AZ17" s="1"/>
      <c r="BA17" s="1"/>
      <c r="BB17" s="1"/>
      <c r="BC17" s="499">
        <f t="shared" ca="1" si="10"/>
        <v>0.74046505195019663</v>
      </c>
      <c r="BD17" s="499">
        <f t="shared" ca="1" si="11"/>
        <v>194.70003850517747</v>
      </c>
      <c r="BE17"/>
    </row>
    <row r="18" spans="1:57" s="5" customFormat="1" ht="12" customHeight="1">
      <c r="A18" s="19" t="str">
        <f t="shared" si="1"/>
        <v>CITYPA-MCGATE</v>
      </c>
      <c r="B18" s="48" t="s">
        <v>233</v>
      </c>
      <c r="C18" s="48" t="s">
        <v>234</v>
      </c>
      <c r="D18" s="132">
        <v>2.5299999999999998</v>
      </c>
      <c r="E18" s="132">
        <f t="shared" si="2"/>
        <v>2.5299999999999998</v>
      </c>
      <c r="F18" s="238">
        <v>19</v>
      </c>
      <c r="G18" s="67"/>
      <c r="H18" s="68">
        <v>2.5299999999999998</v>
      </c>
      <c r="I18" s="68">
        <v>2.5299999999999998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  <c r="T18" s="68">
        <f t="shared" si="3"/>
        <v>5.0599999999999996</v>
      </c>
      <c r="U18" s="19">
        <v>33011</v>
      </c>
      <c r="V18" s="19"/>
      <c r="W18" s="68">
        <f t="shared" si="4"/>
        <v>1</v>
      </c>
      <c r="X18" s="68">
        <f t="shared" si="4"/>
        <v>1</v>
      </c>
      <c r="Y18" s="68">
        <f t="shared" si="4"/>
        <v>0</v>
      </c>
      <c r="Z18" s="68">
        <f t="shared" si="4"/>
        <v>0</v>
      </c>
      <c r="AA18" s="68">
        <f t="shared" si="4"/>
        <v>0</v>
      </c>
      <c r="AB18" s="68">
        <f t="shared" si="4"/>
        <v>0</v>
      </c>
      <c r="AC18" s="68">
        <f t="shared" si="4"/>
        <v>0</v>
      </c>
      <c r="AD18" s="68">
        <f t="shared" si="4"/>
        <v>0</v>
      </c>
      <c r="AE18" s="68">
        <f t="shared" si="4"/>
        <v>0</v>
      </c>
      <c r="AF18" s="68">
        <f t="shared" si="4"/>
        <v>0</v>
      </c>
      <c r="AG18" s="68">
        <f t="shared" si="4"/>
        <v>0</v>
      </c>
      <c r="AH18" s="68">
        <f t="shared" si="5"/>
        <v>0</v>
      </c>
      <c r="AI18" s="68">
        <f t="shared" si="6"/>
        <v>1</v>
      </c>
      <c r="AJ18" s="16"/>
      <c r="AL18" s="239"/>
      <c r="AM18" s="242"/>
      <c r="AP18" s="58"/>
      <c r="AQ18" s="59"/>
      <c r="AT18" s="241">
        <v>2.5299999999999998</v>
      </c>
      <c r="AU18" s="195">
        <f t="shared" ca="1" si="8"/>
        <v>2.8105253197976228</v>
      </c>
      <c r="AV18" s="80">
        <f t="shared" ca="1" si="12"/>
        <v>5.6210506395952455</v>
      </c>
      <c r="AW18" s="80">
        <f t="shared" ca="1" si="9"/>
        <v>0.56105063959524593</v>
      </c>
      <c r="AX18" s="216"/>
      <c r="AY18" s="1"/>
      <c r="AZ18" s="1"/>
      <c r="BA18" s="1"/>
      <c r="BB18" s="1"/>
      <c r="BC18" s="499">
        <f t="shared" ca="1" si="10"/>
        <v>2.1459067370377973E-2</v>
      </c>
      <c r="BD18" s="499">
        <f t="shared" ca="1" si="11"/>
        <v>5.6425097069656234</v>
      </c>
    </row>
    <row r="19" spans="1:57" s="5" customFormat="1" ht="12" customHeight="1" thickBot="1">
      <c r="A19" s="19" t="str">
        <f t="shared" si="1"/>
        <v>CITYPA-MR4YDRENTTD</v>
      </c>
      <c r="B19" s="48" t="s">
        <v>429</v>
      </c>
      <c r="C19" s="48" t="s">
        <v>430</v>
      </c>
      <c r="D19" s="132">
        <v>1.1000000000000001</v>
      </c>
      <c r="E19" s="132">
        <f t="shared" si="2"/>
        <v>1.1000000000000001</v>
      </c>
      <c r="F19" s="238" t="s">
        <v>456</v>
      </c>
      <c r="G19" s="67"/>
      <c r="H19" s="68">
        <v>68.2</v>
      </c>
      <c r="I19" s="68">
        <v>66</v>
      </c>
      <c r="J19" s="68">
        <v>68.2</v>
      </c>
      <c r="K19" s="68">
        <v>66</v>
      </c>
      <c r="L19" s="68">
        <v>68.2</v>
      </c>
      <c r="M19" s="68">
        <v>68.2</v>
      </c>
      <c r="N19" s="68">
        <v>2.2000000000000002</v>
      </c>
      <c r="O19" s="68">
        <v>0</v>
      </c>
      <c r="P19" s="68">
        <v>0</v>
      </c>
      <c r="Q19" s="68">
        <v>61.6</v>
      </c>
      <c r="R19" s="68">
        <v>66</v>
      </c>
      <c r="S19" s="68">
        <v>68.2</v>
      </c>
      <c r="T19" s="68">
        <f t="shared" si="3"/>
        <v>602.79999999999995</v>
      </c>
      <c r="U19" s="19">
        <v>33010</v>
      </c>
      <c r="V19" s="19"/>
      <c r="W19" s="68">
        <f>IFERROR(H19/$D19,0)/30</f>
        <v>2.0666666666666669</v>
      </c>
      <c r="X19" s="68">
        <f t="shared" ref="X19:AH19" si="13">IFERROR(I19/$D19,0)/30</f>
        <v>1.9999999999999998</v>
      </c>
      <c r="Y19" s="68">
        <f t="shared" si="13"/>
        <v>2.0666666666666669</v>
      </c>
      <c r="Z19" s="68">
        <f t="shared" si="13"/>
        <v>1.9999999999999998</v>
      </c>
      <c r="AA19" s="68">
        <f t="shared" si="13"/>
        <v>2.0666666666666669</v>
      </c>
      <c r="AB19" s="68">
        <f t="shared" si="13"/>
        <v>2.0666666666666669</v>
      </c>
      <c r="AC19" s="68">
        <f t="shared" si="13"/>
        <v>6.6666666666666666E-2</v>
      </c>
      <c r="AD19" s="68">
        <f t="shared" si="13"/>
        <v>0</v>
      </c>
      <c r="AE19" s="68">
        <f t="shared" si="13"/>
        <v>0</v>
      </c>
      <c r="AF19" s="68">
        <f t="shared" si="13"/>
        <v>1.8666666666666667</v>
      </c>
      <c r="AG19" s="68">
        <f t="shared" si="13"/>
        <v>1.9999999999999998</v>
      </c>
      <c r="AH19" s="68">
        <f t="shared" si="13"/>
        <v>2.0666666666666669</v>
      </c>
      <c r="AI19" s="68">
        <f t="shared" si="6"/>
        <v>1.8266666666666667</v>
      </c>
      <c r="AJ19" s="16"/>
      <c r="AL19" s="239"/>
      <c r="AM19" s="242"/>
      <c r="AP19" s="58"/>
      <c r="AQ19" s="59"/>
      <c r="AT19" s="241">
        <v>1.1000000000000001</v>
      </c>
      <c r="AU19" s="195">
        <f t="shared" ca="1" si="8"/>
        <v>1.2219675303467927</v>
      </c>
      <c r="AV19" s="80">
        <f ca="1">+AU19*AVERAGE(W19:AH19)*12*30</f>
        <v>669.6382066300423</v>
      </c>
      <c r="AW19" s="80">
        <f t="shared" ca="1" si="9"/>
        <v>66.83820663004235</v>
      </c>
      <c r="AX19" s="216"/>
      <c r="AY19" s="1"/>
      <c r="AZ19" s="1"/>
      <c r="BA19" s="1"/>
      <c r="BB19" s="1"/>
      <c r="BC19" s="499">
        <f t="shared" ca="1" si="10"/>
        <v>2.5564280258624197</v>
      </c>
      <c r="BD19" s="499">
        <f t="shared" ca="1" si="11"/>
        <v>672.19463465590468</v>
      </c>
    </row>
    <row r="20" spans="1:57" s="5" customFormat="1" ht="12" customHeight="1" thickBot="1">
      <c r="B20" s="48"/>
      <c r="C20" s="48"/>
      <c r="D20" s="108"/>
      <c r="E20" s="108"/>
      <c r="F20" s="67"/>
      <c r="G20" s="243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19"/>
      <c r="V20" s="1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7"/>
      <c r="AJ20" s="16"/>
      <c r="AK20" s="244" t="s">
        <v>275</v>
      </c>
      <c r="AL20" s="245">
        <f>AI21</f>
        <v>29.857776466755169</v>
      </c>
      <c r="AM20" s="242"/>
      <c r="AO20" s="44"/>
      <c r="AP20" s="58"/>
      <c r="AQ20" s="59"/>
      <c r="AT20" s="43"/>
      <c r="AU20" s="3"/>
      <c r="AX20" s="216"/>
      <c r="BC20" s="503"/>
      <c r="BD20" s="503"/>
    </row>
    <row r="21" spans="1:57" s="3" customFormat="1" ht="12" customHeight="1" thickBot="1">
      <c r="B21" s="145"/>
      <c r="C21" s="112" t="s">
        <v>274</v>
      </c>
      <c r="D21" s="112"/>
      <c r="E21" s="112"/>
      <c r="F21" s="114"/>
      <c r="G21" s="246"/>
      <c r="H21" s="115">
        <f t="shared" ref="H21:S21" si="14">SUM(H11:H20)</f>
        <v>5983.0599999999995</v>
      </c>
      <c r="I21" s="115">
        <f t="shared" si="14"/>
        <v>5609.5</v>
      </c>
      <c r="J21" s="115">
        <f t="shared" si="14"/>
        <v>5356.71</v>
      </c>
      <c r="K21" s="115">
        <f t="shared" si="14"/>
        <v>5764.1900000000005</v>
      </c>
      <c r="L21" s="115">
        <f t="shared" si="14"/>
        <v>5459.47</v>
      </c>
      <c r="M21" s="115">
        <f t="shared" si="14"/>
        <v>6168.26</v>
      </c>
      <c r="N21" s="115">
        <f t="shared" si="14"/>
        <v>5366.88</v>
      </c>
      <c r="O21" s="115">
        <f t="shared" si="14"/>
        <v>4925.01</v>
      </c>
      <c r="P21" s="115">
        <f t="shared" si="14"/>
        <v>4811.3100000000004</v>
      </c>
      <c r="Q21" s="115">
        <f t="shared" si="14"/>
        <v>5566.5700000000006</v>
      </c>
      <c r="R21" s="115">
        <f t="shared" si="14"/>
        <v>5561.5499999999993</v>
      </c>
      <c r="S21" s="115">
        <f t="shared" si="14"/>
        <v>4908.1399999999994</v>
      </c>
      <c r="T21" s="115">
        <f>SUM(H21:S21)</f>
        <v>65480.649999999994</v>
      </c>
      <c r="U21" s="45"/>
      <c r="V21" s="45"/>
      <c r="W21" s="116">
        <f t="shared" ref="W21:AI21" si="15">SUM(W11:W16)</f>
        <v>36.020002125624401</v>
      </c>
      <c r="X21" s="116">
        <f t="shared" si="15"/>
        <v>28.020002125624401</v>
      </c>
      <c r="Y21" s="116">
        <f t="shared" si="15"/>
        <v>31</v>
      </c>
      <c r="Z21" s="116">
        <f t="shared" si="15"/>
        <v>32.749984057816988</v>
      </c>
      <c r="AA21" s="116">
        <f t="shared" si="15"/>
        <v>27</v>
      </c>
      <c r="AB21" s="116">
        <f t="shared" si="15"/>
        <v>38</v>
      </c>
      <c r="AC21" s="116">
        <f t="shared" si="15"/>
        <v>28</v>
      </c>
      <c r="AD21" s="116">
        <f t="shared" si="15"/>
        <v>21</v>
      </c>
      <c r="AE21" s="116">
        <f t="shared" si="15"/>
        <v>19</v>
      </c>
      <c r="AF21" s="116">
        <f t="shared" si="15"/>
        <v>29</v>
      </c>
      <c r="AG21" s="116">
        <f t="shared" si="15"/>
        <v>30.084997979331447</v>
      </c>
      <c r="AH21" s="116">
        <f t="shared" si="15"/>
        <v>17.084997979331447</v>
      </c>
      <c r="AI21" s="116">
        <f t="shared" si="15"/>
        <v>29.857776466755169</v>
      </c>
      <c r="AJ21" s="16"/>
      <c r="AL21" s="43"/>
      <c r="AM21" s="242"/>
      <c r="AN21" s="5"/>
      <c r="AO21" s="118">
        <f>SUM(AO6:AO20)</f>
        <v>0</v>
      </c>
      <c r="AP21"/>
      <c r="AQ21" s="118">
        <f>SUM(AQ6:AQ20)</f>
        <v>29.857776466755169</v>
      </c>
      <c r="AR21"/>
      <c r="AS21" s="118">
        <f>SUM(AS6:AS20)</f>
        <v>0</v>
      </c>
      <c r="AT21" s="43"/>
      <c r="AV21" s="119">
        <f ca="1">SUM(AV11:OFFSET(AV21,-1,0))</f>
        <v>84243.312656798778</v>
      </c>
      <c r="AW21" s="119">
        <f ca="1">SUM(AW11:OFFSET(AW21,-1,0))</f>
        <v>18762.662656798762</v>
      </c>
      <c r="AX21" s="216"/>
      <c r="AY21" s="5"/>
      <c r="AZ21" s="5"/>
      <c r="BA21" s="5"/>
      <c r="BB21" s="5"/>
      <c r="BC21" s="510">
        <f ca="1">SUM(BC11:OFFSET(BC21,-1,0))</f>
        <v>321.60943526675521</v>
      </c>
      <c r="BD21" s="510">
        <f ca="1">SUM(BD11:OFFSET(BD21,-1,0))</f>
        <v>84564.922092065506</v>
      </c>
    </row>
    <row r="22" spans="1:57" s="5" customFormat="1" ht="12" customHeight="1">
      <c r="B22" s="150"/>
      <c r="C22" s="150"/>
      <c r="D22" s="145"/>
      <c r="E22" s="145"/>
      <c r="F22" s="67"/>
      <c r="G22" s="243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19"/>
      <c r="V22" s="1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7"/>
      <c r="AJ22" s="16"/>
      <c r="AL22" s="43"/>
      <c r="AM22" s="242"/>
      <c r="AO22" s="44"/>
      <c r="AP22" s="58"/>
      <c r="AQ22" s="59"/>
      <c r="AT22" s="43"/>
      <c r="AX22" s="216"/>
      <c r="BC22" s="503"/>
      <c r="BD22" s="503"/>
    </row>
    <row r="23" spans="1:57" ht="12" customHeight="1">
      <c r="B23" s="50" t="s">
        <v>276</v>
      </c>
      <c r="C23" s="50" t="s">
        <v>276</v>
      </c>
      <c r="D23" s="51"/>
      <c r="E23" s="51"/>
      <c r="F23" s="48"/>
      <c r="G23" s="247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19"/>
      <c r="V23" s="48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7"/>
      <c r="AJ23" s="248"/>
      <c r="AM23" s="242"/>
      <c r="AN23" s="5"/>
      <c r="AO23" s="44"/>
      <c r="AP23" s="58"/>
      <c r="AQ23" s="59"/>
      <c r="AR23" s="5"/>
      <c r="AS23" s="5"/>
      <c r="AX23" s="216"/>
      <c r="AY23" s="3"/>
      <c r="AZ23" s="3"/>
      <c r="BA23" s="3"/>
      <c r="BB23" s="3"/>
    </row>
    <row r="24" spans="1:57" ht="12" customHeight="1">
      <c r="B24" s="153"/>
      <c r="C24" s="153"/>
      <c r="D24" s="121"/>
      <c r="E24" s="121"/>
      <c r="F24" s="48"/>
      <c r="G24" s="247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19"/>
      <c r="V24" s="48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7"/>
      <c r="AJ24" s="248"/>
      <c r="AM24" s="242"/>
      <c r="AN24" s="5"/>
      <c r="AO24" s="44"/>
      <c r="AP24" s="58"/>
      <c r="AQ24" s="59"/>
      <c r="AR24" s="5"/>
      <c r="AS24" s="5"/>
      <c r="AU24" s="5"/>
      <c r="AV24" s="5"/>
      <c r="AW24" s="5"/>
      <c r="AX24" s="216"/>
      <c r="AY24" s="5"/>
      <c r="AZ24" s="5"/>
      <c r="BA24" s="5"/>
      <c r="BB24" s="5"/>
    </row>
    <row r="25" spans="1:57" ht="12" customHeight="1">
      <c r="B25" s="154" t="s">
        <v>277</v>
      </c>
      <c r="C25" s="154" t="s">
        <v>277</v>
      </c>
      <c r="D25" s="155"/>
      <c r="E25" s="155"/>
      <c r="F25" s="48"/>
      <c r="G25" s="247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19"/>
      <c r="V25" s="48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7"/>
      <c r="AJ25" s="248"/>
      <c r="AM25" s="242"/>
      <c r="AN25" s="5"/>
      <c r="AO25" s="44"/>
      <c r="AP25" s="58"/>
      <c r="AQ25" s="59"/>
      <c r="AR25" s="5"/>
      <c r="AS25" s="5"/>
      <c r="AU25" s="5"/>
      <c r="AV25" s="5"/>
      <c r="AW25" s="5"/>
      <c r="AX25" s="216"/>
      <c r="AY25" s="5"/>
      <c r="AZ25" s="5"/>
      <c r="BA25" s="5"/>
      <c r="BB25" s="5"/>
    </row>
    <row r="26" spans="1:57" ht="12" customHeight="1">
      <c r="A26" s="19" t="str">
        <f t="shared" ref="A26:A42" si="16">"CITYPA-M"&amp;B26</f>
        <v>CITYPA-MCONNECTFEE</v>
      </c>
      <c r="B26" s="48" t="s">
        <v>278</v>
      </c>
      <c r="C26" s="48" t="s">
        <v>279</v>
      </c>
      <c r="D26" s="132">
        <v>6.02</v>
      </c>
      <c r="E26" s="132">
        <f t="shared" ref="E26:E42" si="17">D26</f>
        <v>6.02</v>
      </c>
      <c r="F26" s="238">
        <v>42</v>
      </c>
      <c r="G26" s="48"/>
      <c r="H26" s="68">
        <v>72.239999999999995</v>
      </c>
      <c r="I26" s="68">
        <v>66.22</v>
      </c>
      <c r="J26" s="68">
        <v>78.260000000000005</v>
      </c>
      <c r="K26" s="68">
        <v>54.18</v>
      </c>
      <c r="L26" s="68">
        <v>66.22</v>
      </c>
      <c r="M26" s="68">
        <v>72.239999999999995</v>
      </c>
      <c r="N26" s="68">
        <v>54.18</v>
      </c>
      <c r="O26" s="68">
        <v>78.260000000000005</v>
      </c>
      <c r="P26" s="68">
        <v>60.2</v>
      </c>
      <c r="Q26" s="68">
        <v>72.239999999999995</v>
      </c>
      <c r="R26" s="68">
        <v>78.260000000000005</v>
      </c>
      <c r="S26" s="68">
        <v>60.2</v>
      </c>
      <c r="T26" s="68">
        <f t="shared" ref="T26:T42" si="18">SUM(H26:S26)</f>
        <v>812.70000000000016</v>
      </c>
      <c r="U26" s="19">
        <v>31010</v>
      </c>
      <c r="V26" s="19"/>
      <c r="W26" s="68">
        <f t="shared" ref="W26:AG34" si="19">IFERROR(H26/$D26,0)</f>
        <v>12</v>
      </c>
      <c r="X26" s="68">
        <f t="shared" si="19"/>
        <v>11</v>
      </c>
      <c r="Y26" s="68">
        <f t="shared" si="19"/>
        <v>13.000000000000002</v>
      </c>
      <c r="Z26" s="68">
        <f t="shared" si="19"/>
        <v>9</v>
      </c>
      <c r="AA26" s="68">
        <f t="shared" si="19"/>
        <v>11</v>
      </c>
      <c r="AB26" s="68">
        <f t="shared" si="19"/>
        <v>12</v>
      </c>
      <c r="AC26" s="68">
        <f t="shared" si="19"/>
        <v>9</v>
      </c>
      <c r="AD26" s="68">
        <f t="shared" si="19"/>
        <v>13.000000000000002</v>
      </c>
      <c r="AE26" s="68">
        <f t="shared" si="19"/>
        <v>10.000000000000002</v>
      </c>
      <c r="AF26" s="68">
        <f t="shared" si="19"/>
        <v>12</v>
      </c>
      <c r="AG26" s="68">
        <f t="shared" si="19"/>
        <v>13.000000000000002</v>
      </c>
      <c r="AH26" s="68">
        <f t="shared" ref="AH26:AH42" si="20">IFERROR(S26/$E26,0)</f>
        <v>10.000000000000002</v>
      </c>
      <c r="AI26" s="68">
        <f>IFERROR(AVERAGEIF(W26:AH26,"&gt;0"),0)</f>
        <v>11.25</v>
      </c>
      <c r="AJ26" s="248"/>
      <c r="AL26" s="195"/>
      <c r="AM26" s="242"/>
      <c r="AN26" s="5"/>
      <c r="AO26" s="44"/>
      <c r="AP26" s="58"/>
      <c r="AQ26" s="59"/>
      <c r="AR26" s="5"/>
      <c r="AS26" s="5"/>
      <c r="AT26" s="249">
        <v>6.02</v>
      </c>
      <c r="AU26" s="195">
        <f ca="1">+AT26*(1+$BA$2)</f>
        <v>6.6874950297160822</v>
      </c>
      <c r="AV26" s="80">
        <f t="shared" ref="AV26:AV42" ca="1" si="21">+AU26*AVERAGE(W26:AH26)*12</f>
        <v>902.81182901167108</v>
      </c>
      <c r="AW26" s="80">
        <f t="shared" ref="AW26:AW43" ca="1" si="22">+AV26-T26</f>
        <v>90.11182901167092</v>
      </c>
      <c r="AX26" s="216"/>
      <c r="BC26" s="499">
        <f t="shared" ref="BC26:BC42" ca="1" si="23">AV26*BD$2</f>
        <v>3.4465976387166357</v>
      </c>
      <c r="BD26" s="499">
        <f t="shared" ref="BD26:BD42" ca="1" si="24">+BC26+AV26</f>
        <v>906.25842665038772</v>
      </c>
    </row>
    <row r="27" spans="1:57" ht="12" customHeight="1">
      <c r="A27" s="19" t="str">
        <f t="shared" si="16"/>
        <v>CITYPA-MCPHAUL20</v>
      </c>
      <c r="B27" s="139" t="s">
        <v>436</v>
      </c>
      <c r="C27" s="139" t="s">
        <v>437</v>
      </c>
      <c r="D27" s="132">
        <v>144.80000000000001</v>
      </c>
      <c r="E27" s="132">
        <f t="shared" si="17"/>
        <v>144.80000000000001</v>
      </c>
      <c r="F27" s="238">
        <v>42</v>
      </c>
      <c r="G27" s="48"/>
      <c r="H27" s="68">
        <v>289.60000000000002</v>
      </c>
      <c r="I27" s="68">
        <v>434.4</v>
      </c>
      <c r="J27" s="68">
        <v>289.60000000000002</v>
      </c>
      <c r="K27" s="68">
        <v>289.60000000000002</v>
      </c>
      <c r="L27" s="68">
        <v>579.20000000000005</v>
      </c>
      <c r="M27" s="68">
        <v>289.60000000000002</v>
      </c>
      <c r="N27" s="68">
        <v>289.60000000000002</v>
      </c>
      <c r="O27" s="68">
        <v>434.4</v>
      </c>
      <c r="P27" s="68">
        <v>289.60000000000002</v>
      </c>
      <c r="Q27" s="68">
        <v>434.4</v>
      </c>
      <c r="R27" s="68">
        <v>434.4</v>
      </c>
      <c r="S27" s="68">
        <v>434.4</v>
      </c>
      <c r="T27" s="140">
        <f t="shared" si="18"/>
        <v>4488.8</v>
      </c>
      <c r="U27" s="141">
        <v>31000</v>
      </c>
      <c r="V27" s="141"/>
      <c r="W27" s="140">
        <f t="shared" si="19"/>
        <v>2</v>
      </c>
      <c r="X27" s="140">
        <f t="shared" si="19"/>
        <v>2.9999999999999996</v>
      </c>
      <c r="Y27" s="140">
        <f t="shared" si="19"/>
        <v>2</v>
      </c>
      <c r="Z27" s="140">
        <f t="shared" si="19"/>
        <v>2</v>
      </c>
      <c r="AA27" s="140">
        <f t="shared" si="19"/>
        <v>4</v>
      </c>
      <c r="AB27" s="140">
        <f t="shared" si="19"/>
        <v>2</v>
      </c>
      <c r="AC27" s="140">
        <f t="shared" si="19"/>
        <v>2</v>
      </c>
      <c r="AD27" s="140">
        <f t="shared" si="19"/>
        <v>2.9999999999999996</v>
      </c>
      <c r="AE27" s="140">
        <f t="shared" si="19"/>
        <v>2</v>
      </c>
      <c r="AF27" s="140">
        <f t="shared" si="19"/>
        <v>2.9999999999999996</v>
      </c>
      <c r="AG27" s="140">
        <f t="shared" si="19"/>
        <v>2.9999999999999996</v>
      </c>
      <c r="AH27" s="140">
        <f t="shared" si="20"/>
        <v>2.9999999999999996</v>
      </c>
      <c r="AI27" s="140">
        <v>3</v>
      </c>
      <c r="AJ27" s="248"/>
      <c r="AL27" s="195"/>
      <c r="AM27" s="1" t="s">
        <v>438</v>
      </c>
      <c r="AN27" s="5"/>
      <c r="AO27" s="44"/>
      <c r="AP27" s="58"/>
      <c r="AQ27" s="59"/>
      <c r="AR27" s="5"/>
      <c r="AS27" s="5"/>
      <c r="AT27" s="249">
        <v>144.80000000000001</v>
      </c>
      <c r="AU27" s="195">
        <f t="shared" ref="AU27:AU43" ca="1" si="25">+AT27*(1+$BA$2)</f>
        <v>160.85536217655962</v>
      </c>
      <c r="AV27" s="80">
        <f t="shared" ca="1" si="21"/>
        <v>4986.5162274733484</v>
      </c>
      <c r="AW27" s="80">
        <f t="shared" ca="1" si="22"/>
        <v>497.71622747334823</v>
      </c>
      <c r="AX27" s="216"/>
      <c r="BC27" s="499">
        <f t="shared" ca="1" si="23"/>
        <v>19.03665249252029</v>
      </c>
      <c r="BD27" s="499">
        <f t="shared" ca="1" si="24"/>
        <v>5005.5528799658687</v>
      </c>
    </row>
    <row r="28" spans="1:57" ht="12" customHeight="1">
      <c r="A28" s="19" t="str">
        <f t="shared" si="16"/>
        <v>CITYPA-MCPHAUL30</v>
      </c>
      <c r="B28" s="139" t="s">
        <v>282</v>
      </c>
      <c r="C28" s="139" t="s">
        <v>283</v>
      </c>
      <c r="D28" s="132">
        <v>206.82</v>
      </c>
      <c r="E28" s="132">
        <f t="shared" si="17"/>
        <v>206.82</v>
      </c>
      <c r="F28" s="238">
        <v>42</v>
      </c>
      <c r="G28" s="48"/>
      <c r="H28" s="68">
        <v>1240.92</v>
      </c>
      <c r="I28" s="68">
        <v>1034.0999999999999</v>
      </c>
      <c r="J28" s="68">
        <v>1240.92</v>
      </c>
      <c r="K28" s="68">
        <v>827.28</v>
      </c>
      <c r="L28" s="68">
        <v>1034.0999999999999</v>
      </c>
      <c r="M28" s="68">
        <v>1240.92</v>
      </c>
      <c r="N28" s="68">
        <v>827.28</v>
      </c>
      <c r="O28" s="68">
        <v>1034.0999999999999</v>
      </c>
      <c r="P28" s="68">
        <v>1034.0999999999999</v>
      </c>
      <c r="Q28" s="68">
        <v>1034.0999999999999</v>
      </c>
      <c r="R28" s="68">
        <v>1034.0999999999999</v>
      </c>
      <c r="S28" s="68">
        <v>827.28</v>
      </c>
      <c r="T28" s="140">
        <f t="shared" si="18"/>
        <v>12409.2</v>
      </c>
      <c r="U28" s="141">
        <v>31000</v>
      </c>
      <c r="V28" s="141"/>
      <c r="W28" s="140">
        <f t="shared" si="19"/>
        <v>6.0000000000000009</v>
      </c>
      <c r="X28" s="140">
        <f t="shared" si="19"/>
        <v>5</v>
      </c>
      <c r="Y28" s="140">
        <f t="shared" si="19"/>
        <v>6.0000000000000009</v>
      </c>
      <c r="Z28" s="140">
        <f t="shared" si="19"/>
        <v>4</v>
      </c>
      <c r="AA28" s="140">
        <f t="shared" si="19"/>
        <v>5</v>
      </c>
      <c r="AB28" s="140">
        <f t="shared" si="19"/>
        <v>6.0000000000000009</v>
      </c>
      <c r="AC28" s="140">
        <f t="shared" si="19"/>
        <v>4</v>
      </c>
      <c r="AD28" s="140">
        <f t="shared" si="19"/>
        <v>5</v>
      </c>
      <c r="AE28" s="140">
        <f t="shared" si="19"/>
        <v>5</v>
      </c>
      <c r="AF28" s="140">
        <f t="shared" si="19"/>
        <v>5</v>
      </c>
      <c r="AG28" s="140">
        <f t="shared" si="19"/>
        <v>5</v>
      </c>
      <c r="AH28" s="140">
        <f t="shared" si="20"/>
        <v>4</v>
      </c>
      <c r="AI28" s="140">
        <v>3</v>
      </c>
      <c r="AJ28" s="248"/>
      <c r="AL28" s="195"/>
      <c r="AM28" s="1" t="s">
        <v>439</v>
      </c>
      <c r="AN28" s="5"/>
      <c r="AO28" s="44"/>
      <c r="AP28" s="58"/>
      <c r="AQ28" s="59"/>
      <c r="AR28" s="5">
        <v>0</v>
      </c>
      <c r="AS28" s="240">
        <f>AR28*AI28</f>
        <v>0</v>
      </c>
      <c r="AT28" s="249">
        <v>206.82</v>
      </c>
      <c r="AU28" s="195">
        <f t="shared" ca="1" si="25"/>
        <v>229.75211329665785</v>
      </c>
      <c r="AV28" s="80">
        <f t="shared" ca="1" si="21"/>
        <v>13785.126797799472</v>
      </c>
      <c r="AW28" s="80">
        <f t="shared" ca="1" si="22"/>
        <v>1375.9267977994714</v>
      </c>
      <c r="AX28" s="216"/>
      <c r="BC28" s="499">
        <f t="shared" ca="1" si="23"/>
        <v>52.626454310769638</v>
      </c>
      <c r="BD28" s="499">
        <f t="shared" ca="1" si="24"/>
        <v>13837.753252110242</v>
      </c>
    </row>
    <row r="29" spans="1:57" ht="12" customHeight="1">
      <c r="A29" s="19" t="str">
        <f t="shared" si="16"/>
        <v>CITYPA-MRODEL</v>
      </c>
      <c r="B29" s="48" t="s">
        <v>284</v>
      </c>
      <c r="C29" s="48" t="s">
        <v>285</v>
      </c>
      <c r="D29" s="132">
        <v>166.66</v>
      </c>
      <c r="E29" s="132">
        <f t="shared" si="17"/>
        <v>166.66</v>
      </c>
      <c r="F29" s="238">
        <v>39</v>
      </c>
      <c r="G29" s="48"/>
      <c r="H29" s="68">
        <v>999.96</v>
      </c>
      <c r="I29" s="68">
        <v>833.3</v>
      </c>
      <c r="J29" s="68">
        <v>666.64</v>
      </c>
      <c r="K29" s="68">
        <v>333.32</v>
      </c>
      <c r="L29" s="68">
        <v>333.32</v>
      </c>
      <c r="M29" s="68">
        <v>499.98</v>
      </c>
      <c r="N29" s="68">
        <v>666.64</v>
      </c>
      <c r="O29" s="68">
        <v>499.98</v>
      </c>
      <c r="P29" s="68">
        <v>333.32</v>
      </c>
      <c r="Q29" s="68">
        <v>499.98</v>
      </c>
      <c r="R29" s="68">
        <v>333.32</v>
      </c>
      <c r="S29" s="68">
        <v>833.3</v>
      </c>
      <c r="T29" s="68">
        <f t="shared" si="18"/>
        <v>6833.06</v>
      </c>
      <c r="U29" s="19">
        <v>31010</v>
      </c>
      <c r="V29" s="48"/>
      <c r="W29" s="68">
        <f t="shared" si="19"/>
        <v>6</v>
      </c>
      <c r="X29" s="68">
        <f t="shared" si="19"/>
        <v>5</v>
      </c>
      <c r="Y29" s="68">
        <f t="shared" si="19"/>
        <v>4</v>
      </c>
      <c r="Z29" s="68">
        <f t="shared" si="19"/>
        <v>2</v>
      </c>
      <c r="AA29" s="68">
        <f t="shared" si="19"/>
        <v>2</v>
      </c>
      <c r="AB29" s="68">
        <f t="shared" si="19"/>
        <v>3</v>
      </c>
      <c r="AC29" s="68">
        <f t="shared" si="19"/>
        <v>4</v>
      </c>
      <c r="AD29" s="68">
        <f t="shared" si="19"/>
        <v>3</v>
      </c>
      <c r="AE29" s="68">
        <f t="shared" si="19"/>
        <v>2</v>
      </c>
      <c r="AF29" s="68">
        <f t="shared" si="19"/>
        <v>3</v>
      </c>
      <c r="AG29" s="68">
        <f t="shared" si="19"/>
        <v>2</v>
      </c>
      <c r="AH29" s="68">
        <f t="shared" si="20"/>
        <v>5</v>
      </c>
      <c r="AI29" s="68">
        <f t="shared" ref="AI29:AI39" si="26">IFERROR(AVERAGEIF(W29:AH29,"&gt;0"),0)</f>
        <v>3.4166666666666665</v>
      </c>
      <c r="AJ29" s="248"/>
      <c r="AL29" s="195"/>
      <c r="AM29" s="242"/>
      <c r="AN29" s="5"/>
      <c r="AO29" s="5"/>
      <c r="AP29" s="58"/>
      <c r="AQ29" s="59"/>
      <c r="AR29" s="5"/>
      <c r="AS29" s="5"/>
      <c r="AT29" s="249">
        <v>166.66</v>
      </c>
      <c r="AU29" s="195">
        <f t="shared" ca="1" si="25"/>
        <v>185.1391896432695</v>
      </c>
      <c r="AV29" s="80">
        <f t="shared" ca="1" si="21"/>
        <v>7590.7067753740484</v>
      </c>
      <c r="AW29" s="80">
        <f t="shared" ca="1" si="22"/>
        <v>757.64677537404805</v>
      </c>
      <c r="AX29" s="216"/>
      <c r="BC29" s="499">
        <f t="shared" ca="1" si="23"/>
        <v>28.978477250165</v>
      </c>
      <c r="BD29" s="499">
        <f t="shared" ca="1" si="24"/>
        <v>7619.6852526242137</v>
      </c>
    </row>
    <row r="30" spans="1:57" ht="12" customHeight="1">
      <c r="A30" s="19" t="str">
        <f t="shared" si="16"/>
        <v>CITYPA-MROHAUL20</v>
      </c>
      <c r="B30" s="48" t="s">
        <v>286</v>
      </c>
      <c r="C30" s="48" t="s">
        <v>287</v>
      </c>
      <c r="D30" s="132">
        <v>106.78</v>
      </c>
      <c r="E30" s="132">
        <f t="shared" si="17"/>
        <v>106.78</v>
      </c>
      <c r="F30" s="238">
        <v>39</v>
      </c>
      <c r="G30" s="48"/>
      <c r="H30" s="68">
        <v>1708.48</v>
      </c>
      <c r="I30" s="68">
        <v>1281.3599999999999</v>
      </c>
      <c r="J30" s="68">
        <v>1388.14</v>
      </c>
      <c r="K30" s="68">
        <v>1388.14</v>
      </c>
      <c r="L30" s="68">
        <v>1388.14</v>
      </c>
      <c r="M30" s="68">
        <v>961.02</v>
      </c>
      <c r="N30" s="68">
        <v>961.02</v>
      </c>
      <c r="O30" s="68">
        <v>961.02</v>
      </c>
      <c r="P30" s="68">
        <v>427.12</v>
      </c>
      <c r="Q30" s="68">
        <v>320.33999999999997</v>
      </c>
      <c r="R30" s="68">
        <v>640.67999999999995</v>
      </c>
      <c r="S30" s="68">
        <v>320.33999999999997</v>
      </c>
      <c r="T30" s="68">
        <f t="shared" si="18"/>
        <v>11745.800000000003</v>
      </c>
      <c r="U30" s="19">
        <v>31000</v>
      </c>
      <c r="V30" s="48"/>
      <c r="W30" s="68">
        <f t="shared" si="19"/>
        <v>16</v>
      </c>
      <c r="X30" s="68">
        <f t="shared" si="19"/>
        <v>11.999999999999998</v>
      </c>
      <c r="Y30" s="68">
        <f t="shared" si="19"/>
        <v>13</v>
      </c>
      <c r="Z30" s="68">
        <f t="shared" si="19"/>
        <v>13</v>
      </c>
      <c r="AA30" s="68">
        <f t="shared" si="19"/>
        <v>13</v>
      </c>
      <c r="AB30" s="68">
        <f t="shared" si="19"/>
        <v>9</v>
      </c>
      <c r="AC30" s="68">
        <f t="shared" si="19"/>
        <v>9</v>
      </c>
      <c r="AD30" s="68">
        <f t="shared" si="19"/>
        <v>9</v>
      </c>
      <c r="AE30" s="68">
        <f t="shared" si="19"/>
        <v>4</v>
      </c>
      <c r="AF30" s="68">
        <f t="shared" si="19"/>
        <v>2.9999999999999996</v>
      </c>
      <c r="AG30" s="68">
        <f t="shared" si="19"/>
        <v>5.9999999999999991</v>
      </c>
      <c r="AH30" s="68">
        <f t="shared" si="20"/>
        <v>2.9999999999999996</v>
      </c>
      <c r="AI30" s="68">
        <f t="shared" si="26"/>
        <v>9.1666666666666661</v>
      </c>
      <c r="AJ30" s="248"/>
      <c r="AL30" s="195"/>
      <c r="AM30" s="242"/>
      <c r="AN30" s="5"/>
      <c r="AO30" s="5"/>
      <c r="AP30" s="58"/>
      <c r="AQ30" s="59"/>
      <c r="AR30" s="5"/>
      <c r="AS30" s="5"/>
      <c r="AT30" s="249">
        <v>106.78</v>
      </c>
      <c r="AU30" s="195">
        <f t="shared" ca="1" si="25"/>
        <v>118.61972080948229</v>
      </c>
      <c r="AV30" s="80">
        <f t="shared" ca="1" si="21"/>
        <v>13048.16928904305</v>
      </c>
      <c r="AW30" s="80">
        <f t="shared" ca="1" si="22"/>
        <v>1302.3692890430466</v>
      </c>
      <c r="AX30" s="216"/>
      <c r="BC30" s="499">
        <f t="shared" ca="1" si="23"/>
        <v>49.813026387151304</v>
      </c>
      <c r="BD30" s="499">
        <f t="shared" ca="1" si="24"/>
        <v>13097.982315430201</v>
      </c>
    </row>
    <row r="31" spans="1:57" ht="12" customHeight="1">
      <c r="A31" s="19" t="str">
        <f t="shared" si="16"/>
        <v>CITYPA-MROHAUL20T</v>
      </c>
      <c r="B31" s="48" t="s">
        <v>288</v>
      </c>
      <c r="C31" s="48" t="s">
        <v>289</v>
      </c>
      <c r="D31" s="132">
        <v>153.33000000000001</v>
      </c>
      <c r="E31" s="132">
        <f t="shared" si="17"/>
        <v>153.33000000000001</v>
      </c>
      <c r="F31" s="238">
        <v>39</v>
      </c>
      <c r="G31" s="48"/>
      <c r="H31" s="68">
        <v>919.98</v>
      </c>
      <c r="I31" s="68">
        <v>306.66000000000003</v>
      </c>
      <c r="J31" s="68">
        <v>766.65</v>
      </c>
      <c r="K31" s="68">
        <v>459.99</v>
      </c>
      <c r="L31" s="68">
        <v>0</v>
      </c>
      <c r="M31" s="68">
        <v>0</v>
      </c>
      <c r="N31" s="68">
        <v>153.33000000000001</v>
      </c>
      <c r="O31" s="68">
        <v>306.66000000000003</v>
      </c>
      <c r="P31" s="68">
        <v>0</v>
      </c>
      <c r="Q31" s="68">
        <v>306.66000000000003</v>
      </c>
      <c r="R31" s="68">
        <v>459.99</v>
      </c>
      <c r="S31" s="68">
        <v>306.66000000000003</v>
      </c>
      <c r="T31" s="68">
        <f t="shared" si="18"/>
        <v>3986.579999999999</v>
      </c>
      <c r="U31" s="19">
        <v>31000</v>
      </c>
      <c r="V31" s="48"/>
      <c r="W31" s="68">
        <f t="shared" si="19"/>
        <v>6</v>
      </c>
      <c r="X31" s="68">
        <f t="shared" si="19"/>
        <v>2</v>
      </c>
      <c r="Y31" s="68">
        <f t="shared" si="19"/>
        <v>4.9999999999999991</v>
      </c>
      <c r="Z31" s="68">
        <f t="shared" si="19"/>
        <v>3</v>
      </c>
      <c r="AA31" s="68">
        <f t="shared" si="19"/>
        <v>0</v>
      </c>
      <c r="AB31" s="68">
        <f t="shared" si="19"/>
        <v>0</v>
      </c>
      <c r="AC31" s="68">
        <f t="shared" si="19"/>
        <v>1</v>
      </c>
      <c r="AD31" s="68">
        <f t="shared" si="19"/>
        <v>2</v>
      </c>
      <c r="AE31" s="68">
        <f t="shared" si="19"/>
        <v>0</v>
      </c>
      <c r="AF31" s="68">
        <f t="shared" si="19"/>
        <v>2</v>
      </c>
      <c r="AG31" s="68">
        <f t="shared" si="19"/>
        <v>3</v>
      </c>
      <c r="AH31" s="68">
        <f t="shared" si="20"/>
        <v>2</v>
      </c>
      <c r="AI31" s="68">
        <f t="shared" si="26"/>
        <v>2.8888888888888888</v>
      </c>
      <c r="AJ31" s="248"/>
      <c r="AL31" s="195"/>
      <c r="AM31" s="242"/>
      <c r="AN31" s="5"/>
      <c r="AO31" s="5"/>
      <c r="AP31" s="58"/>
      <c r="AQ31" s="59"/>
      <c r="AR31" s="5"/>
      <c r="AS31" s="5"/>
      <c r="AT31" s="249">
        <v>153.33000000000001</v>
      </c>
      <c r="AU31" s="195">
        <f t="shared" ca="1" si="25"/>
        <v>170.33116493461247</v>
      </c>
      <c r="AV31" s="80">
        <f t="shared" ca="1" si="21"/>
        <v>4428.6102882999239</v>
      </c>
      <c r="AW31" s="80">
        <f t="shared" ca="1" si="22"/>
        <v>442.03028829992491</v>
      </c>
      <c r="AX31" s="216"/>
      <c r="BC31" s="499">
        <f t="shared" ca="1" si="23"/>
        <v>16.906776442174195</v>
      </c>
      <c r="BD31" s="499">
        <f t="shared" ca="1" si="24"/>
        <v>4445.5170647420982</v>
      </c>
    </row>
    <row r="32" spans="1:57" ht="12" customHeight="1">
      <c r="A32" s="19" t="str">
        <f t="shared" si="16"/>
        <v>CITYPA-MROHAUL30</v>
      </c>
      <c r="B32" s="48" t="s">
        <v>290</v>
      </c>
      <c r="C32" s="48" t="s">
        <v>291</v>
      </c>
      <c r="D32" s="132">
        <v>113.41</v>
      </c>
      <c r="E32" s="132">
        <f t="shared" si="17"/>
        <v>113.41</v>
      </c>
      <c r="F32" s="238">
        <v>39</v>
      </c>
      <c r="G32" s="48"/>
      <c r="H32" s="68">
        <v>1927.97</v>
      </c>
      <c r="I32" s="68">
        <v>1814.56</v>
      </c>
      <c r="J32" s="68">
        <v>1927.97</v>
      </c>
      <c r="K32" s="68">
        <v>1474.33</v>
      </c>
      <c r="L32" s="68">
        <v>1927.97</v>
      </c>
      <c r="M32" s="68">
        <v>2268.1999999999998</v>
      </c>
      <c r="N32" s="68">
        <v>2154.79</v>
      </c>
      <c r="O32" s="68">
        <v>3062.07</v>
      </c>
      <c r="P32" s="68">
        <v>2608.4299999999998</v>
      </c>
      <c r="Q32" s="68">
        <v>3175.48</v>
      </c>
      <c r="R32" s="68">
        <v>2835.25</v>
      </c>
      <c r="S32" s="68">
        <v>1927.97</v>
      </c>
      <c r="T32" s="68">
        <f t="shared" si="18"/>
        <v>27104.99</v>
      </c>
      <c r="U32" s="19">
        <v>31000</v>
      </c>
      <c r="V32" s="48"/>
      <c r="W32" s="68">
        <f t="shared" si="19"/>
        <v>17</v>
      </c>
      <c r="X32" s="68">
        <f t="shared" si="19"/>
        <v>16</v>
      </c>
      <c r="Y32" s="68">
        <f t="shared" si="19"/>
        <v>17</v>
      </c>
      <c r="Z32" s="68">
        <f t="shared" si="19"/>
        <v>13</v>
      </c>
      <c r="AA32" s="68">
        <f t="shared" si="19"/>
        <v>17</v>
      </c>
      <c r="AB32" s="68">
        <f t="shared" si="19"/>
        <v>20</v>
      </c>
      <c r="AC32" s="68">
        <f t="shared" si="19"/>
        <v>19</v>
      </c>
      <c r="AD32" s="68">
        <f t="shared" si="19"/>
        <v>27.000000000000004</v>
      </c>
      <c r="AE32" s="68">
        <f t="shared" si="19"/>
        <v>23</v>
      </c>
      <c r="AF32" s="68">
        <f t="shared" si="19"/>
        <v>28</v>
      </c>
      <c r="AG32" s="68">
        <f t="shared" si="19"/>
        <v>25</v>
      </c>
      <c r="AH32" s="68">
        <f t="shared" si="20"/>
        <v>17</v>
      </c>
      <c r="AI32" s="68">
        <f t="shared" si="26"/>
        <v>19.916666666666668</v>
      </c>
      <c r="AJ32" s="248"/>
      <c r="AL32" s="195"/>
      <c r="AM32" s="242"/>
      <c r="AN32" s="5"/>
      <c r="AO32" s="5"/>
      <c r="AP32" s="58"/>
      <c r="AQ32" s="59"/>
      <c r="AR32" s="5"/>
      <c r="AS32" s="5"/>
      <c r="AT32" s="249">
        <v>113.41</v>
      </c>
      <c r="AU32" s="195">
        <f t="shared" ca="1" si="25"/>
        <v>125.98485237875431</v>
      </c>
      <c r="AV32" s="80">
        <f t="shared" ca="1" si="21"/>
        <v>30110.379718522283</v>
      </c>
      <c r="AW32" s="80">
        <f t="shared" ca="1" si="22"/>
        <v>3005.3897185222813</v>
      </c>
      <c r="AX32" s="216"/>
      <c r="BC32" s="499">
        <f t="shared" ca="1" si="23"/>
        <v>114.95015938407536</v>
      </c>
      <c r="BD32" s="499">
        <f t="shared" ca="1" si="24"/>
        <v>30225.329877906359</v>
      </c>
    </row>
    <row r="33" spans="1:56" ht="12" customHeight="1">
      <c r="A33" s="19" t="str">
        <f t="shared" si="16"/>
        <v>CITYPA-MROHAUL30T</v>
      </c>
      <c r="B33" s="48" t="s">
        <v>292</v>
      </c>
      <c r="C33" s="48" t="s">
        <v>293</v>
      </c>
      <c r="D33" s="132">
        <v>242.07</v>
      </c>
      <c r="E33" s="132">
        <f t="shared" si="17"/>
        <v>242.07</v>
      </c>
      <c r="F33" s="238">
        <v>39</v>
      </c>
      <c r="G33" s="48"/>
      <c r="H33" s="68">
        <v>3631.05</v>
      </c>
      <c r="I33" s="68">
        <v>968.28</v>
      </c>
      <c r="J33" s="68">
        <v>1452.42</v>
      </c>
      <c r="K33" s="68">
        <v>484.14</v>
      </c>
      <c r="L33" s="68">
        <v>484.14</v>
      </c>
      <c r="M33" s="68">
        <v>968.28</v>
      </c>
      <c r="N33" s="68">
        <v>2662.77</v>
      </c>
      <c r="O33" s="68">
        <v>1452.42</v>
      </c>
      <c r="P33" s="68">
        <v>1694.49</v>
      </c>
      <c r="Q33" s="68">
        <v>1936.56</v>
      </c>
      <c r="R33" s="68">
        <v>0</v>
      </c>
      <c r="S33" s="68">
        <v>726.21</v>
      </c>
      <c r="T33" s="68">
        <f t="shared" si="18"/>
        <v>16460.759999999998</v>
      </c>
      <c r="U33" s="19">
        <v>31000</v>
      </c>
      <c r="V33" s="48"/>
      <c r="W33" s="68">
        <f t="shared" si="19"/>
        <v>15.000000000000002</v>
      </c>
      <c r="X33" s="68">
        <f t="shared" si="19"/>
        <v>4</v>
      </c>
      <c r="Y33" s="68">
        <f t="shared" si="19"/>
        <v>6.0000000000000009</v>
      </c>
      <c r="Z33" s="68">
        <f t="shared" si="19"/>
        <v>2</v>
      </c>
      <c r="AA33" s="68">
        <f t="shared" si="19"/>
        <v>2</v>
      </c>
      <c r="AB33" s="68">
        <f t="shared" si="19"/>
        <v>4</v>
      </c>
      <c r="AC33" s="68">
        <f t="shared" si="19"/>
        <v>11</v>
      </c>
      <c r="AD33" s="68">
        <f t="shared" si="19"/>
        <v>6.0000000000000009</v>
      </c>
      <c r="AE33" s="68">
        <f t="shared" si="19"/>
        <v>7</v>
      </c>
      <c r="AF33" s="68">
        <f t="shared" si="19"/>
        <v>8</v>
      </c>
      <c r="AG33" s="68">
        <f t="shared" si="19"/>
        <v>0</v>
      </c>
      <c r="AH33" s="68">
        <f t="shared" si="20"/>
        <v>3.0000000000000004</v>
      </c>
      <c r="AI33" s="68">
        <f t="shared" si="26"/>
        <v>6.1818181818181817</v>
      </c>
      <c r="AJ33" s="248"/>
      <c r="AL33" s="195"/>
      <c r="AM33" s="242"/>
      <c r="AN33" s="5"/>
      <c r="AO33" s="44"/>
      <c r="AP33" s="58"/>
      <c r="AQ33" s="59"/>
      <c r="AR33" s="5"/>
      <c r="AS33" s="5"/>
      <c r="AT33" s="249">
        <v>242.07</v>
      </c>
      <c r="AU33" s="195">
        <f t="shared" ca="1" si="25"/>
        <v>268.91061824640735</v>
      </c>
      <c r="AV33" s="80">
        <f t="shared" ca="1" si="21"/>
        <v>18285.9220407557</v>
      </c>
      <c r="AW33" s="80">
        <f t="shared" ca="1" si="22"/>
        <v>1825.162040755702</v>
      </c>
      <c r="AX33" s="216"/>
      <c r="BC33" s="499">
        <f t="shared" ca="1" si="23"/>
        <v>69.808805890834577</v>
      </c>
      <c r="BD33" s="499">
        <f t="shared" ca="1" si="24"/>
        <v>18355.730846646537</v>
      </c>
    </row>
    <row r="34" spans="1:56" ht="12" customHeight="1">
      <c r="A34" s="19" t="str">
        <f t="shared" si="16"/>
        <v>CITYPA-MRORELOCATE</v>
      </c>
      <c r="B34" s="48" t="s">
        <v>296</v>
      </c>
      <c r="C34" s="48" t="s">
        <v>297</v>
      </c>
      <c r="D34" s="132">
        <v>122.34</v>
      </c>
      <c r="E34" s="132">
        <f t="shared" si="17"/>
        <v>122.34</v>
      </c>
      <c r="F34" s="238">
        <v>17</v>
      </c>
      <c r="G34" s="48"/>
      <c r="H34" s="68">
        <v>0</v>
      </c>
      <c r="I34" s="68">
        <v>0</v>
      </c>
      <c r="J34" s="68">
        <v>367.02</v>
      </c>
      <c r="K34" s="68">
        <v>0</v>
      </c>
      <c r="L34" s="68">
        <v>0</v>
      </c>
      <c r="M34" s="68">
        <v>0</v>
      </c>
      <c r="N34" s="68">
        <v>122.34</v>
      </c>
      <c r="O34" s="68">
        <v>0</v>
      </c>
      <c r="P34" s="68">
        <v>0</v>
      </c>
      <c r="Q34" s="68">
        <v>0</v>
      </c>
      <c r="R34" s="68">
        <v>0</v>
      </c>
      <c r="S34" s="68">
        <v>0</v>
      </c>
      <c r="T34" s="68">
        <f t="shared" si="18"/>
        <v>489.36</v>
      </c>
      <c r="U34" s="19">
        <v>31010</v>
      </c>
      <c r="V34" s="48"/>
      <c r="W34" s="68">
        <f t="shared" si="19"/>
        <v>0</v>
      </c>
      <c r="X34" s="68">
        <f t="shared" si="19"/>
        <v>0</v>
      </c>
      <c r="Y34" s="68">
        <f t="shared" si="19"/>
        <v>2.9999999999999996</v>
      </c>
      <c r="Z34" s="68">
        <f t="shared" si="19"/>
        <v>0</v>
      </c>
      <c r="AA34" s="68">
        <f t="shared" si="19"/>
        <v>0</v>
      </c>
      <c r="AB34" s="68">
        <f t="shared" si="19"/>
        <v>0</v>
      </c>
      <c r="AC34" s="68">
        <f t="shared" si="19"/>
        <v>1</v>
      </c>
      <c r="AD34" s="68">
        <f t="shared" si="19"/>
        <v>0</v>
      </c>
      <c r="AE34" s="68">
        <f t="shared" si="19"/>
        <v>0</v>
      </c>
      <c r="AF34" s="68">
        <f t="shared" si="19"/>
        <v>0</v>
      </c>
      <c r="AG34" s="68">
        <f t="shared" si="19"/>
        <v>0</v>
      </c>
      <c r="AH34" s="68">
        <f t="shared" si="20"/>
        <v>0</v>
      </c>
      <c r="AI34" s="68">
        <f t="shared" si="26"/>
        <v>1.9999999999999998</v>
      </c>
      <c r="AJ34" s="248"/>
      <c r="AL34" s="195"/>
      <c r="AM34" s="242"/>
      <c r="AN34" s="5"/>
      <c r="AO34" s="5"/>
      <c r="AP34" s="58"/>
      <c r="AQ34" s="59"/>
      <c r="AR34" s="5"/>
      <c r="AS34" s="5"/>
      <c r="AT34" s="249">
        <v>122.34</v>
      </c>
      <c r="AU34" s="195">
        <f t="shared" ca="1" si="25"/>
        <v>135.90500696602419</v>
      </c>
      <c r="AV34" s="80">
        <f t="shared" ca="1" si="21"/>
        <v>543.62002786409676</v>
      </c>
      <c r="AW34" s="80">
        <f t="shared" ca="1" si="22"/>
        <v>54.260027864096742</v>
      </c>
      <c r="AX34" s="216"/>
      <c r="BC34" s="499">
        <f t="shared" ca="1" si="23"/>
        <v>2.0753377882150525</v>
      </c>
      <c r="BD34" s="499">
        <f t="shared" ca="1" si="24"/>
        <v>545.69536565231181</v>
      </c>
    </row>
    <row r="35" spans="1:56" s="19" customFormat="1" ht="12" customHeight="1">
      <c r="A35" s="71" t="str">
        <f t="shared" si="16"/>
        <v>CITYPA-MRORENT20D</v>
      </c>
      <c r="B35" s="72" t="s">
        <v>298</v>
      </c>
      <c r="C35" s="72" t="s">
        <v>299</v>
      </c>
      <c r="D35" s="132">
        <v>9.6</v>
      </c>
      <c r="E35" s="132">
        <f t="shared" si="17"/>
        <v>9.6</v>
      </c>
      <c r="F35" s="238">
        <v>39</v>
      </c>
      <c r="G35" s="67"/>
      <c r="H35" s="75">
        <v>806.4</v>
      </c>
      <c r="I35" s="75">
        <v>1401.6</v>
      </c>
      <c r="J35" s="75">
        <v>816</v>
      </c>
      <c r="K35" s="75">
        <v>672</v>
      </c>
      <c r="L35" s="75">
        <v>297.60000000000002</v>
      </c>
      <c r="M35" s="75">
        <v>297.60000000000002</v>
      </c>
      <c r="N35" s="75">
        <v>28.8</v>
      </c>
      <c r="O35" s="75">
        <v>345.6</v>
      </c>
      <c r="P35" s="75">
        <v>288</v>
      </c>
      <c r="Q35" s="75">
        <v>710.4</v>
      </c>
      <c r="R35" s="75">
        <v>211.2</v>
      </c>
      <c r="S35" s="75">
        <v>268.8</v>
      </c>
      <c r="T35" s="75">
        <f t="shared" si="18"/>
        <v>6144</v>
      </c>
      <c r="U35" s="71">
        <v>31002</v>
      </c>
      <c r="W35" s="75">
        <f t="shared" ref="W35:AG35" si="27">IFERROR(H35/($D35*30),0)</f>
        <v>2.8</v>
      </c>
      <c r="X35" s="75">
        <f t="shared" si="27"/>
        <v>4.8666666666666663</v>
      </c>
      <c r="Y35" s="75">
        <f t="shared" si="27"/>
        <v>2.8333333333333335</v>
      </c>
      <c r="Z35" s="75">
        <f t="shared" si="27"/>
        <v>2.3333333333333335</v>
      </c>
      <c r="AA35" s="75">
        <f t="shared" si="27"/>
        <v>1.0333333333333334</v>
      </c>
      <c r="AB35" s="75">
        <f t="shared" si="27"/>
        <v>1.0333333333333334</v>
      </c>
      <c r="AC35" s="75">
        <f t="shared" si="27"/>
        <v>0.1</v>
      </c>
      <c r="AD35" s="75">
        <f t="shared" si="27"/>
        <v>1.2000000000000002</v>
      </c>
      <c r="AE35" s="75">
        <f t="shared" si="27"/>
        <v>1</v>
      </c>
      <c r="AF35" s="75">
        <f t="shared" si="27"/>
        <v>2.4666666666666668</v>
      </c>
      <c r="AG35" s="75">
        <f t="shared" si="27"/>
        <v>0.73333333333333328</v>
      </c>
      <c r="AH35" s="75">
        <f t="shared" si="20"/>
        <v>28.000000000000004</v>
      </c>
      <c r="AI35" s="75">
        <f t="shared" si="26"/>
        <v>4.0333333333333341</v>
      </c>
      <c r="AJ35" s="248"/>
      <c r="AL35" s="195"/>
      <c r="AM35" s="19" t="s">
        <v>300</v>
      </c>
      <c r="AN35" s="5"/>
      <c r="AO35" s="5"/>
      <c r="AP35" s="58"/>
      <c r="AQ35" s="59"/>
      <c r="AR35" s="58">
        <v>1</v>
      </c>
      <c r="AS35" s="240">
        <f>AR35*AI35</f>
        <v>4.0333333333333341</v>
      </c>
      <c r="AT35" s="249">
        <v>9.6</v>
      </c>
      <c r="AU35" s="195">
        <f t="shared" ca="1" si="25"/>
        <v>10.66444390120837</v>
      </c>
      <c r="AV35" s="80">
        <f ca="1">+AU35*AVERAGE(W35:AH35)*12*30</f>
        <v>15484.772544554557</v>
      </c>
      <c r="AW35" s="80">
        <f t="shared" ca="1" si="22"/>
        <v>9340.7725445545566</v>
      </c>
      <c r="AX35" s="216"/>
      <c r="AY35" s="1"/>
      <c r="AZ35" s="1"/>
      <c r="BA35" s="1"/>
      <c r="BB35" s="1"/>
      <c r="BC35" s="499">
        <f t="shared" ca="1" si="23"/>
        <v>59.115065590745587</v>
      </c>
      <c r="BD35" s="499">
        <f t="shared" ca="1" si="24"/>
        <v>15543.887610145302</v>
      </c>
    </row>
    <row r="36" spans="1:56" s="19" customFormat="1" ht="12" customHeight="1">
      <c r="A36" s="71" t="str">
        <f t="shared" si="16"/>
        <v>CITYPA-MRORENT20M</v>
      </c>
      <c r="B36" s="72" t="s">
        <v>301</v>
      </c>
      <c r="C36" s="72" t="s">
        <v>302</v>
      </c>
      <c r="D36" s="132">
        <v>78.650000000000006</v>
      </c>
      <c r="E36" s="132">
        <f t="shared" si="17"/>
        <v>78.650000000000006</v>
      </c>
      <c r="F36" s="238">
        <v>39</v>
      </c>
      <c r="G36" s="67"/>
      <c r="H36" s="75">
        <v>471.9</v>
      </c>
      <c r="I36" s="75">
        <v>471.9</v>
      </c>
      <c r="J36" s="75">
        <v>550.54999999999995</v>
      </c>
      <c r="K36" s="75">
        <v>563.65</v>
      </c>
      <c r="L36" s="75">
        <v>548.01</v>
      </c>
      <c r="M36" s="75">
        <v>451.6</v>
      </c>
      <c r="N36" s="75">
        <v>393.25</v>
      </c>
      <c r="O36" s="75">
        <v>324.74</v>
      </c>
      <c r="P36" s="75">
        <v>235.95</v>
      </c>
      <c r="Q36" s="75">
        <v>235.95</v>
      </c>
      <c r="R36" s="75">
        <v>235.95</v>
      </c>
      <c r="S36" s="75">
        <v>235.95</v>
      </c>
      <c r="T36" s="75">
        <f t="shared" si="18"/>
        <v>4719.3999999999996</v>
      </c>
      <c r="U36" s="71">
        <v>31002</v>
      </c>
      <c r="W36" s="75">
        <f t="shared" ref="W36:AG36" si="28">IFERROR(H36/$D36,0)</f>
        <v>5.9999999999999991</v>
      </c>
      <c r="X36" s="75">
        <f t="shared" si="28"/>
        <v>5.9999999999999991</v>
      </c>
      <c r="Y36" s="75">
        <f t="shared" si="28"/>
        <v>6.9999999999999991</v>
      </c>
      <c r="Z36" s="75">
        <f t="shared" si="28"/>
        <v>7.166560712015257</v>
      </c>
      <c r="AA36" s="75">
        <f t="shared" si="28"/>
        <v>6.9677050222504766</v>
      </c>
      <c r="AB36" s="75">
        <f t="shared" si="28"/>
        <v>5.741894469167196</v>
      </c>
      <c r="AC36" s="75">
        <f t="shared" si="28"/>
        <v>5</v>
      </c>
      <c r="AD36" s="75">
        <f t="shared" si="28"/>
        <v>4.1289256198347104</v>
      </c>
      <c r="AE36" s="75">
        <f t="shared" si="28"/>
        <v>2.9999999999999996</v>
      </c>
      <c r="AF36" s="75">
        <f t="shared" si="28"/>
        <v>2.9999999999999996</v>
      </c>
      <c r="AG36" s="75">
        <f t="shared" si="28"/>
        <v>2.9999999999999996</v>
      </c>
      <c r="AH36" s="75">
        <f t="shared" si="20"/>
        <v>2.9999999999999996</v>
      </c>
      <c r="AI36" s="75">
        <f t="shared" si="26"/>
        <v>5.0004238186056371</v>
      </c>
      <c r="AJ36" s="248"/>
      <c r="AL36" s="195"/>
      <c r="AM36" s="19" t="s">
        <v>300</v>
      </c>
      <c r="AN36" s="5"/>
      <c r="AO36" s="5"/>
      <c r="AP36" s="58"/>
      <c r="AQ36" s="59"/>
      <c r="AR36" s="58">
        <v>1</v>
      </c>
      <c r="AS36" s="240">
        <f>AR36*AI36</f>
        <v>5.0004238186056371</v>
      </c>
      <c r="AT36" s="249">
        <v>78.650000000000006</v>
      </c>
      <c r="AU36" s="195">
        <f t="shared" ca="1" si="25"/>
        <v>87.370678419795681</v>
      </c>
      <c r="AV36" s="80">
        <f t="shared" ca="1" si="21"/>
        <v>5242.6850570169581</v>
      </c>
      <c r="AW36" s="80">
        <f t="shared" ca="1" si="22"/>
        <v>523.28505701695849</v>
      </c>
      <c r="AX36" s="216"/>
      <c r="AY36" s="1"/>
      <c r="AZ36" s="1"/>
      <c r="BA36" s="1"/>
      <c r="BB36" s="1"/>
      <c r="BC36" s="499">
        <f t="shared" ca="1" si="23"/>
        <v>20.014609199162418</v>
      </c>
      <c r="BD36" s="499">
        <f t="shared" ca="1" si="24"/>
        <v>5262.6996662161209</v>
      </c>
    </row>
    <row r="37" spans="1:56" s="19" customFormat="1" ht="12" customHeight="1">
      <c r="A37" s="71" t="str">
        <f t="shared" si="16"/>
        <v>CITYPA-MRORENT30D</v>
      </c>
      <c r="B37" s="72" t="s">
        <v>303</v>
      </c>
      <c r="C37" s="72" t="s">
        <v>304</v>
      </c>
      <c r="D37" s="132">
        <v>16</v>
      </c>
      <c r="E37" s="132">
        <f t="shared" si="17"/>
        <v>16</v>
      </c>
      <c r="F37" s="238">
        <v>39</v>
      </c>
      <c r="G37" s="67"/>
      <c r="H37" s="75">
        <v>1584</v>
      </c>
      <c r="I37" s="75">
        <v>912</v>
      </c>
      <c r="J37" s="75">
        <v>2064</v>
      </c>
      <c r="K37" s="75">
        <v>512</v>
      </c>
      <c r="L37" s="75">
        <v>1104</v>
      </c>
      <c r="M37" s="75">
        <v>1376</v>
      </c>
      <c r="N37" s="75">
        <v>1648</v>
      </c>
      <c r="O37" s="75">
        <v>2256</v>
      </c>
      <c r="P37" s="75">
        <v>1104</v>
      </c>
      <c r="Q37" s="75">
        <v>944</v>
      </c>
      <c r="R37" s="75">
        <v>0</v>
      </c>
      <c r="S37" s="75">
        <v>848</v>
      </c>
      <c r="T37" s="75">
        <f t="shared" si="18"/>
        <v>14352</v>
      </c>
      <c r="U37" s="71">
        <v>31002</v>
      </c>
      <c r="W37" s="75">
        <f t="shared" ref="W37:AG37" si="29">IFERROR(H37/($D37*30),0)</f>
        <v>3.3</v>
      </c>
      <c r="X37" s="75">
        <f t="shared" si="29"/>
        <v>1.9</v>
      </c>
      <c r="Y37" s="75">
        <f t="shared" si="29"/>
        <v>4.3</v>
      </c>
      <c r="Z37" s="75">
        <f t="shared" si="29"/>
        <v>1.0666666666666667</v>
      </c>
      <c r="AA37" s="75">
        <f t="shared" si="29"/>
        <v>2.2999999999999998</v>
      </c>
      <c r="AB37" s="75">
        <f t="shared" si="29"/>
        <v>2.8666666666666667</v>
      </c>
      <c r="AC37" s="75">
        <f t="shared" si="29"/>
        <v>3.4333333333333331</v>
      </c>
      <c r="AD37" s="75">
        <f t="shared" si="29"/>
        <v>4.7</v>
      </c>
      <c r="AE37" s="75">
        <f t="shared" si="29"/>
        <v>2.2999999999999998</v>
      </c>
      <c r="AF37" s="75">
        <f t="shared" si="29"/>
        <v>1.9666666666666666</v>
      </c>
      <c r="AG37" s="75">
        <f t="shared" si="29"/>
        <v>0</v>
      </c>
      <c r="AH37" s="75">
        <f t="shared" si="20"/>
        <v>53</v>
      </c>
      <c r="AI37" s="75">
        <f t="shared" si="26"/>
        <v>7.3757575757575751</v>
      </c>
      <c r="AJ37" s="248"/>
      <c r="AL37" s="195"/>
      <c r="AM37" s="19" t="s">
        <v>305</v>
      </c>
      <c r="AN37" s="5"/>
      <c r="AO37" s="44"/>
      <c r="AP37" s="58"/>
      <c r="AQ37" s="59"/>
      <c r="AR37" s="58">
        <v>1</v>
      </c>
      <c r="AS37" s="240">
        <f>AR37*AI37</f>
        <v>7.3757575757575751</v>
      </c>
      <c r="AT37" s="249">
        <v>16</v>
      </c>
      <c r="AU37" s="195">
        <f t="shared" ca="1" si="25"/>
        <v>17.774073168680619</v>
      </c>
      <c r="AV37" s="80">
        <f ca="1">+AU37*AVERAGE(W37:AH37)*12*30</f>
        <v>43262.094092568615</v>
      </c>
      <c r="AW37" s="80">
        <f t="shared" ca="1" si="22"/>
        <v>28910.094092568615</v>
      </c>
      <c r="AX37" s="216"/>
      <c r="AY37" s="1"/>
      <c r="AZ37" s="1"/>
      <c r="BA37" s="1"/>
      <c r="BB37" s="1"/>
      <c r="BC37" s="499">
        <f t="shared" ca="1" si="23"/>
        <v>165.15848214861651</v>
      </c>
      <c r="BD37" s="499">
        <f t="shared" ca="1" si="24"/>
        <v>43427.252574717233</v>
      </c>
    </row>
    <row r="38" spans="1:56" s="19" customFormat="1" ht="12" customHeight="1">
      <c r="A38" s="71" t="str">
        <f t="shared" si="16"/>
        <v>CITYPA-MRORENT30M</v>
      </c>
      <c r="B38" s="72" t="s">
        <v>306</v>
      </c>
      <c r="C38" s="72" t="s">
        <v>307</v>
      </c>
      <c r="D38" s="132">
        <v>81.900000000000006</v>
      </c>
      <c r="E38" s="132">
        <f t="shared" si="17"/>
        <v>81.900000000000006</v>
      </c>
      <c r="F38" s="238">
        <v>39</v>
      </c>
      <c r="G38" s="67"/>
      <c r="H38" s="75">
        <v>737.1</v>
      </c>
      <c r="I38" s="75">
        <v>737.1</v>
      </c>
      <c r="J38" s="75">
        <v>737.1</v>
      </c>
      <c r="K38" s="75">
        <v>737.1</v>
      </c>
      <c r="L38" s="75">
        <v>737.1</v>
      </c>
      <c r="M38" s="75">
        <v>737.1</v>
      </c>
      <c r="N38" s="75">
        <v>737.1</v>
      </c>
      <c r="O38" s="75">
        <v>737.1</v>
      </c>
      <c r="P38" s="75">
        <v>786.24</v>
      </c>
      <c r="Q38" s="75">
        <v>760.87</v>
      </c>
      <c r="R38" s="75">
        <v>819</v>
      </c>
      <c r="S38" s="75">
        <v>755.59</v>
      </c>
      <c r="T38" s="75">
        <f t="shared" si="18"/>
        <v>9018.5</v>
      </c>
      <c r="U38" s="71">
        <v>31002</v>
      </c>
      <c r="W38" s="75">
        <f t="shared" ref="W38:AG42" si="30">IFERROR(H38/$D38,0)</f>
        <v>9</v>
      </c>
      <c r="X38" s="75">
        <f t="shared" si="30"/>
        <v>9</v>
      </c>
      <c r="Y38" s="75">
        <f t="shared" si="30"/>
        <v>9</v>
      </c>
      <c r="Z38" s="75">
        <f t="shared" si="30"/>
        <v>9</v>
      </c>
      <c r="AA38" s="75">
        <f t="shared" si="30"/>
        <v>9</v>
      </c>
      <c r="AB38" s="75">
        <f t="shared" si="30"/>
        <v>9</v>
      </c>
      <c r="AC38" s="75">
        <f t="shared" si="30"/>
        <v>9</v>
      </c>
      <c r="AD38" s="75">
        <f t="shared" si="30"/>
        <v>9</v>
      </c>
      <c r="AE38" s="75">
        <f t="shared" si="30"/>
        <v>9.6</v>
      </c>
      <c r="AF38" s="75">
        <f t="shared" si="30"/>
        <v>9.2902319902319892</v>
      </c>
      <c r="AG38" s="75">
        <f t="shared" si="30"/>
        <v>10</v>
      </c>
      <c r="AH38" s="75">
        <f t="shared" si="20"/>
        <v>9.225763125763125</v>
      </c>
      <c r="AI38" s="75">
        <f t="shared" si="26"/>
        <v>9.1763329263329254</v>
      </c>
      <c r="AJ38" s="248"/>
      <c r="AL38" s="195"/>
      <c r="AM38" s="19" t="s">
        <v>305</v>
      </c>
      <c r="AN38" s="5"/>
      <c r="AO38" s="5"/>
      <c r="AP38" s="58"/>
      <c r="AQ38" s="59"/>
      <c r="AR38" s="58">
        <v>1</v>
      </c>
      <c r="AS38" s="240">
        <f>AR38*AI38</f>
        <v>9.1763329263329254</v>
      </c>
      <c r="AT38" s="249">
        <v>81.900000000000006</v>
      </c>
      <c r="AU38" s="195">
        <f t="shared" ca="1" si="25"/>
        <v>90.98103703218392</v>
      </c>
      <c r="AV38" s="80">
        <f t="shared" ca="1" si="21"/>
        <v>10018.467429484135</v>
      </c>
      <c r="AW38" s="80">
        <f t="shared" ca="1" si="22"/>
        <v>999.96742948413521</v>
      </c>
      <c r="AX38" s="216"/>
      <c r="BC38" s="499">
        <f t="shared" ca="1" si="23"/>
        <v>38.24675871141379</v>
      </c>
      <c r="BD38" s="499">
        <f t="shared" ca="1" si="24"/>
        <v>10056.714188195549</v>
      </c>
    </row>
    <row r="39" spans="1:56" s="157" customFormat="1" ht="12" customHeight="1">
      <c r="A39" s="19" t="str">
        <f t="shared" si="16"/>
        <v>CITYPA-MROWAIT</v>
      </c>
      <c r="B39" s="48" t="s">
        <v>308</v>
      </c>
      <c r="C39" s="48" t="s">
        <v>309</v>
      </c>
      <c r="D39" s="132">
        <v>80.72</v>
      </c>
      <c r="E39" s="132">
        <f t="shared" si="17"/>
        <v>80.72</v>
      </c>
      <c r="F39" s="238">
        <v>29</v>
      </c>
      <c r="G39" s="48"/>
      <c r="H39" s="68">
        <v>0</v>
      </c>
      <c r="I39" s="68">
        <v>80.72</v>
      </c>
      <c r="J39" s="68">
        <v>0</v>
      </c>
      <c r="K39" s="68">
        <v>0</v>
      </c>
      <c r="L39" s="68">
        <v>0</v>
      </c>
      <c r="M39" s="68">
        <v>0</v>
      </c>
      <c r="N39" s="68">
        <v>20.18</v>
      </c>
      <c r="O39" s="68">
        <v>0</v>
      </c>
      <c r="P39" s="68">
        <v>20.18</v>
      </c>
      <c r="Q39" s="68">
        <v>0</v>
      </c>
      <c r="R39" s="68">
        <v>0</v>
      </c>
      <c r="S39" s="68">
        <v>0</v>
      </c>
      <c r="T39" s="68">
        <f t="shared" si="18"/>
        <v>121.08000000000001</v>
      </c>
      <c r="U39" s="19">
        <v>31010</v>
      </c>
      <c r="V39" s="48"/>
      <c r="W39" s="68">
        <f t="shared" si="30"/>
        <v>0</v>
      </c>
      <c r="X39" s="68">
        <f t="shared" si="30"/>
        <v>1</v>
      </c>
      <c r="Y39" s="68">
        <f t="shared" si="30"/>
        <v>0</v>
      </c>
      <c r="Z39" s="68">
        <f t="shared" si="30"/>
        <v>0</v>
      </c>
      <c r="AA39" s="68">
        <f t="shared" si="30"/>
        <v>0</v>
      </c>
      <c r="AB39" s="68">
        <f t="shared" si="30"/>
        <v>0</v>
      </c>
      <c r="AC39" s="68">
        <f t="shared" si="30"/>
        <v>0.25</v>
      </c>
      <c r="AD39" s="68">
        <f t="shared" si="30"/>
        <v>0</v>
      </c>
      <c r="AE39" s="68">
        <f t="shared" si="30"/>
        <v>0.25</v>
      </c>
      <c r="AF39" s="68">
        <f t="shared" si="30"/>
        <v>0</v>
      </c>
      <c r="AG39" s="68">
        <f t="shared" si="30"/>
        <v>0</v>
      </c>
      <c r="AH39" s="68">
        <f t="shared" si="20"/>
        <v>0</v>
      </c>
      <c r="AI39" s="68">
        <f t="shared" si="26"/>
        <v>0.5</v>
      </c>
      <c r="AJ39" s="248"/>
      <c r="AL39" s="195"/>
      <c r="AM39" s="242"/>
      <c r="AN39" s="5"/>
      <c r="AO39" s="5"/>
      <c r="AP39" s="58"/>
      <c r="AQ39" s="59"/>
      <c r="AR39" s="58"/>
      <c r="AS39" s="240"/>
      <c r="AT39" s="249">
        <v>80.72</v>
      </c>
      <c r="AU39" s="195">
        <f t="shared" ca="1" si="25"/>
        <v>89.670199135993727</v>
      </c>
      <c r="AV39" s="80">
        <f t="shared" ca="1" si="21"/>
        <v>134.5052987039906</v>
      </c>
      <c r="AW39" s="80">
        <f t="shared" ca="1" si="22"/>
        <v>13.425298703990592</v>
      </c>
      <c r="AX39" s="216"/>
      <c r="AY39" s="19"/>
      <c r="AZ39" s="19"/>
      <c r="BA39" s="19"/>
      <c r="BB39" s="19"/>
      <c r="BC39" s="499">
        <f t="shared" ca="1" si="23"/>
        <v>0.51349088482319472</v>
      </c>
      <c r="BD39" s="499">
        <f t="shared" ca="1" si="24"/>
        <v>135.0187895888138</v>
      </c>
    </row>
    <row r="40" spans="1:56" s="157" customFormat="1" ht="12" customHeight="1">
      <c r="A40" s="19" t="str">
        <f t="shared" si="16"/>
        <v>CITYPA-MCPHAUL15</v>
      </c>
      <c r="B40" s="48" t="s">
        <v>280</v>
      </c>
      <c r="C40" s="48" t="s">
        <v>281</v>
      </c>
      <c r="D40" s="132">
        <v>113.82</v>
      </c>
      <c r="E40" s="132">
        <f t="shared" si="17"/>
        <v>113.82</v>
      </c>
      <c r="F40" s="238">
        <v>42</v>
      </c>
      <c r="G40" s="48"/>
      <c r="H40" s="68">
        <v>341.46</v>
      </c>
      <c r="I40" s="68">
        <v>341.46</v>
      </c>
      <c r="J40" s="68">
        <v>455.28</v>
      </c>
      <c r="K40" s="68">
        <v>341.46</v>
      </c>
      <c r="L40" s="68">
        <v>227.64</v>
      </c>
      <c r="M40" s="68">
        <v>341.46</v>
      </c>
      <c r="N40" s="68">
        <v>227.64</v>
      </c>
      <c r="O40" s="68">
        <v>455.28</v>
      </c>
      <c r="P40" s="68">
        <v>341.46</v>
      </c>
      <c r="Q40" s="68">
        <v>341.46</v>
      </c>
      <c r="R40" s="68">
        <v>341.46</v>
      </c>
      <c r="S40" s="68">
        <v>341.46</v>
      </c>
      <c r="T40" s="68">
        <f t="shared" si="18"/>
        <v>4097.5199999999995</v>
      </c>
      <c r="U40" s="19">
        <v>31000</v>
      </c>
      <c r="V40" s="48"/>
      <c r="W40" s="68">
        <f t="shared" si="30"/>
        <v>3</v>
      </c>
      <c r="X40" s="68">
        <f t="shared" si="30"/>
        <v>3</v>
      </c>
      <c r="Y40" s="68">
        <f t="shared" si="30"/>
        <v>4</v>
      </c>
      <c r="Z40" s="68">
        <f t="shared" si="30"/>
        <v>3</v>
      </c>
      <c r="AA40" s="68">
        <f t="shared" si="30"/>
        <v>2</v>
      </c>
      <c r="AB40" s="68">
        <f t="shared" si="30"/>
        <v>3</v>
      </c>
      <c r="AC40" s="68">
        <f t="shared" si="30"/>
        <v>2</v>
      </c>
      <c r="AD40" s="68">
        <f t="shared" si="30"/>
        <v>4</v>
      </c>
      <c r="AE40" s="68">
        <f t="shared" si="30"/>
        <v>3</v>
      </c>
      <c r="AF40" s="68">
        <f t="shared" si="30"/>
        <v>3</v>
      </c>
      <c r="AG40" s="68">
        <f t="shared" si="30"/>
        <v>3</v>
      </c>
      <c r="AH40" s="68">
        <f t="shared" si="20"/>
        <v>3</v>
      </c>
      <c r="AI40" s="68">
        <v>2</v>
      </c>
      <c r="AJ40" s="248"/>
      <c r="AL40" s="195"/>
      <c r="AM40" s="242"/>
      <c r="AN40" s="5"/>
      <c r="AO40" s="5"/>
      <c r="AP40" s="58"/>
      <c r="AQ40" s="59"/>
      <c r="AR40" s="5"/>
      <c r="AS40" s="5"/>
      <c r="AT40" s="249">
        <v>113.82</v>
      </c>
      <c r="AU40" s="195">
        <f t="shared" ca="1" si="25"/>
        <v>126.44031300370175</v>
      </c>
      <c r="AV40" s="80">
        <f t="shared" ca="1" si="21"/>
        <v>4551.8512681332631</v>
      </c>
      <c r="AW40" s="80">
        <f t="shared" ca="1" si="22"/>
        <v>454.33126813326362</v>
      </c>
      <c r="AX40" s="216"/>
      <c r="AY40" s="19"/>
      <c r="AZ40" s="19"/>
      <c r="BA40" s="19"/>
      <c r="BB40" s="19"/>
      <c r="BC40" s="499">
        <f t="shared" ca="1" si="23"/>
        <v>17.377264373808529</v>
      </c>
      <c r="BD40" s="499">
        <f t="shared" ca="1" si="24"/>
        <v>4569.2285325070716</v>
      </c>
    </row>
    <row r="41" spans="1:56" s="134" customFormat="1" ht="12" customHeight="1">
      <c r="A41" s="19" t="str">
        <f t="shared" si="16"/>
        <v>CITYPA-MCPHAUL25</v>
      </c>
      <c r="B41" s="48" t="s">
        <v>457</v>
      </c>
      <c r="C41" s="48" t="s">
        <v>458</v>
      </c>
      <c r="D41" s="132">
        <v>167.16</v>
      </c>
      <c r="E41" s="132">
        <f t="shared" si="17"/>
        <v>167.16</v>
      </c>
      <c r="F41" s="238">
        <v>42</v>
      </c>
      <c r="G41" s="48"/>
      <c r="H41" s="68">
        <v>167.16</v>
      </c>
      <c r="I41" s="68">
        <v>0</v>
      </c>
      <c r="J41" s="68">
        <v>167.16</v>
      </c>
      <c r="K41" s="68">
        <v>0</v>
      </c>
      <c r="L41" s="68">
        <v>0</v>
      </c>
      <c r="M41" s="68">
        <v>167.16</v>
      </c>
      <c r="N41" s="68">
        <v>166.7</v>
      </c>
      <c r="O41" s="68">
        <v>333.86</v>
      </c>
      <c r="P41" s="68">
        <v>0</v>
      </c>
      <c r="Q41" s="68">
        <v>166.7</v>
      </c>
      <c r="R41" s="68">
        <v>333.86</v>
      </c>
      <c r="S41" s="68">
        <v>0</v>
      </c>
      <c r="T41" s="68">
        <f t="shared" si="18"/>
        <v>1502.6</v>
      </c>
      <c r="U41" s="19">
        <v>31000</v>
      </c>
      <c r="V41" s="19"/>
      <c r="W41" s="68">
        <f t="shared" si="30"/>
        <v>1</v>
      </c>
      <c r="X41" s="68">
        <f t="shared" si="30"/>
        <v>0</v>
      </c>
      <c r="Y41" s="68">
        <f t="shared" si="30"/>
        <v>1</v>
      </c>
      <c r="Z41" s="68">
        <f t="shared" si="30"/>
        <v>0</v>
      </c>
      <c r="AA41" s="68">
        <f t="shared" si="30"/>
        <v>0</v>
      </c>
      <c r="AB41" s="68">
        <f t="shared" si="30"/>
        <v>1</v>
      </c>
      <c r="AC41" s="68">
        <f t="shared" si="30"/>
        <v>0.99724814548935148</v>
      </c>
      <c r="AD41" s="68">
        <f t="shared" si="30"/>
        <v>1.9972481454893516</v>
      </c>
      <c r="AE41" s="68">
        <f t="shared" si="30"/>
        <v>0</v>
      </c>
      <c r="AF41" s="68">
        <f t="shared" si="30"/>
        <v>0.99724814548935148</v>
      </c>
      <c r="AG41" s="68">
        <f t="shared" si="30"/>
        <v>1.9972481454893516</v>
      </c>
      <c r="AH41" s="68">
        <f t="shared" si="20"/>
        <v>0</v>
      </c>
      <c r="AI41" s="68">
        <v>2</v>
      </c>
      <c r="AJ41" s="248"/>
      <c r="AL41" s="195"/>
      <c r="AM41" s="242"/>
      <c r="AN41" s="5"/>
      <c r="AO41" s="5"/>
      <c r="AP41" s="58"/>
      <c r="AQ41" s="59"/>
      <c r="AR41" s="5"/>
      <c r="AS41" s="5"/>
      <c r="AT41" s="249">
        <v>167.16</v>
      </c>
      <c r="AU41" s="195">
        <f t="shared" ca="1" si="25"/>
        <v>185.69462942979078</v>
      </c>
      <c r="AV41" s="80">
        <f t="shared" ca="1" si="21"/>
        <v>1669.2076464537186</v>
      </c>
      <c r="AW41" s="80">
        <f t="shared" ca="1" si="22"/>
        <v>166.60764645371864</v>
      </c>
      <c r="AX41" s="216"/>
      <c r="AY41" s="19"/>
      <c r="AZ41" s="19"/>
      <c r="BA41" s="19"/>
      <c r="BB41" s="19"/>
      <c r="BC41" s="499">
        <f t="shared" ca="1" si="23"/>
        <v>6.3724100060731113</v>
      </c>
      <c r="BD41" s="499">
        <f t="shared" ca="1" si="24"/>
        <v>1675.5800564597916</v>
      </c>
    </row>
    <row r="42" spans="1:56" s="19" customFormat="1" ht="12" customHeight="1">
      <c r="A42" s="19" t="str">
        <f t="shared" si="16"/>
        <v>CITYPA-MROHAUL30CO</v>
      </c>
      <c r="B42" s="139" t="s">
        <v>310</v>
      </c>
      <c r="C42" s="139" t="s">
        <v>311</v>
      </c>
      <c r="D42" s="132">
        <v>114.97</v>
      </c>
      <c r="E42" s="132">
        <f t="shared" si="17"/>
        <v>114.97</v>
      </c>
      <c r="F42" s="238">
        <v>40</v>
      </c>
      <c r="G42" s="48"/>
      <c r="H42" s="68">
        <v>574.85</v>
      </c>
      <c r="I42" s="68">
        <v>459.88</v>
      </c>
      <c r="J42" s="68">
        <v>574.85</v>
      </c>
      <c r="K42" s="68">
        <v>459.88</v>
      </c>
      <c r="L42" s="68">
        <v>459.88</v>
      </c>
      <c r="M42" s="68">
        <v>459.88</v>
      </c>
      <c r="N42" s="68">
        <v>459.88</v>
      </c>
      <c r="O42" s="68">
        <v>574.85</v>
      </c>
      <c r="P42" s="68">
        <v>459.88</v>
      </c>
      <c r="Q42" s="68">
        <v>574.85</v>
      </c>
      <c r="R42" s="68">
        <v>459.88</v>
      </c>
      <c r="S42" s="68">
        <v>459.88</v>
      </c>
      <c r="T42" s="140">
        <f t="shared" si="18"/>
        <v>5978.4400000000005</v>
      </c>
      <c r="U42" s="141">
        <v>31000</v>
      </c>
      <c r="V42" s="141"/>
      <c r="W42" s="140">
        <f t="shared" si="30"/>
        <v>5</v>
      </c>
      <c r="X42" s="140">
        <f t="shared" si="30"/>
        <v>4</v>
      </c>
      <c r="Y42" s="140">
        <f t="shared" si="30"/>
        <v>5</v>
      </c>
      <c r="Z42" s="140">
        <f t="shared" si="30"/>
        <v>4</v>
      </c>
      <c r="AA42" s="140">
        <f t="shared" si="30"/>
        <v>4</v>
      </c>
      <c r="AB42" s="140">
        <f t="shared" si="30"/>
        <v>4</v>
      </c>
      <c r="AC42" s="140">
        <f t="shared" si="30"/>
        <v>4</v>
      </c>
      <c r="AD42" s="140">
        <f t="shared" si="30"/>
        <v>5</v>
      </c>
      <c r="AE42" s="140">
        <f t="shared" si="30"/>
        <v>4</v>
      </c>
      <c r="AF42" s="140">
        <f t="shared" si="30"/>
        <v>5</v>
      </c>
      <c r="AG42" s="140">
        <f t="shared" si="30"/>
        <v>4</v>
      </c>
      <c r="AH42" s="140">
        <f t="shared" si="20"/>
        <v>4</v>
      </c>
      <c r="AI42" s="140">
        <f>IFERROR(AVERAGEIF(W42:AH42,"&gt;0"),0)</f>
        <v>4.333333333333333</v>
      </c>
      <c r="AJ42" s="248"/>
      <c r="AL42" s="195"/>
      <c r="AM42" s="89"/>
      <c r="AP42" s="250"/>
      <c r="AQ42" s="251"/>
      <c r="AR42" s="58"/>
      <c r="AS42" s="240"/>
      <c r="AT42" s="158">
        <v>114.97</v>
      </c>
      <c r="AU42" s="195">
        <f t="shared" ca="1" si="25"/>
        <v>127.71782451270067</v>
      </c>
      <c r="AV42" s="80">
        <f t="shared" ca="1" si="21"/>
        <v>6641.3268746604335</v>
      </c>
      <c r="AW42" s="80">
        <f t="shared" ca="1" si="22"/>
        <v>662.88687466043302</v>
      </c>
      <c r="AX42" s="216"/>
      <c r="AY42" s="157"/>
      <c r="AZ42" s="157"/>
      <c r="BA42" s="157"/>
      <c r="BB42" s="157"/>
      <c r="BC42" s="499">
        <f t="shared" ca="1" si="23"/>
        <v>25.354100144221832</v>
      </c>
      <c r="BD42" s="499">
        <f t="shared" ca="1" si="24"/>
        <v>6666.6809748046553</v>
      </c>
    </row>
    <row r="43" spans="1:56" ht="12" customHeight="1" thickBot="1">
      <c r="B43" s="48"/>
      <c r="C43" s="48"/>
      <c r="D43" s="108"/>
      <c r="E43" s="108"/>
      <c r="F43" s="252"/>
      <c r="G43" s="48"/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48"/>
      <c r="Q43" s="48"/>
      <c r="R43" s="48"/>
      <c r="S43" s="48"/>
      <c r="T43" s="48"/>
      <c r="U43" s="19"/>
      <c r="V43" s="4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248"/>
      <c r="AM43" s="242"/>
      <c r="AN43" s="5"/>
      <c r="AO43" s="5"/>
      <c r="AP43" s="58"/>
      <c r="AQ43" s="59"/>
      <c r="AR43" s="5"/>
      <c r="AS43" s="5"/>
      <c r="AT43" s="253"/>
      <c r="AU43" s="195">
        <f t="shared" ca="1" si="25"/>
        <v>0</v>
      </c>
      <c r="AV43" s="80">
        <f t="shared" ref="AV43" ca="1" si="31">+AU43*AI43*12</f>
        <v>0</v>
      </c>
      <c r="AW43" s="80">
        <f t="shared" ca="1" si="22"/>
        <v>0</v>
      </c>
      <c r="AX43" s="216"/>
      <c r="AY43" s="157"/>
      <c r="AZ43" s="157"/>
      <c r="BA43" s="157"/>
      <c r="BB43" s="157"/>
    </row>
    <row r="44" spans="1:56" s="41" customFormat="1" ht="12" customHeight="1" thickBot="1">
      <c r="B44" s="108"/>
      <c r="C44" s="108"/>
      <c r="D44" s="108"/>
      <c r="E44" s="108"/>
      <c r="F44" s="252"/>
      <c r="G44" s="108"/>
      <c r="H44" s="115">
        <f t="shared" ref="H44:S44" si="32">SUM(H26:H43)</f>
        <v>15473.07</v>
      </c>
      <c r="I44" s="115">
        <f t="shared" si="32"/>
        <v>11143.539999999995</v>
      </c>
      <c r="J44" s="115">
        <f t="shared" si="32"/>
        <v>13542.560000000001</v>
      </c>
      <c r="K44" s="115">
        <f t="shared" si="32"/>
        <v>8597.07</v>
      </c>
      <c r="L44" s="115">
        <f t="shared" si="32"/>
        <v>9187.32</v>
      </c>
      <c r="M44" s="115">
        <f t="shared" si="32"/>
        <v>10131.039999999999</v>
      </c>
      <c r="N44" s="115">
        <f t="shared" si="32"/>
        <v>11573.5</v>
      </c>
      <c r="O44" s="115">
        <f t="shared" si="32"/>
        <v>12856.340000000002</v>
      </c>
      <c r="P44" s="115">
        <f t="shared" si="32"/>
        <v>9682.9699999999975</v>
      </c>
      <c r="Q44" s="115">
        <f t="shared" si="32"/>
        <v>11513.990000000002</v>
      </c>
      <c r="R44" s="115">
        <f t="shared" si="32"/>
        <v>8217.3499999999985</v>
      </c>
      <c r="S44" s="115">
        <f t="shared" si="32"/>
        <v>8346.0399999999991</v>
      </c>
      <c r="T44" s="115">
        <f>SUM(H44:S44)</f>
        <v>130264.79</v>
      </c>
      <c r="U44" s="45"/>
      <c r="V44" s="108"/>
      <c r="W44" s="116">
        <f t="shared" ref="W44:AI44" si="33">SUM(W27:W28,W35:W38,W40:W42)</f>
        <v>38.1</v>
      </c>
      <c r="X44" s="116">
        <f t="shared" si="33"/>
        <v>36.766666666666666</v>
      </c>
      <c r="Y44" s="116">
        <f t="shared" si="33"/>
        <v>41.133333333333333</v>
      </c>
      <c r="Z44" s="116">
        <f t="shared" si="33"/>
        <v>32.56656071201526</v>
      </c>
      <c r="AA44" s="116">
        <f t="shared" si="33"/>
        <v>34.301038355583813</v>
      </c>
      <c r="AB44" s="116">
        <f t="shared" si="33"/>
        <v>34.641894469167198</v>
      </c>
      <c r="AC44" s="116">
        <f t="shared" si="33"/>
        <v>30.530581478822683</v>
      </c>
      <c r="AD44" s="116">
        <f t="shared" si="33"/>
        <v>38.02617376532406</v>
      </c>
      <c r="AE44" s="116">
        <f t="shared" si="33"/>
        <v>29.9</v>
      </c>
      <c r="AF44" s="116">
        <f t="shared" si="33"/>
        <v>33.720813469054676</v>
      </c>
      <c r="AG44" s="116">
        <f t="shared" si="33"/>
        <v>30.730581478822685</v>
      </c>
      <c r="AH44" s="116">
        <f t="shared" si="33"/>
        <v>107.22576312576312</v>
      </c>
      <c r="AI44" s="116">
        <f t="shared" si="33"/>
        <v>39.919180987362807</v>
      </c>
      <c r="AJ44" s="248"/>
      <c r="AK44" s="254" t="s">
        <v>275</v>
      </c>
      <c r="AL44" s="255">
        <f>+AS44</f>
        <v>25.585847654029472</v>
      </c>
      <c r="AM44" s="242"/>
      <c r="AN44" s="5"/>
      <c r="AO44" s="118">
        <f>SUM(AO22:AO43)</f>
        <v>0</v>
      </c>
      <c r="AP44"/>
      <c r="AQ44" s="118">
        <f>SUM(AQ22:AQ43)</f>
        <v>0</v>
      </c>
      <c r="AR44"/>
      <c r="AS44" s="118">
        <f>SUM(AS22:AS43)</f>
        <v>25.585847654029472</v>
      </c>
      <c r="AT44" s="253"/>
      <c r="AU44" s="195"/>
      <c r="AV44" s="119">
        <f ca="1">SUM(AV26:OFFSET(AV44,-1,0))</f>
        <v>180686.77320571928</v>
      </c>
      <c r="AW44" s="119">
        <f ca="1">SUM(AW28:OFFSET(AW44,-1,0))</f>
        <v>49834.155149234241</v>
      </c>
      <c r="AX44" s="216"/>
      <c r="AY44" s="134"/>
      <c r="AZ44" s="134"/>
      <c r="BA44" s="134"/>
      <c r="BB44" s="134"/>
      <c r="BC44" s="510">
        <f ca="1">SUM(BC26:OFFSET(BC44,-1,0))</f>
        <v>689.79446864348711</v>
      </c>
      <c r="BD44" s="510">
        <f ca="1">SUM(BD28:OFFSET(BD44,-1,0))</f>
        <v>175464.75636774654</v>
      </c>
    </row>
    <row r="45" spans="1:56" ht="12" customHeight="1">
      <c r="B45" s="19"/>
      <c r="C45" s="19"/>
      <c r="D45" s="45"/>
      <c r="E45" s="45"/>
      <c r="F45" s="252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19"/>
      <c r="V45" s="48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44"/>
      <c r="AJ45" s="248"/>
      <c r="AM45" s="242"/>
      <c r="AN45" s="5"/>
      <c r="AO45" s="5"/>
      <c r="AP45" s="58"/>
      <c r="AQ45" s="59"/>
      <c r="AR45" s="5"/>
      <c r="AS45" s="5"/>
      <c r="AT45" s="253"/>
      <c r="AU45" s="195"/>
      <c r="AV45" s="80"/>
      <c r="AW45" s="80"/>
      <c r="AX45" s="216"/>
      <c r="AY45" s="19"/>
      <c r="AZ45" s="19"/>
      <c r="BA45" s="19"/>
      <c r="BB45" s="19"/>
    </row>
    <row r="46" spans="1:56" ht="12" customHeight="1">
      <c r="B46" s="154" t="s">
        <v>317</v>
      </c>
      <c r="C46" s="154" t="s">
        <v>317</v>
      </c>
      <c r="D46" s="155"/>
      <c r="E46" s="155"/>
      <c r="F46" s="252"/>
      <c r="G46" s="4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19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M46" s="242"/>
      <c r="AN46" s="5"/>
      <c r="AO46" s="44"/>
      <c r="AP46" s="58"/>
      <c r="AQ46" s="59"/>
      <c r="AR46" s="5"/>
      <c r="AS46" s="5"/>
      <c r="AT46" s="253"/>
      <c r="AX46" s="216"/>
    </row>
    <row r="47" spans="1:56" ht="12" customHeight="1">
      <c r="A47" s="19" t="str">
        <f>"CITYPA-M"&amp;B47</f>
        <v>CITYPA-MDISP</v>
      </c>
      <c r="B47" s="48" t="s">
        <v>318</v>
      </c>
      <c r="C47" s="48" t="s">
        <v>319</v>
      </c>
      <c r="D47" s="132">
        <v>144.99</v>
      </c>
      <c r="E47" s="132">
        <f>D47</f>
        <v>144.99</v>
      </c>
      <c r="F47" s="238">
        <v>34</v>
      </c>
      <c r="G47" s="48"/>
      <c r="H47" s="68">
        <v>27426.34</v>
      </c>
      <c r="I47" s="68">
        <v>20189.84</v>
      </c>
      <c r="J47" s="68">
        <v>25827.07</v>
      </c>
      <c r="K47" s="68">
        <v>18602.22</v>
      </c>
      <c r="L47" s="68">
        <v>19098.05</v>
      </c>
      <c r="M47" s="68">
        <v>21945.67</v>
      </c>
      <c r="N47" s="68">
        <v>22257.41</v>
      </c>
      <c r="O47" s="68">
        <v>23343.38</v>
      </c>
      <c r="P47" s="68">
        <v>17445.22</v>
      </c>
      <c r="Q47" s="68">
        <v>21958.76</v>
      </c>
      <c r="R47" s="68">
        <v>19375.03</v>
      </c>
      <c r="S47" s="68">
        <v>15371.84</v>
      </c>
      <c r="T47" s="68">
        <f>SUM(H47:S47)</f>
        <v>252840.83000000002</v>
      </c>
      <c r="U47" s="19">
        <v>31005</v>
      </c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M47" s="5"/>
      <c r="AN47" s="5"/>
      <c r="AO47" s="131"/>
      <c r="AP47"/>
      <c r="AQ47" s="131"/>
      <c r="AR47"/>
      <c r="AS47" s="131"/>
      <c r="AT47" s="253"/>
      <c r="AU47" s="195">
        <f ca="1">+E47*(1+$BA$2)</f>
        <v>161.0664292954377</v>
      </c>
      <c r="AV47" s="80">
        <f>+T47</f>
        <v>252840.83000000002</v>
      </c>
      <c r="AW47" s="80">
        <f t="shared" ref="AW47" si="34">+AV47-T47</f>
        <v>0</v>
      </c>
      <c r="AX47" s="216"/>
      <c r="AY47" s="41"/>
      <c r="AZ47" s="41"/>
      <c r="BA47" s="41"/>
      <c r="BB47" s="41"/>
    </row>
    <row r="48" spans="1:56" ht="12" customHeight="1">
      <c r="B48" s="48"/>
      <c r="C48" s="48"/>
      <c r="D48" s="108"/>
      <c r="E48" s="108"/>
      <c r="F48" s="252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19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M48" s="5"/>
      <c r="AN48" s="5"/>
      <c r="AO48" s="131"/>
      <c r="AP48"/>
      <c r="AQ48" s="131"/>
      <c r="AR48"/>
      <c r="AS48" s="131"/>
      <c r="AT48" s="253"/>
      <c r="AX48" s="216"/>
    </row>
    <row r="49" spans="1:56" s="41" customFormat="1" ht="12" customHeight="1">
      <c r="B49" s="45"/>
      <c r="C49" s="112" t="s">
        <v>320</v>
      </c>
      <c r="D49" s="112"/>
      <c r="E49" s="112"/>
      <c r="F49" s="256"/>
      <c r="G49" s="108"/>
      <c r="H49" s="115">
        <f t="shared" ref="H49:S49" si="35">SUM(H47:H48)</f>
        <v>27426.34</v>
      </c>
      <c r="I49" s="115">
        <f t="shared" si="35"/>
        <v>20189.84</v>
      </c>
      <c r="J49" s="115">
        <f t="shared" si="35"/>
        <v>25827.07</v>
      </c>
      <c r="K49" s="115">
        <f t="shared" si="35"/>
        <v>18602.22</v>
      </c>
      <c r="L49" s="115">
        <f t="shared" si="35"/>
        <v>19098.05</v>
      </c>
      <c r="M49" s="115">
        <f t="shared" si="35"/>
        <v>21945.67</v>
      </c>
      <c r="N49" s="115">
        <f t="shared" si="35"/>
        <v>22257.41</v>
      </c>
      <c r="O49" s="115">
        <f t="shared" si="35"/>
        <v>23343.38</v>
      </c>
      <c r="P49" s="115">
        <f t="shared" si="35"/>
        <v>17445.22</v>
      </c>
      <c r="Q49" s="115">
        <f t="shared" si="35"/>
        <v>21958.76</v>
      </c>
      <c r="R49" s="115">
        <f t="shared" si="35"/>
        <v>19375.03</v>
      </c>
      <c r="S49" s="115">
        <f t="shared" si="35"/>
        <v>15371.84</v>
      </c>
      <c r="T49" s="115">
        <f>SUM(H49:S49)</f>
        <v>252840.83000000002</v>
      </c>
      <c r="U49" s="45"/>
      <c r="V49" s="108"/>
      <c r="W49" s="48"/>
      <c r="X49" s="48"/>
      <c r="Y49" s="48"/>
      <c r="Z49" s="257"/>
      <c r="AA49" s="48"/>
      <c r="AB49" s="48"/>
      <c r="AC49" s="48"/>
      <c r="AD49" s="48"/>
      <c r="AE49" s="48"/>
      <c r="AF49" s="48"/>
      <c r="AG49" s="48"/>
      <c r="AH49" s="48"/>
      <c r="AI49" s="5"/>
      <c r="AL49" s="7"/>
      <c r="AM49" s="5"/>
      <c r="AN49" s="5"/>
      <c r="AO49" s="5"/>
      <c r="AP49" s="58"/>
      <c r="AQ49" s="59"/>
      <c r="AR49" s="5"/>
      <c r="AS49" s="5"/>
      <c r="AT49" s="253"/>
      <c r="AU49" s="1"/>
      <c r="AV49" s="1"/>
      <c r="AW49" s="1"/>
      <c r="AX49" s="216"/>
      <c r="AY49" s="1"/>
      <c r="AZ49" s="1"/>
      <c r="BA49" s="1"/>
      <c r="BB49" s="1"/>
      <c r="BC49" s="506"/>
      <c r="BD49" s="506"/>
    </row>
    <row r="50" spans="1:56" ht="12" customHeight="1">
      <c r="B50" s="19"/>
      <c r="C50" s="126"/>
      <c r="D50" s="112"/>
      <c r="E50" s="112"/>
      <c r="F50" s="252"/>
      <c r="G50" s="48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19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M50" s="5"/>
      <c r="AN50" s="5"/>
      <c r="AO50" s="5"/>
      <c r="AP50" s="58"/>
      <c r="AQ50" s="59"/>
      <c r="AR50" s="5"/>
      <c r="AS50" s="5"/>
      <c r="AT50" s="253"/>
      <c r="AU50" s="195">
        <f>+E50</f>
        <v>0</v>
      </c>
      <c r="AV50" s="80">
        <f>+T50</f>
        <v>0</v>
      </c>
      <c r="AW50" s="80">
        <f>+AV50-T50</f>
        <v>0</v>
      </c>
      <c r="AX50" s="216"/>
    </row>
    <row r="51" spans="1:56" s="5" customFormat="1" ht="12" customHeight="1">
      <c r="B51" s="153" t="s">
        <v>321</v>
      </c>
      <c r="C51" s="153" t="s">
        <v>321</v>
      </c>
      <c r="D51" s="121"/>
      <c r="E51" s="121"/>
      <c r="F51" s="67"/>
      <c r="G51" s="67"/>
      <c r="H51" s="125"/>
      <c r="I51" s="68"/>
      <c r="J51" s="68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58"/>
      <c r="X51" s="258"/>
      <c r="Y51" s="258"/>
      <c r="Z51" s="258"/>
      <c r="AA51" s="258"/>
      <c r="AB51" s="258"/>
      <c r="AC51" s="258"/>
      <c r="AD51" s="258"/>
      <c r="AE51" s="258"/>
      <c r="AF51" s="258"/>
      <c r="AG51" s="258"/>
      <c r="AH51" s="258"/>
      <c r="AL51" s="43"/>
      <c r="AP51" s="58"/>
      <c r="AQ51" s="59"/>
      <c r="AT51" s="259"/>
      <c r="AU51" s="1"/>
      <c r="AV51" s="1"/>
      <c r="AW51" s="1"/>
      <c r="AX51" s="216"/>
      <c r="AY51" s="1"/>
      <c r="AZ51" s="1"/>
      <c r="BA51" s="1"/>
      <c r="BB51" s="1"/>
      <c r="BC51" s="503"/>
      <c r="BD51" s="503"/>
    </row>
    <row r="52" spans="1:56" s="5" customFormat="1" ht="12" customHeight="1">
      <c r="A52" s="19" t="str">
        <f>"CITYPA-M"&amp;B52</f>
        <v>CITYPA-MFINCHG</v>
      </c>
      <c r="B52" s="48" t="s">
        <v>322</v>
      </c>
      <c r="C52" s="48" t="s">
        <v>323</v>
      </c>
      <c r="D52" s="132">
        <v>0</v>
      </c>
      <c r="E52" s="132">
        <f>D52</f>
        <v>0</v>
      </c>
      <c r="F52" s="238">
        <v>8</v>
      </c>
      <c r="G52" s="67"/>
      <c r="H52" s="68">
        <v>113.02</v>
      </c>
      <c r="I52" s="68">
        <v>1381.5</v>
      </c>
      <c r="J52" s="68">
        <v>90.600000000000009</v>
      </c>
      <c r="K52" s="68">
        <v>75.72</v>
      </c>
      <c r="L52" s="68">
        <v>92.47</v>
      </c>
      <c r="M52" s="68">
        <v>46.91</v>
      </c>
      <c r="N52" s="68">
        <v>102.64</v>
      </c>
      <c r="O52" s="68">
        <v>62.279999999999994</v>
      </c>
      <c r="P52" s="68">
        <v>76.5</v>
      </c>
      <c r="Q52" s="68">
        <v>68.760000000000005</v>
      </c>
      <c r="R52" s="68">
        <v>629.86</v>
      </c>
      <c r="S52" s="68">
        <v>100.25</v>
      </c>
      <c r="T52" s="68">
        <f>SUM(H52:S52)</f>
        <v>2840.51</v>
      </c>
      <c r="U52" s="19">
        <v>38000</v>
      </c>
      <c r="V52" s="19"/>
      <c r="W52" s="258"/>
      <c r="X52" s="258"/>
      <c r="Y52" s="258"/>
      <c r="Z52" s="258"/>
      <c r="AA52" s="258"/>
      <c r="AB52" s="258"/>
      <c r="AC52" s="258"/>
      <c r="AD52" s="258"/>
      <c r="AE52" s="258"/>
      <c r="AF52" s="258"/>
      <c r="AG52" s="258"/>
      <c r="AH52" s="258"/>
      <c r="AL52" s="43"/>
      <c r="AP52" s="58"/>
      <c r="AQ52" s="59"/>
      <c r="AT52" s="259"/>
      <c r="AU52" s="195">
        <f ca="1">+E52*(1+$BA$2)</f>
        <v>0</v>
      </c>
      <c r="AV52" s="80">
        <f>+T52</f>
        <v>2840.51</v>
      </c>
      <c r="AW52" s="80">
        <f t="shared" ref="AW52" si="36">+AV52-T52</f>
        <v>0</v>
      </c>
      <c r="AX52" s="80"/>
      <c r="AY52" s="1"/>
      <c r="AZ52" s="1"/>
      <c r="BA52" s="1"/>
      <c r="BB52" s="1"/>
      <c r="BC52" s="503"/>
      <c r="BD52" s="503"/>
    </row>
    <row r="53" spans="1:56" s="5" customFormat="1" ht="12" customHeight="1">
      <c r="B53" s="48"/>
      <c r="C53" s="48"/>
      <c r="D53" s="108"/>
      <c r="E53" s="108"/>
      <c r="F53" s="67"/>
      <c r="G53" s="67"/>
      <c r="H53" s="125"/>
      <c r="I53" s="68"/>
      <c r="J53" s="68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60"/>
      <c r="X53" s="260"/>
      <c r="Y53" s="260"/>
      <c r="Z53" s="260"/>
      <c r="AA53" s="260"/>
      <c r="AB53" s="260"/>
      <c r="AC53" s="260"/>
      <c r="AD53" s="260"/>
      <c r="AE53" s="260"/>
      <c r="AF53" s="260"/>
      <c r="AG53" s="260"/>
      <c r="AH53" s="260"/>
      <c r="AL53" s="43"/>
      <c r="AP53" s="1"/>
      <c r="AQ53" s="138"/>
      <c r="AT53" s="259"/>
      <c r="AU53" s="1"/>
      <c r="AV53" s="1"/>
      <c r="AW53" s="1"/>
      <c r="AX53" s="216"/>
      <c r="AY53" s="1"/>
      <c r="AZ53" s="1"/>
      <c r="BA53" s="1"/>
      <c r="BB53" s="1"/>
      <c r="BC53" s="503"/>
      <c r="BD53" s="503"/>
    </row>
    <row r="54" spans="1:56" s="3" customFormat="1" ht="12" customHeight="1">
      <c r="B54" s="45"/>
      <c r="C54" s="112" t="s">
        <v>324</v>
      </c>
      <c r="D54" s="112"/>
      <c r="E54" s="112"/>
      <c r="F54" s="114"/>
      <c r="G54" s="114"/>
      <c r="H54" s="115">
        <f t="shared" ref="H54:S54" si="37">SUM(H52:H53)</f>
        <v>113.02</v>
      </c>
      <c r="I54" s="115">
        <f t="shared" si="37"/>
        <v>1381.5</v>
      </c>
      <c r="J54" s="115">
        <f t="shared" si="37"/>
        <v>90.600000000000009</v>
      </c>
      <c r="K54" s="115">
        <f t="shared" si="37"/>
        <v>75.72</v>
      </c>
      <c r="L54" s="115">
        <f t="shared" si="37"/>
        <v>92.47</v>
      </c>
      <c r="M54" s="115">
        <f t="shared" si="37"/>
        <v>46.91</v>
      </c>
      <c r="N54" s="115">
        <f t="shared" si="37"/>
        <v>102.64</v>
      </c>
      <c r="O54" s="115">
        <f t="shared" si="37"/>
        <v>62.279999999999994</v>
      </c>
      <c r="P54" s="115">
        <f t="shared" si="37"/>
        <v>76.5</v>
      </c>
      <c r="Q54" s="115">
        <f t="shared" si="37"/>
        <v>68.760000000000005</v>
      </c>
      <c r="R54" s="115">
        <f t="shared" si="37"/>
        <v>629.86</v>
      </c>
      <c r="S54" s="115">
        <f t="shared" si="37"/>
        <v>100.25</v>
      </c>
      <c r="T54" s="115">
        <f>SUM(H54:S54)</f>
        <v>2840.51</v>
      </c>
      <c r="U54" s="45"/>
      <c r="V54" s="45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0"/>
      <c r="AH54" s="260"/>
      <c r="AI54" s="5"/>
      <c r="AL54" s="43"/>
      <c r="AM54" s="5"/>
      <c r="AN54" s="5"/>
      <c r="AO54" s="5"/>
      <c r="AP54" s="1"/>
      <c r="AQ54" s="138"/>
      <c r="AR54" s="5"/>
      <c r="AS54" s="5"/>
      <c r="AT54" s="259"/>
      <c r="AU54" s="41"/>
      <c r="AV54" s="119">
        <f ca="1">SUM(AV49:OFFSET(AV54,-1,0))</f>
        <v>2840.51</v>
      </c>
      <c r="AW54" s="119">
        <f ca="1">SUM(AW49:OFFSET(AW54,-1,0))</f>
        <v>0</v>
      </c>
      <c r="AX54" s="216"/>
      <c r="AY54" s="41"/>
      <c r="AZ54" s="41"/>
      <c r="BA54" s="41"/>
      <c r="BB54" s="41"/>
      <c r="BC54" s="504"/>
      <c r="BD54" s="504"/>
    </row>
    <row r="55" spans="1:56" ht="12" customHeight="1">
      <c r="B55" s="19"/>
      <c r="C55" s="126"/>
      <c r="D55" s="112"/>
      <c r="E55" s="112"/>
      <c r="F55" s="252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19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M55" s="5"/>
      <c r="AN55" s="5"/>
      <c r="AO55" s="5"/>
      <c r="AQ55" s="138"/>
      <c r="AR55" s="5"/>
      <c r="AS55" s="5"/>
      <c r="AT55" s="253"/>
      <c r="AX55" s="216"/>
    </row>
    <row r="56" spans="1:56" ht="12" customHeight="1">
      <c r="A56" s="19" t="str">
        <f>"CITYPA-M"&amp;B56</f>
        <v>CITYPA-MROMILL - W</v>
      </c>
      <c r="B56" s="141" t="s">
        <v>329</v>
      </c>
      <c r="C56" s="139" t="s">
        <v>328</v>
      </c>
      <c r="D56" s="132">
        <v>2435.4899999999998</v>
      </c>
      <c r="E56" s="132">
        <f>D56</f>
        <v>2435.4899999999998</v>
      </c>
      <c r="F56" s="238">
        <v>39</v>
      </c>
      <c r="G56" s="48"/>
      <c r="H56" s="68">
        <v>19483.919999999998</v>
      </c>
      <c r="I56" s="68">
        <v>17048.43</v>
      </c>
      <c r="J56" s="68">
        <v>9741.9599999999991</v>
      </c>
      <c r="K56" s="68">
        <v>12177.45</v>
      </c>
      <c r="L56" s="68">
        <v>2435.4899999999998</v>
      </c>
      <c r="M56" s="68">
        <v>14612.94</v>
      </c>
      <c r="N56" s="68">
        <v>21919.41</v>
      </c>
      <c r="O56" s="68">
        <v>4870.9799999999996</v>
      </c>
      <c r="P56" s="68">
        <v>14612.94</v>
      </c>
      <c r="Q56" s="68">
        <v>14612.94</v>
      </c>
      <c r="R56" s="68">
        <v>4870.9799999999996</v>
      </c>
      <c r="S56" s="68">
        <v>17048.43</v>
      </c>
      <c r="T56" s="261">
        <f>SUM(H56:S56)</f>
        <v>153435.87</v>
      </c>
      <c r="U56" s="141">
        <v>31020</v>
      </c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75">
        <v>1</v>
      </c>
      <c r="AL56" s="262"/>
      <c r="AM56" s="5"/>
      <c r="AN56" s="5"/>
      <c r="AO56" s="5"/>
      <c r="AQ56" s="137"/>
      <c r="AR56" s="5"/>
      <c r="AS56" s="5"/>
      <c r="AT56" s="262"/>
      <c r="AU56" s="263"/>
      <c r="AV56" s="264"/>
      <c r="AW56" s="264"/>
      <c r="AX56" s="216"/>
      <c r="AY56" s="5"/>
      <c r="AZ56" s="5"/>
      <c r="BA56" s="5"/>
      <c r="BB56" s="5"/>
    </row>
    <row r="57" spans="1:56" ht="12" customHeight="1">
      <c r="A57" s="19" t="str">
        <f>"CITYPA-M"&amp;B57</f>
        <v>CITYPA-MROMILL-C</v>
      </c>
      <c r="B57" s="141" t="s">
        <v>331</v>
      </c>
      <c r="C57" s="139" t="s">
        <v>328</v>
      </c>
      <c r="D57" s="132">
        <v>1782.77</v>
      </c>
      <c r="E57" s="132">
        <v>1828.73</v>
      </c>
      <c r="F57" s="238">
        <v>39</v>
      </c>
      <c r="G57" s="48"/>
      <c r="H57" s="68">
        <v>105183.43</v>
      </c>
      <c r="I57" s="68">
        <v>23176.01</v>
      </c>
      <c r="J57" s="68">
        <v>32089.86</v>
      </c>
      <c r="K57" s="68">
        <v>8913.85</v>
      </c>
      <c r="L57" s="68">
        <v>24958.78</v>
      </c>
      <c r="M57" s="68">
        <v>24958.78</v>
      </c>
      <c r="N57" s="68">
        <v>44569.25</v>
      </c>
      <c r="O57" s="68">
        <v>35655.4</v>
      </c>
      <c r="P57" s="68">
        <v>30307.09</v>
      </c>
      <c r="Q57" s="68">
        <v>44569.25</v>
      </c>
      <c r="R57" s="68">
        <v>37438.17</v>
      </c>
      <c r="S57" s="68">
        <v>23773.49</v>
      </c>
      <c r="T57" s="261">
        <f>SUM(H57:S57)</f>
        <v>435593.36</v>
      </c>
      <c r="U57" s="141">
        <v>31020</v>
      </c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75">
        <v>1</v>
      </c>
      <c r="AL57" s="262"/>
      <c r="AM57" s="5"/>
      <c r="AN57" s="5"/>
      <c r="AO57" s="5"/>
      <c r="AQ57" s="137"/>
      <c r="AR57" s="5"/>
      <c r="AS57" s="5"/>
      <c r="AT57" s="262"/>
      <c r="AU57" s="263"/>
      <c r="AV57" s="264"/>
      <c r="AW57" s="264"/>
      <c r="AX57" s="216"/>
      <c r="AY57" s="5"/>
      <c r="AZ57" s="5"/>
      <c r="BA57" s="5"/>
      <c r="BB57" s="5"/>
    </row>
    <row r="58" spans="1:56" customFormat="1" ht="12" customHeight="1">
      <c r="AU58" s="129"/>
      <c r="AV58" s="129"/>
      <c r="AW58" s="129"/>
      <c r="AX58" s="216"/>
      <c r="AY58" s="5"/>
      <c r="AZ58" s="5"/>
      <c r="BA58" s="5"/>
      <c r="BB58" s="5"/>
      <c r="BC58" s="498"/>
      <c r="BD58" s="498"/>
    </row>
    <row r="59" spans="1:56" s="41" customFormat="1" ht="12" customHeight="1">
      <c r="B59" s="45"/>
      <c r="C59" s="112"/>
      <c r="D59" s="112"/>
      <c r="E59" s="112"/>
      <c r="F59" s="108"/>
      <c r="G59" s="108"/>
      <c r="H59" s="115">
        <f t="shared" ref="H59:T59" si="38">SUM(H56:H57)</f>
        <v>124667.34999999999</v>
      </c>
      <c r="I59" s="115">
        <f t="shared" si="38"/>
        <v>40224.44</v>
      </c>
      <c r="J59" s="115">
        <f t="shared" si="38"/>
        <v>41831.82</v>
      </c>
      <c r="K59" s="115">
        <f t="shared" si="38"/>
        <v>21091.300000000003</v>
      </c>
      <c r="L59" s="115">
        <f t="shared" si="38"/>
        <v>27394.269999999997</v>
      </c>
      <c r="M59" s="115">
        <f t="shared" si="38"/>
        <v>39571.72</v>
      </c>
      <c r="N59" s="115">
        <f t="shared" si="38"/>
        <v>66488.66</v>
      </c>
      <c r="O59" s="115">
        <f t="shared" si="38"/>
        <v>40526.380000000005</v>
      </c>
      <c r="P59" s="115">
        <f t="shared" si="38"/>
        <v>44920.03</v>
      </c>
      <c r="Q59" s="115">
        <f t="shared" si="38"/>
        <v>59182.19</v>
      </c>
      <c r="R59" s="115">
        <f t="shared" si="38"/>
        <v>42309.149999999994</v>
      </c>
      <c r="S59" s="115">
        <f t="shared" si="38"/>
        <v>40821.919999999998</v>
      </c>
      <c r="T59" s="115">
        <f t="shared" si="38"/>
        <v>589029.23</v>
      </c>
      <c r="U59" s="45"/>
      <c r="V59" s="10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5"/>
      <c r="AL59" s="7"/>
      <c r="AM59" s="5"/>
      <c r="AN59" s="5"/>
      <c r="AO59" s="5"/>
      <c r="AP59" s="1"/>
      <c r="AQ59" s="133"/>
      <c r="AR59" s="5"/>
      <c r="AS59" s="5"/>
      <c r="AT59" s="7"/>
      <c r="AU59" s="5"/>
      <c r="AV59" s="5"/>
      <c r="AW59" s="5"/>
      <c r="AX59" s="216"/>
      <c r="AY59" s="5"/>
      <c r="AZ59" s="5"/>
      <c r="BA59" s="5"/>
      <c r="BB59" s="5"/>
      <c r="BC59" s="506"/>
      <c r="BD59" s="506"/>
    </row>
    <row r="60" spans="1:56" ht="12" customHeight="1">
      <c r="B60" s="19"/>
      <c r="C60" s="126"/>
      <c r="D60" s="112"/>
      <c r="E60" s="112"/>
      <c r="F60" s="48"/>
      <c r="G60" s="4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173"/>
      <c r="U60" s="19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M60" s="5"/>
      <c r="AN60" s="5"/>
      <c r="AO60" s="5"/>
      <c r="AQ60" s="133"/>
      <c r="AR60" s="5"/>
      <c r="AS60" s="5"/>
      <c r="AU60" s="3"/>
      <c r="AV60" s="119">
        <f ca="1">SUM(AV56:OFFSET(AV60,-1,0))</f>
        <v>0</v>
      </c>
      <c r="AW60" s="119">
        <f ca="1">SUM(AW56:OFFSET(AW60,-1,0))</f>
        <v>0</v>
      </c>
      <c r="AX60" s="216"/>
      <c r="AY60" s="3"/>
      <c r="AZ60" s="3"/>
      <c r="BA60" s="3"/>
      <c r="BB60" s="3"/>
    </row>
    <row r="61" spans="1:56" ht="12" customHeight="1">
      <c r="B61" s="19"/>
      <c r="C61" s="126"/>
      <c r="D61" s="112"/>
      <c r="E61" s="112"/>
      <c r="F61" s="48"/>
      <c r="G61" s="4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173"/>
      <c r="U61" s="19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M61" s="5"/>
      <c r="AN61" s="5"/>
      <c r="AO61" s="5"/>
      <c r="AQ61" s="133"/>
      <c r="AR61" s="5"/>
      <c r="AS61" s="5"/>
      <c r="AX61" s="216"/>
    </row>
    <row r="62" spans="1:56" ht="12" customHeight="1">
      <c r="B62" s="19"/>
      <c r="C62" s="126"/>
      <c r="D62" s="112"/>
      <c r="E62" s="112"/>
      <c r="F62" s="48"/>
      <c r="G62" s="4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173"/>
      <c r="U62" s="19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M62" s="5"/>
      <c r="AN62" s="5"/>
      <c r="AO62" s="5"/>
      <c r="AQ62" s="133"/>
      <c r="AR62" s="5"/>
      <c r="AS62" s="5"/>
    </row>
    <row r="63" spans="1:56" ht="12" customHeight="1" thickBot="1">
      <c r="B63" s="19"/>
      <c r="C63" s="126"/>
      <c r="D63" s="112"/>
      <c r="E63" s="112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19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M63" s="5"/>
      <c r="AN63" s="5"/>
      <c r="AO63" s="5"/>
      <c r="AQ63" s="133"/>
      <c r="AR63" s="5"/>
      <c r="AS63" s="5"/>
    </row>
    <row r="64" spans="1:56" s="41" customFormat="1" ht="12" customHeight="1" thickBot="1">
      <c r="B64" s="155"/>
      <c r="C64" s="112" t="s">
        <v>332</v>
      </c>
      <c r="D64" s="112"/>
      <c r="E64" s="112"/>
      <c r="F64" s="108"/>
      <c r="G64" s="108"/>
      <c r="H64" s="115">
        <f t="shared" ref="H64:S64" si="39">SUM(H21,H44,H49,H54,H59)</f>
        <v>173662.84</v>
      </c>
      <c r="I64" s="115">
        <f t="shared" si="39"/>
        <v>78548.819999999992</v>
      </c>
      <c r="J64" s="115">
        <f t="shared" si="39"/>
        <v>86648.76</v>
      </c>
      <c r="K64" s="115">
        <f t="shared" si="39"/>
        <v>54130.500000000007</v>
      </c>
      <c r="L64" s="115">
        <f t="shared" si="39"/>
        <v>61231.579999999994</v>
      </c>
      <c r="M64" s="115">
        <f t="shared" si="39"/>
        <v>77863.600000000006</v>
      </c>
      <c r="N64" s="115">
        <f t="shared" si="39"/>
        <v>105789.09</v>
      </c>
      <c r="O64" s="115">
        <f t="shared" si="39"/>
        <v>81713.390000000014</v>
      </c>
      <c r="P64" s="115">
        <f t="shared" si="39"/>
        <v>76936.03</v>
      </c>
      <c r="Q64" s="115">
        <f t="shared" si="39"/>
        <v>98290.27</v>
      </c>
      <c r="R64" s="115">
        <f t="shared" si="39"/>
        <v>76092.939999999988</v>
      </c>
      <c r="S64" s="115">
        <f t="shared" si="39"/>
        <v>69548.19</v>
      </c>
      <c r="T64" s="115">
        <f>SUM(H64:S64)</f>
        <v>1040456.01</v>
      </c>
      <c r="U64" s="45"/>
      <c r="V64" s="10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5"/>
      <c r="AL64" s="7"/>
      <c r="AM64" s="5"/>
      <c r="AN64" s="5"/>
      <c r="AO64" s="118">
        <f>AO21+AO44</f>
        <v>0</v>
      </c>
      <c r="AP64"/>
      <c r="AQ64" s="118">
        <f>AQ21+AQ44</f>
        <v>29.857776466755169</v>
      </c>
      <c r="AR64"/>
      <c r="AS64" s="118">
        <f>AS21+AS44</f>
        <v>25.585847654029472</v>
      </c>
      <c r="AT64" s="7"/>
      <c r="BC64" s="506"/>
      <c r="BD64" s="506"/>
    </row>
    <row r="65" spans="2:54">
      <c r="B65" s="154"/>
      <c r="C65" s="154"/>
      <c r="D65" s="155"/>
      <c r="E65" s="155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19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M65" s="5"/>
      <c r="AN65" s="5"/>
      <c r="AO65" s="5"/>
      <c r="AQ65" s="136"/>
      <c r="AR65" s="5"/>
      <c r="AS65" s="5"/>
    </row>
    <row r="66" spans="2:54">
      <c r="B66" s="48"/>
      <c r="C66" s="48"/>
      <c r="D66" s="108"/>
      <c r="E66" s="108"/>
      <c r="F66" s="48"/>
      <c r="G66" s="48"/>
      <c r="H66" s="265"/>
      <c r="I66" s="266"/>
      <c r="J66" s="266"/>
      <c r="K66" s="266"/>
      <c r="L66" s="266"/>
      <c r="M66" s="266"/>
      <c r="N66" s="266"/>
      <c r="O66" s="266"/>
      <c r="P66" s="266"/>
      <c r="Q66" s="266"/>
      <c r="R66" s="266"/>
      <c r="S66" s="266"/>
      <c r="T66" s="48"/>
      <c r="U66" s="19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M66" s="5"/>
      <c r="AN66" s="5"/>
      <c r="AO66" s="5"/>
      <c r="AQ66" s="133"/>
      <c r="AR66" s="5"/>
      <c r="AS66" s="5"/>
    </row>
    <row r="67" spans="2:54">
      <c r="B67" s="48"/>
      <c r="C67" s="48"/>
      <c r="D67" s="108"/>
      <c r="E67" s="10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19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M67" s="5"/>
      <c r="AN67" s="5"/>
      <c r="AO67" s="5"/>
      <c r="AQ67" s="133"/>
      <c r="AR67" s="5"/>
      <c r="AS67" s="5"/>
    </row>
    <row r="68" spans="2:54" ht="13.5" thickBot="1">
      <c r="B68" s="48"/>
      <c r="C68" s="48"/>
      <c r="D68" s="108"/>
      <c r="E68" s="10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19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M68" s="5"/>
      <c r="AN68" s="5"/>
      <c r="AO68" s="5"/>
      <c r="AQ68" s="136"/>
      <c r="AR68" s="5"/>
      <c r="AS68" s="5"/>
    </row>
    <row r="69" spans="2:54" ht="13.5" thickBot="1">
      <c r="B69" s="48"/>
      <c r="C69" s="48"/>
      <c r="D69" s="108"/>
      <c r="E69" s="10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19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M69" s="5"/>
      <c r="AN69" s="5"/>
      <c r="AO69" s="5"/>
      <c r="AQ69" s="133"/>
      <c r="AR69" s="5"/>
      <c r="AS69" s="5"/>
      <c r="AU69" s="118">
        <f>+AS69+AQ69+AO69</f>
        <v>0</v>
      </c>
      <c r="AV69" s="41"/>
      <c r="AW69" s="41"/>
      <c r="AX69" s="41"/>
      <c r="AY69" s="41"/>
      <c r="AZ69" s="41"/>
      <c r="BA69" s="41"/>
      <c r="BB69" s="41"/>
    </row>
    <row r="70" spans="2:54">
      <c r="B70" s="48"/>
      <c r="C70" s="48"/>
      <c r="D70" s="108"/>
      <c r="E70" s="10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19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M70" s="5"/>
      <c r="AN70" s="5"/>
      <c r="AO70" s="133"/>
      <c r="AQ70" s="133"/>
      <c r="AR70" s="5"/>
      <c r="AS70" s="5"/>
    </row>
    <row r="71" spans="2:54">
      <c r="B71" s="48"/>
      <c r="C71" s="48"/>
      <c r="D71" s="108"/>
      <c r="E71" s="10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19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M71" s="5"/>
      <c r="AN71" s="5"/>
      <c r="AO71" s="5"/>
      <c r="AQ71" s="133"/>
      <c r="AR71" s="5"/>
      <c r="AS71" s="5"/>
      <c r="AU71" s="1" t="s">
        <v>13</v>
      </c>
      <c r="AV71" s="119">
        <f ca="1">SUM(AV60,AV54,AV44,AV21,AV47)</f>
        <v>520611.42586251808</v>
      </c>
      <c r="AW71" s="119">
        <f ca="1">SUM(AW60,AW54,AW44,AW21)</f>
        <v>68596.81780603301</v>
      </c>
    </row>
    <row r="72" spans="2:54">
      <c r="B72" s="48"/>
      <c r="C72" s="48"/>
      <c r="D72" s="108"/>
      <c r="E72" s="108"/>
      <c r="F72" s="48"/>
      <c r="G72" s="48"/>
      <c r="H72" s="267"/>
      <c r="I72" s="267"/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48"/>
      <c r="U72" s="19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M72" s="5"/>
      <c r="AN72" s="5"/>
      <c r="AO72" s="5"/>
      <c r="AQ72" s="133"/>
      <c r="AR72" s="5"/>
      <c r="AS72" s="5"/>
    </row>
    <row r="73" spans="2:54">
      <c r="B73" s="48"/>
      <c r="C73" s="48"/>
      <c r="D73" s="108"/>
      <c r="E73" s="10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19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M73" s="5"/>
      <c r="AN73" s="5"/>
      <c r="AO73" s="5"/>
      <c r="AQ73" s="133"/>
      <c r="AR73" s="5"/>
      <c r="AS73" s="5"/>
    </row>
    <row r="74" spans="2:54">
      <c r="B74" s="48"/>
      <c r="C74" s="48"/>
      <c r="D74" s="108"/>
      <c r="E74" s="10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19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M74" s="5"/>
      <c r="AN74" s="5"/>
      <c r="AO74" s="5"/>
      <c r="AQ74" s="133"/>
      <c r="AR74" s="5"/>
      <c r="AS74" s="5"/>
    </row>
    <row r="75" spans="2:54">
      <c r="B75" s="48"/>
      <c r="C75" s="48"/>
      <c r="D75" s="108"/>
      <c r="E75" s="10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19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M75" s="5"/>
      <c r="AN75" s="5"/>
      <c r="AO75" s="5"/>
      <c r="AQ75" s="133"/>
      <c r="AR75" s="5"/>
      <c r="AS75" s="5"/>
    </row>
    <row r="76" spans="2:54">
      <c r="B76" s="48"/>
      <c r="C76" s="48"/>
      <c r="D76" s="108"/>
      <c r="E76" s="10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19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M76" s="5"/>
      <c r="AN76" s="5"/>
      <c r="AO76" s="5"/>
      <c r="AQ76" s="136"/>
      <c r="AR76" s="5"/>
      <c r="AS76" s="5"/>
    </row>
    <row r="77" spans="2:54">
      <c r="B77" s="48"/>
      <c r="C77" s="48"/>
      <c r="D77" s="108"/>
      <c r="E77" s="10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19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M77" s="5"/>
      <c r="AN77" s="5"/>
      <c r="AO77" s="5"/>
      <c r="AQ77" s="133"/>
      <c r="AR77" s="5"/>
      <c r="AS77" s="5"/>
    </row>
    <row r="78" spans="2:54">
      <c r="B78" s="48"/>
      <c r="C78" s="48"/>
      <c r="D78" s="108"/>
      <c r="E78" s="10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19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M78" s="5"/>
      <c r="AN78" s="5"/>
      <c r="AO78" s="5"/>
      <c r="AQ78" s="136"/>
      <c r="AR78" s="5"/>
      <c r="AS78" s="5"/>
    </row>
    <row r="79" spans="2:54">
      <c r="B79" s="48"/>
      <c r="C79" s="48"/>
      <c r="D79" s="108"/>
      <c r="E79" s="10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19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M79" s="5"/>
      <c r="AN79" s="5"/>
      <c r="AO79" s="5"/>
      <c r="AQ79" s="136"/>
      <c r="AR79" s="5"/>
      <c r="AS79" s="5"/>
    </row>
    <row r="80" spans="2:54">
      <c r="B80" s="48"/>
      <c r="C80" s="48"/>
      <c r="D80" s="108"/>
      <c r="E80" s="10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19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M80" s="5"/>
      <c r="AN80" s="5"/>
      <c r="AO80" s="5"/>
      <c r="AQ80" s="133"/>
      <c r="AR80" s="5"/>
      <c r="AS80" s="5"/>
    </row>
    <row r="81" spans="2:45">
      <c r="B81" s="48"/>
      <c r="C81" s="48"/>
      <c r="D81" s="108"/>
      <c r="E81" s="10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19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M81" s="5"/>
      <c r="AN81" s="5"/>
      <c r="AO81" s="5"/>
      <c r="AQ81" s="133"/>
      <c r="AR81" s="5"/>
      <c r="AS81" s="5"/>
    </row>
    <row r="82" spans="2:45">
      <c r="B82" s="48"/>
      <c r="C82" s="48"/>
      <c r="D82" s="108"/>
      <c r="E82" s="10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19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M82" s="5"/>
      <c r="AN82" s="5"/>
      <c r="AO82" s="5"/>
      <c r="AQ82" s="133"/>
      <c r="AR82" s="5"/>
      <c r="AS82" s="5"/>
    </row>
    <row r="83" spans="2:45">
      <c r="B83" s="48"/>
      <c r="C83" s="48"/>
      <c r="D83" s="108"/>
      <c r="E83" s="10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19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M83" s="5"/>
      <c r="AN83" s="5"/>
      <c r="AO83" s="5"/>
      <c r="AQ83" s="136"/>
      <c r="AR83" s="5"/>
      <c r="AS83" s="5"/>
    </row>
    <row r="84" spans="2:45">
      <c r="B84" s="48"/>
      <c r="C84" s="48"/>
      <c r="D84" s="108"/>
      <c r="E84" s="10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19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M84" s="5"/>
      <c r="AN84" s="5"/>
      <c r="AO84" s="5"/>
      <c r="AQ84" s="133"/>
      <c r="AR84" s="5"/>
      <c r="AS84" s="5"/>
    </row>
    <row r="85" spans="2:45">
      <c r="B85" s="48"/>
      <c r="C85" s="48"/>
      <c r="D85" s="108"/>
      <c r="E85" s="10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19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M85" s="5"/>
      <c r="AN85" s="5"/>
      <c r="AO85" s="5"/>
      <c r="AQ85" s="133"/>
      <c r="AR85" s="5"/>
      <c r="AS85" s="5"/>
    </row>
    <row r="86" spans="2:45">
      <c r="B86" s="48"/>
      <c r="C86" s="48"/>
      <c r="D86" s="108"/>
      <c r="E86" s="10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19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M86" s="5"/>
      <c r="AN86" s="5"/>
      <c r="AO86" s="5"/>
      <c r="AQ86" s="133"/>
      <c r="AR86" s="5"/>
      <c r="AS86" s="5"/>
    </row>
    <row r="87" spans="2:45">
      <c r="B87" s="48"/>
      <c r="C87" s="48"/>
      <c r="D87" s="108"/>
      <c r="E87" s="10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19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M87" s="5"/>
      <c r="AN87" s="5"/>
      <c r="AO87" s="5"/>
      <c r="AQ87" s="133"/>
      <c r="AR87" s="5"/>
      <c r="AS87" s="5"/>
    </row>
    <row r="88" spans="2:45">
      <c r="B88" s="48"/>
      <c r="C88" s="48"/>
      <c r="D88" s="108"/>
      <c r="E88" s="10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19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M88" s="5"/>
      <c r="AN88" s="5"/>
      <c r="AO88" s="5"/>
      <c r="AQ88" s="133"/>
      <c r="AR88" s="5"/>
      <c r="AS88" s="5"/>
    </row>
    <row r="89" spans="2:45">
      <c r="B89" s="48"/>
      <c r="C89" s="48"/>
      <c r="D89" s="108"/>
      <c r="E89" s="10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19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M89" s="5"/>
      <c r="AN89" s="5"/>
      <c r="AO89" s="5"/>
      <c r="AQ89" s="136"/>
      <c r="AR89" s="5"/>
      <c r="AS89" s="5"/>
    </row>
    <row r="90" spans="2:45">
      <c r="B90" s="48"/>
      <c r="C90" s="48"/>
      <c r="D90" s="108"/>
      <c r="E90" s="10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19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M90" s="5"/>
      <c r="AN90" s="5"/>
      <c r="AO90" s="5"/>
      <c r="AQ90" s="136"/>
      <c r="AR90" s="5"/>
      <c r="AS90" s="5"/>
    </row>
    <row r="91" spans="2:45">
      <c r="B91" s="48"/>
      <c r="C91" s="48"/>
      <c r="D91" s="108"/>
      <c r="E91" s="10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19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M91" s="5"/>
      <c r="AN91" s="5"/>
      <c r="AO91" s="5"/>
      <c r="AQ91" s="133"/>
      <c r="AR91" s="5"/>
      <c r="AS91" s="5"/>
    </row>
    <row r="92" spans="2:45">
      <c r="B92" s="48"/>
      <c r="C92" s="48"/>
      <c r="D92" s="108"/>
      <c r="E92" s="10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19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M92" s="5"/>
      <c r="AN92" s="5"/>
      <c r="AO92" s="133"/>
      <c r="AQ92" s="133"/>
      <c r="AR92" s="5"/>
      <c r="AS92" s="5"/>
    </row>
    <row r="93" spans="2:45">
      <c r="B93" s="48"/>
      <c r="C93" s="48"/>
      <c r="D93" s="108"/>
      <c r="E93" s="10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19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M93" s="5"/>
      <c r="AN93" s="5"/>
      <c r="AO93" s="5"/>
      <c r="AQ93" s="136"/>
      <c r="AR93" s="5"/>
      <c r="AS93" s="5"/>
    </row>
    <row r="94" spans="2:45">
      <c r="B94" s="48"/>
      <c r="C94" s="48"/>
      <c r="D94" s="108"/>
      <c r="E94" s="10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19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M94" s="5"/>
      <c r="AN94" s="5"/>
      <c r="AO94" s="133"/>
      <c r="AQ94" s="133"/>
      <c r="AR94" s="5"/>
      <c r="AS94" s="5"/>
    </row>
    <row r="95" spans="2:45">
      <c r="B95" s="48"/>
      <c r="C95" s="48"/>
      <c r="D95" s="108"/>
      <c r="E95" s="10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19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M95" s="5"/>
      <c r="AN95" s="5"/>
      <c r="AO95" s="133"/>
      <c r="AQ95" s="133"/>
      <c r="AR95" s="5"/>
      <c r="AS95" s="5"/>
    </row>
    <row r="96" spans="2:45">
      <c r="B96" s="48"/>
      <c r="C96" s="48"/>
      <c r="D96" s="108"/>
      <c r="E96" s="10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19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M96" s="5"/>
      <c r="AN96" s="5"/>
      <c r="AO96" s="5"/>
      <c r="AQ96" s="133"/>
      <c r="AR96" s="5"/>
      <c r="AS96" s="5"/>
    </row>
    <row r="97" spans="2:45">
      <c r="B97" s="48"/>
      <c r="C97" s="48"/>
      <c r="D97" s="108"/>
      <c r="E97" s="10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19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M97" s="5"/>
      <c r="AN97" s="5"/>
      <c r="AO97" s="5"/>
      <c r="AQ97" s="133"/>
      <c r="AR97" s="5"/>
      <c r="AS97" s="5"/>
    </row>
    <row r="98" spans="2:45">
      <c r="B98" s="48"/>
      <c r="C98" s="48"/>
      <c r="D98" s="108"/>
      <c r="E98" s="10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19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M98" s="5"/>
      <c r="AN98" s="5"/>
      <c r="AO98" s="5"/>
      <c r="AQ98" s="133"/>
      <c r="AR98" s="5"/>
      <c r="AS98" s="5"/>
    </row>
    <row r="99" spans="2:45">
      <c r="B99" s="48"/>
      <c r="C99" s="48"/>
      <c r="D99" s="108"/>
      <c r="E99" s="10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19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M99" s="5"/>
      <c r="AN99" s="5"/>
      <c r="AO99" s="5"/>
      <c r="AQ99" s="133"/>
      <c r="AR99" s="5"/>
      <c r="AS99" s="5"/>
    </row>
    <row r="100" spans="2:45">
      <c r="B100" s="48"/>
      <c r="C100" s="48"/>
      <c r="D100" s="108"/>
      <c r="E100" s="10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19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M100" s="5"/>
      <c r="AN100" s="5"/>
      <c r="AO100" s="5"/>
      <c r="AQ100" s="133"/>
      <c r="AR100" s="5"/>
      <c r="AS100" s="5"/>
    </row>
    <row r="101" spans="2:45">
      <c r="B101" s="48"/>
      <c r="C101" s="48"/>
      <c r="D101" s="108"/>
      <c r="E101" s="10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19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M101" s="5"/>
      <c r="AN101" s="5"/>
      <c r="AO101" s="5"/>
      <c r="AQ101" s="133"/>
      <c r="AR101" s="5"/>
      <c r="AS101" s="5"/>
    </row>
    <row r="102" spans="2:45">
      <c r="B102" s="48"/>
      <c r="C102" s="48"/>
      <c r="D102" s="108"/>
      <c r="E102" s="10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19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M102" s="5"/>
      <c r="AO102" s="133"/>
      <c r="AQ102" s="133"/>
      <c r="AR102" s="5"/>
      <c r="AS102" s="5"/>
    </row>
    <row r="103" spans="2:45">
      <c r="B103" s="48"/>
      <c r="C103" s="48"/>
      <c r="D103" s="108"/>
      <c r="E103" s="10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19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M103" s="5"/>
      <c r="AN103" s="5"/>
      <c r="AO103" s="5"/>
      <c r="AQ103" s="136"/>
      <c r="AR103" s="5"/>
      <c r="AS103" s="5"/>
    </row>
    <row r="104" spans="2:45">
      <c r="B104" s="48"/>
      <c r="C104" s="48"/>
      <c r="D104" s="108"/>
      <c r="E104" s="10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19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M104" s="5"/>
      <c r="AN104" s="5"/>
      <c r="AO104" s="5"/>
      <c r="AQ104" s="136"/>
      <c r="AR104" s="5"/>
      <c r="AS104" s="5"/>
    </row>
    <row r="105" spans="2:45">
      <c r="B105" s="48"/>
      <c r="C105" s="48"/>
      <c r="D105" s="108"/>
      <c r="E105" s="10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19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M105" s="5"/>
      <c r="AN105" s="5"/>
      <c r="AO105" s="5"/>
      <c r="AQ105" s="133"/>
      <c r="AR105" s="5"/>
      <c r="AS105" s="5"/>
    </row>
    <row r="106" spans="2:45">
      <c r="B106" s="48"/>
      <c r="C106" s="48"/>
      <c r="D106" s="108"/>
      <c r="E106" s="10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19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M106" s="5"/>
      <c r="AN106" s="5"/>
      <c r="AO106" s="5"/>
      <c r="AQ106" s="136"/>
      <c r="AR106" s="5"/>
      <c r="AS106" s="5"/>
    </row>
    <row r="107" spans="2:45">
      <c r="B107" s="48"/>
      <c r="C107" s="48"/>
      <c r="D107" s="108"/>
      <c r="E107" s="10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19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M107" s="5"/>
      <c r="AN107" s="5"/>
      <c r="AO107" s="5"/>
      <c r="AQ107" s="136"/>
      <c r="AR107" s="5"/>
      <c r="AS107" s="5"/>
    </row>
    <row r="108" spans="2:45">
      <c r="B108" s="48"/>
      <c r="C108" s="48"/>
      <c r="D108" s="108"/>
      <c r="E108" s="10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19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M108" s="5"/>
      <c r="AN108" s="5"/>
      <c r="AO108" s="5"/>
      <c r="AQ108" s="133"/>
      <c r="AR108" s="5"/>
      <c r="AS108" s="5"/>
    </row>
    <row r="109" spans="2:45">
      <c r="B109" s="48"/>
      <c r="C109" s="48"/>
      <c r="D109" s="108"/>
      <c r="E109" s="10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19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M109" s="5"/>
      <c r="AN109" s="5"/>
      <c r="AO109" s="5"/>
      <c r="AQ109" s="133"/>
      <c r="AR109" s="5"/>
      <c r="AS109" s="5"/>
    </row>
    <row r="110" spans="2:45">
      <c r="B110" s="48"/>
      <c r="C110" s="48"/>
      <c r="D110" s="108"/>
      <c r="E110" s="10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19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M110" s="5"/>
      <c r="AN110" s="5"/>
      <c r="AO110" s="5"/>
      <c r="AQ110" s="136"/>
      <c r="AR110" s="5"/>
      <c r="AS110" s="5"/>
    </row>
    <row r="111" spans="2:45">
      <c r="B111" s="48"/>
      <c r="C111" s="48"/>
      <c r="D111" s="108"/>
      <c r="E111" s="10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19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M111" s="5"/>
      <c r="AN111" s="5"/>
      <c r="AO111" s="5"/>
      <c r="AQ111" s="136"/>
      <c r="AR111" s="5"/>
      <c r="AS111" s="5"/>
    </row>
    <row r="112" spans="2:45">
      <c r="B112" s="48"/>
      <c r="C112" s="48"/>
      <c r="D112" s="108"/>
      <c r="E112" s="10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19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M112" s="5"/>
      <c r="AN112" s="5"/>
      <c r="AO112" s="5"/>
      <c r="AQ112" s="133"/>
      <c r="AR112" s="5"/>
      <c r="AS112" s="5"/>
    </row>
    <row r="113" spans="2:47">
      <c r="B113" s="48"/>
      <c r="C113" s="48"/>
      <c r="D113" s="108"/>
      <c r="E113" s="10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19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M113" s="5"/>
      <c r="AN113" s="5"/>
      <c r="AO113" s="5"/>
      <c r="AQ113" s="133"/>
      <c r="AR113" s="5"/>
      <c r="AS113" s="5"/>
    </row>
    <row r="114" spans="2:47">
      <c r="B114" s="48"/>
      <c r="C114" s="48"/>
      <c r="D114" s="108"/>
      <c r="E114" s="10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19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M114" s="5"/>
      <c r="AN114" s="5"/>
      <c r="AO114" s="5"/>
      <c r="AQ114" s="136"/>
      <c r="AR114" s="5"/>
      <c r="AS114" s="5"/>
    </row>
    <row r="115" spans="2:47" ht="15">
      <c r="B115" s="48"/>
      <c r="C115" s="48"/>
      <c r="D115" s="108"/>
      <c r="E115" s="10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19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M115" s="5"/>
      <c r="AN115"/>
      <c r="AO115"/>
      <c r="AP115"/>
      <c r="AQ115"/>
      <c r="AR115"/>
      <c r="AS115"/>
      <c r="AT115"/>
      <c r="AU115"/>
    </row>
    <row r="116" spans="2:47" ht="15">
      <c r="B116" s="48"/>
      <c r="C116" s="48"/>
      <c r="D116" s="108"/>
      <c r="E116" s="10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19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M116" s="5"/>
      <c r="AN116"/>
      <c r="AO116"/>
      <c r="AP116"/>
      <c r="AQ116"/>
      <c r="AR116"/>
      <c r="AS116"/>
      <c r="AT116"/>
      <c r="AU116"/>
    </row>
    <row r="117" spans="2:47" ht="15">
      <c r="B117" s="48"/>
      <c r="C117" s="48"/>
      <c r="D117" s="108"/>
      <c r="E117" s="10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19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M117" s="5"/>
      <c r="AN117"/>
      <c r="AO117"/>
      <c r="AP117"/>
      <c r="AQ117"/>
      <c r="AR117"/>
      <c r="AS117"/>
      <c r="AT117"/>
      <c r="AU117"/>
    </row>
    <row r="118" spans="2:47" ht="15">
      <c r="B118" s="48"/>
      <c r="C118" s="48"/>
      <c r="D118" s="108"/>
      <c r="E118" s="10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19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M118" s="5"/>
      <c r="AN118"/>
      <c r="AO118"/>
      <c r="AP118"/>
      <c r="AQ118"/>
      <c r="AR118"/>
      <c r="AS118"/>
      <c r="AT118"/>
      <c r="AU118"/>
    </row>
    <row r="119" spans="2:47" ht="15">
      <c r="B119" s="48"/>
      <c r="C119" s="48"/>
      <c r="D119" s="108"/>
      <c r="E119" s="10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19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M119" s="5"/>
      <c r="AN119"/>
      <c r="AO119"/>
      <c r="AP119"/>
      <c r="AQ119"/>
      <c r="AR119"/>
      <c r="AS119"/>
      <c r="AT119"/>
      <c r="AU119"/>
    </row>
    <row r="120" spans="2:47" ht="15">
      <c r="B120" s="48"/>
      <c r="C120" s="48"/>
      <c r="D120" s="108"/>
      <c r="E120" s="10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19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M120" s="5"/>
      <c r="AN120"/>
      <c r="AO120"/>
      <c r="AP120"/>
      <c r="AQ120"/>
      <c r="AR120"/>
      <c r="AS120"/>
      <c r="AT120"/>
      <c r="AU120"/>
    </row>
    <row r="121" spans="2:47" ht="15">
      <c r="B121" s="48"/>
      <c r="C121" s="48"/>
      <c r="D121" s="108"/>
      <c r="E121" s="10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19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M121" s="5"/>
      <c r="AN121"/>
      <c r="AO121"/>
      <c r="AP121"/>
      <c r="AQ121"/>
      <c r="AR121"/>
      <c r="AS121"/>
      <c r="AT121"/>
      <c r="AU121"/>
    </row>
    <row r="122" spans="2:47" ht="15">
      <c r="B122" s="48"/>
      <c r="C122" s="48"/>
      <c r="D122" s="108"/>
      <c r="E122" s="10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19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M122" s="5"/>
      <c r="AN122"/>
      <c r="AO122"/>
      <c r="AP122"/>
      <c r="AQ122"/>
      <c r="AR122"/>
      <c r="AS122"/>
      <c r="AT122"/>
      <c r="AU122"/>
    </row>
    <row r="123" spans="2:47" ht="15">
      <c r="B123" s="48"/>
      <c r="C123" s="48"/>
      <c r="D123" s="108"/>
      <c r="E123" s="10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19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M123" s="5"/>
      <c r="AN123"/>
      <c r="AO123"/>
      <c r="AP123"/>
      <c r="AQ123"/>
      <c r="AR123"/>
      <c r="AS123"/>
      <c r="AT123"/>
      <c r="AU123"/>
    </row>
    <row r="124" spans="2:47" ht="15">
      <c r="B124" s="48"/>
      <c r="C124" s="48"/>
      <c r="D124" s="108"/>
      <c r="E124" s="10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19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M124" s="5"/>
      <c r="AN124"/>
      <c r="AO124"/>
      <c r="AP124"/>
      <c r="AQ124"/>
      <c r="AR124"/>
      <c r="AS124"/>
      <c r="AT124"/>
      <c r="AU124"/>
    </row>
    <row r="125" spans="2:47" ht="15">
      <c r="B125" s="48"/>
      <c r="C125" s="48"/>
      <c r="D125" s="108"/>
      <c r="E125" s="10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19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M125" s="5"/>
      <c r="AN125"/>
      <c r="AO125"/>
      <c r="AP125"/>
      <c r="AQ125"/>
      <c r="AR125"/>
      <c r="AS125"/>
      <c r="AT125"/>
      <c r="AU125"/>
    </row>
    <row r="126" spans="2:47" ht="15">
      <c r="B126" s="48"/>
      <c r="C126" s="48"/>
      <c r="D126" s="108"/>
      <c r="E126" s="10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M126" s="5"/>
      <c r="AN126"/>
      <c r="AO126"/>
      <c r="AP126"/>
      <c r="AQ126"/>
      <c r="AR126"/>
      <c r="AS126"/>
      <c r="AT126"/>
      <c r="AU126"/>
    </row>
    <row r="127" spans="2:47" ht="15">
      <c r="B127" s="48"/>
      <c r="C127" s="48"/>
      <c r="D127" s="108"/>
      <c r="E127" s="10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N127"/>
      <c r="AO127"/>
      <c r="AP127"/>
      <c r="AQ127"/>
      <c r="AR127"/>
      <c r="AS127"/>
      <c r="AT127"/>
      <c r="AU127"/>
    </row>
    <row r="128" spans="2:47" ht="15">
      <c r="B128" s="48"/>
      <c r="C128" s="48"/>
      <c r="D128" s="108"/>
      <c r="E128" s="10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N128"/>
      <c r="AO128"/>
      <c r="AP128"/>
      <c r="AQ128"/>
      <c r="AR128"/>
      <c r="AS128"/>
      <c r="AT128"/>
      <c r="AU128"/>
    </row>
    <row r="129" spans="2:47" ht="15">
      <c r="B129" s="48"/>
      <c r="C129" s="48"/>
      <c r="D129" s="108"/>
      <c r="E129" s="10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N129"/>
      <c r="AO129"/>
      <c r="AP129"/>
      <c r="AQ129"/>
      <c r="AR129"/>
      <c r="AS129"/>
      <c r="AT129"/>
      <c r="AU129"/>
    </row>
    <row r="130" spans="2:47" ht="15">
      <c r="B130" s="48"/>
      <c r="C130" s="48"/>
      <c r="D130" s="108"/>
      <c r="E130" s="10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N130"/>
      <c r="AO130"/>
      <c r="AP130"/>
      <c r="AQ130"/>
      <c r="AR130"/>
      <c r="AS130"/>
      <c r="AT130"/>
      <c r="AU130"/>
    </row>
    <row r="131" spans="2:47" ht="15">
      <c r="B131" s="48"/>
      <c r="C131" s="48"/>
      <c r="D131" s="108"/>
      <c r="E131" s="10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N131"/>
      <c r="AO131"/>
      <c r="AP131"/>
      <c r="AQ131"/>
      <c r="AR131"/>
      <c r="AS131"/>
      <c r="AT131"/>
      <c r="AU131"/>
    </row>
    <row r="132" spans="2:47" ht="15">
      <c r="B132" s="48"/>
      <c r="C132" s="48"/>
      <c r="D132" s="108"/>
      <c r="E132" s="10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N132"/>
      <c r="AO132"/>
      <c r="AP132"/>
      <c r="AQ132"/>
      <c r="AR132"/>
      <c r="AS132"/>
      <c r="AT132"/>
      <c r="AU132"/>
    </row>
    <row r="133" spans="2:47" ht="15">
      <c r="B133" s="48"/>
      <c r="C133" s="48"/>
      <c r="D133" s="108"/>
      <c r="E133" s="10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N133"/>
      <c r="AO133"/>
      <c r="AP133"/>
      <c r="AQ133"/>
      <c r="AR133"/>
      <c r="AS133"/>
      <c r="AT133"/>
      <c r="AU133"/>
    </row>
    <row r="134" spans="2:47" ht="15">
      <c r="B134" s="48"/>
      <c r="C134" s="48"/>
      <c r="D134" s="108"/>
      <c r="E134" s="10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N134"/>
      <c r="AO134"/>
      <c r="AP134"/>
      <c r="AQ134"/>
      <c r="AR134"/>
      <c r="AS134"/>
      <c r="AT134"/>
      <c r="AU134"/>
    </row>
    <row r="135" spans="2:47" ht="15">
      <c r="B135" s="48"/>
      <c r="C135" s="48"/>
      <c r="D135" s="108"/>
      <c r="E135" s="10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N135"/>
      <c r="AO135"/>
      <c r="AP135"/>
      <c r="AQ135"/>
      <c r="AR135"/>
      <c r="AS135"/>
      <c r="AT135"/>
      <c r="AU135"/>
    </row>
    <row r="136" spans="2:47" ht="15">
      <c r="B136" s="48"/>
      <c r="C136" s="48"/>
      <c r="D136" s="108"/>
      <c r="E136" s="10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N136"/>
      <c r="AO136"/>
      <c r="AP136"/>
      <c r="AQ136"/>
      <c r="AR136"/>
      <c r="AS136"/>
      <c r="AT136"/>
      <c r="AU136"/>
    </row>
    <row r="137" spans="2:47" ht="15">
      <c r="B137" s="48"/>
      <c r="C137" s="48"/>
      <c r="D137" s="108"/>
      <c r="E137" s="10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N137"/>
      <c r="AO137"/>
      <c r="AP137"/>
      <c r="AQ137"/>
      <c r="AR137"/>
      <c r="AS137"/>
      <c r="AT137"/>
      <c r="AU137"/>
    </row>
    <row r="138" spans="2:47" ht="15">
      <c r="B138" s="48"/>
      <c r="C138" s="48"/>
      <c r="D138" s="108"/>
      <c r="E138" s="10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N138"/>
      <c r="AO138"/>
      <c r="AP138"/>
      <c r="AQ138"/>
      <c r="AR138"/>
      <c r="AS138"/>
      <c r="AT138"/>
      <c r="AU138"/>
    </row>
    <row r="139" spans="2:47" ht="15">
      <c r="B139" s="48"/>
      <c r="C139" s="48"/>
      <c r="D139" s="108"/>
      <c r="E139" s="10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N139"/>
      <c r="AO139"/>
      <c r="AP139"/>
      <c r="AQ139"/>
      <c r="AR139"/>
      <c r="AS139"/>
      <c r="AT139"/>
      <c r="AU139"/>
    </row>
    <row r="140" spans="2:47" ht="15">
      <c r="B140" s="48"/>
      <c r="C140" s="48"/>
      <c r="D140" s="108"/>
      <c r="E140" s="10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N140"/>
      <c r="AO140"/>
      <c r="AP140"/>
      <c r="AQ140"/>
      <c r="AR140"/>
      <c r="AS140"/>
      <c r="AT140"/>
      <c r="AU140"/>
    </row>
    <row r="141" spans="2:47" ht="15">
      <c r="B141" s="48"/>
      <c r="C141" s="48"/>
      <c r="D141" s="108"/>
      <c r="E141" s="10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N141"/>
      <c r="AO141"/>
      <c r="AP141"/>
      <c r="AQ141"/>
      <c r="AR141"/>
      <c r="AS141"/>
      <c r="AT141"/>
      <c r="AU141"/>
    </row>
    <row r="142" spans="2:47" ht="15">
      <c r="B142" s="48"/>
      <c r="C142" s="48"/>
      <c r="D142" s="108"/>
      <c r="E142" s="10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N142"/>
      <c r="AO142"/>
      <c r="AP142"/>
      <c r="AQ142"/>
      <c r="AR142"/>
      <c r="AS142"/>
      <c r="AT142"/>
      <c r="AU142"/>
    </row>
    <row r="143" spans="2:47" ht="15">
      <c r="B143" s="48"/>
      <c r="C143" s="48"/>
      <c r="D143" s="108"/>
      <c r="E143" s="10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N143"/>
      <c r="AO143"/>
      <c r="AP143"/>
      <c r="AQ143"/>
      <c r="AR143"/>
      <c r="AS143"/>
      <c r="AT143"/>
      <c r="AU143"/>
    </row>
    <row r="144" spans="2:47" ht="15">
      <c r="AN144"/>
      <c r="AO144"/>
      <c r="AP144"/>
      <c r="AQ144"/>
      <c r="AR144"/>
      <c r="AS144"/>
      <c r="AT144"/>
      <c r="AU144"/>
    </row>
    <row r="145" spans="39:47" ht="15">
      <c r="AN145"/>
      <c r="AO145"/>
      <c r="AP145"/>
      <c r="AQ145"/>
      <c r="AR145"/>
      <c r="AS145"/>
      <c r="AT145"/>
      <c r="AU145"/>
    </row>
    <row r="146" spans="39:47" ht="15">
      <c r="AN146"/>
      <c r="AO146"/>
      <c r="AP146"/>
      <c r="AQ146"/>
      <c r="AR146"/>
      <c r="AS146"/>
      <c r="AT146"/>
      <c r="AU146"/>
    </row>
    <row r="147" spans="39:47" ht="15">
      <c r="AN147"/>
      <c r="AO147"/>
      <c r="AP147"/>
      <c r="AQ147"/>
      <c r="AR147"/>
      <c r="AS147"/>
      <c r="AT147"/>
      <c r="AU147"/>
    </row>
    <row r="148" spans="39:47" ht="15">
      <c r="AN148"/>
      <c r="AO148"/>
      <c r="AP148"/>
      <c r="AQ148"/>
      <c r="AR148"/>
      <c r="AS148"/>
      <c r="AT148"/>
      <c r="AU148"/>
    </row>
    <row r="149" spans="39:47" ht="15">
      <c r="AN149"/>
      <c r="AO149"/>
      <c r="AP149"/>
      <c r="AQ149"/>
      <c r="AR149"/>
      <c r="AS149"/>
      <c r="AT149"/>
      <c r="AU149"/>
    </row>
    <row r="150" spans="39:47" ht="15">
      <c r="AN150"/>
      <c r="AO150"/>
      <c r="AP150"/>
      <c r="AQ150"/>
      <c r="AR150"/>
      <c r="AS150"/>
      <c r="AT150"/>
      <c r="AU150"/>
    </row>
    <row r="151" spans="39:47" ht="15">
      <c r="AN151"/>
      <c r="AO151"/>
      <c r="AP151"/>
      <c r="AQ151"/>
      <c r="AR151"/>
      <c r="AS151"/>
      <c r="AT151"/>
      <c r="AU151"/>
    </row>
    <row r="152" spans="39:47" ht="15">
      <c r="AN152"/>
      <c r="AO152"/>
      <c r="AP152"/>
      <c r="AQ152"/>
      <c r="AR152"/>
      <c r="AS152"/>
      <c r="AT152"/>
      <c r="AU152"/>
    </row>
    <row r="153" spans="39:47" ht="15">
      <c r="AN153"/>
      <c r="AO153"/>
      <c r="AP153"/>
      <c r="AQ153"/>
      <c r="AR153"/>
      <c r="AS153"/>
      <c r="AT153"/>
      <c r="AU153"/>
    </row>
    <row r="154" spans="39:47" ht="15">
      <c r="AN154"/>
      <c r="AO154"/>
      <c r="AP154"/>
      <c r="AQ154"/>
      <c r="AR154"/>
      <c r="AS154"/>
      <c r="AT154"/>
      <c r="AU154"/>
    </row>
    <row r="155" spans="39:47" ht="15">
      <c r="AN155"/>
      <c r="AO155"/>
      <c r="AP155"/>
      <c r="AQ155"/>
      <c r="AR155"/>
      <c r="AS155"/>
      <c r="AT155"/>
      <c r="AU155"/>
    </row>
    <row r="156" spans="39:47" ht="15">
      <c r="AN156"/>
      <c r="AO156"/>
      <c r="AP156"/>
      <c r="AQ156"/>
      <c r="AR156"/>
      <c r="AS156"/>
      <c r="AT156"/>
      <c r="AU156"/>
    </row>
    <row r="157" spans="39:47" ht="15">
      <c r="AN157"/>
      <c r="AO157"/>
      <c r="AP157"/>
      <c r="AQ157"/>
      <c r="AR157"/>
      <c r="AS157"/>
      <c r="AT157"/>
      <c r="AU157"/>
    </row>
    <row r="158" spans="39:47" ht="15">
      <c r="AN158"/>
      <c r="AO158"/>
      <c r="AP158"/>
      <c r="AQ158"/>
      <c r="AR158"/>
      <c r="AS158"/>
      <c r="AT158"/>
      <c r="AU158"/>
    </row>
    <row r="159" spans="39:47" ht="15">
      <c r="AN159"/>
      <c r="AO159"/>
      <c r="AP159"/>
      <c r="AQ159"/>
      <c r="AR159"/>
      <c r="AS159"/>
      <c r="AT159"/>
      <c r="AU159"/>
    </row>
    <row r="160" spans="39:47" ht="15">
      <c r="AM160" s="5"/>
      <c r="AN160"/>
      <c r="AO160"/>
      <c r="AP160"/>
      <c r="AQ160"/>
      <c r="AR160"/>
      <c r="AS160"/>
      <c r="AT160"/>
      <c r="AU160"/>
    </row>
    <row r="161" spans="39:47" ht="15">
      <c r="AM161" s="5"/>
      <c r="AN161"/>
      <c r="AO161"/>
      <c r="AP161"/>
      <c r="AQ161"/>
      <c r="AR161"/>
      <c r="AS161"/>
      <c r="AT161"/>
      <c r="AU161"/>
    </row>
    <row r="162" spans="39:47" ht="15">
      <c r="AM162" s="5"/>
      <c r="AN162"/>
      <c r="AO162"/>
      <c r="AP162"/>
      <c r="AQ162"/>
      <c r="AR162"/>
      <c r="AS162"/>
      <c r="AT162"/>
      <c r="AU162"/>
    </row>
    <row r="163" spans="39:47" ht="15">
      <c r="AM163" s="5"/>
      <c r="AN163"/>
      <c r="AO163"/>
      <c r="AP163"/>
      <c r="AQ163"/>
      <c r="AR163"/>
      <c r="AS163"/>
      <c r="AT163"/>
      <c r="AU163"/>
    </row>
    <row r="164" spans="39:47" ht="15">
      <c r="AM164" s="5"/>
      <c r="AN164"/>
      <c r="AO164"/>
      <c r="AP164"/>
      <c r="AQ164"/>
      <c r="AR164"/>
      <c r="AS164"/>
      <c r="AT164"/>
      <c r="AU164"/>
    </row>
    <row r="165" spans="39:47" ht="15">
      <c r="AM165" s="5"/>
      <c r="AN165"/>
      <c r="AO165"/>
      <c r="AP165"/>
      <c r="AQ165"/>
      <c r="AR165"/>
      <c r="AS165"/>
      <c r="AT165"/>
      <c r="AU165"/>
    </row>
    <row r="166" spans="39:47" ht="15">
      <c r="AN166"/>
      <c r="AO166"/>
      <c r="AP166"/>
      <c r="AQ166"/>
      <c r="AR166"/>
      <c r="AS166"/>
      <c r="AT166"/>
      <c r="AU166"/>
    </row>
    <row r="167" spans="39:47" ht="15">
      <c r="AN167"/>
      <c r="AO167"/>
      <c r="AP167"/>
      <c r="AQ167"/>
      <c r="AR167"/>
      <c r="AS167"/>
      <c r="AT167"/>
      <c r="AU167"/>
    </row>
    <row r="168" spans="39:47" ht="15">
      <c r="AN168"/>
      <c r="AO168"/>
      <c r="AP168"/>
      <c r="AQ168"/>
      <c r="AR168"/>
      <c r="AS168"/>
      <c r="AT168"/>
      <c r="AU168"/>
    </row>
    <row r="169" spans="39:47" ht="15">
      <c r="AN169"/>
      <c r="AO169"/>
      <c r="AP169"/>
      <c r="AQ169"/>
      <c r="AR169"/>
      <c r="AS169"/>
      <c r="AT169"/>
      <c r="AU169"/>
    </row>
    <row r="170" spans="39:47" ht="15">
      <c r="AN170"/>
      <c r="AO170"/>
      <c r="AP170"/>
      <c r="AQ170"/>
      <c r="AR170"/>
      <c r="AS170"/>
      <c r="AT170"/>
      <c r="AU170"/>
    </row>
    <row r="171" spans="39:47" ht="15">
      <c r="AN171"/>
      <c r="AO171"/>
      <c r="AP171"/>
      <c r="AQ171"/>
      <c r="AR171"/>
      <c r="AS171"/>
      <c r="AT171"/>
      <c r="AU171"/>
    </row>
    <row r="172" spans="39:47" ht="15">
      <c r="AN172"/>
      <c r="AO172"/>
      <c r="AP172"/>
      <c r="AQ172"/>
      <c r="AR172"/>
      <c r="AS172"/>
      <c r="AT172"/>
      <c r="AU172"/>
    </row>
    <row r="173" spans="39:47" ht="15">
      <c r="AN173"/>
      <c r="AO173"/>
      <c r="AP173"/>
      <c r="AQ173"/>
      <c r="AR173"/>
      <c r="AS173"/>
      <c r="AT173"/>
      <c r="AU173"/>
    </row>
    <row r="174" spans="39:47" ht="15">
      <c r="AN174"/>
      <c r="AO174"/>
      <c r="AP174"/>
      <c r="AQ174"/>
      <c r="AR174"/>
      <c r="AS174"/>
      <c r="AT174"/>
      <c r="AU174"/>
    </row>
    <row r="175" spans="39:47" ht="15">
      <c r="AN175"/>
      <c r="AO175"/>
      <c r="AP175"/>
      <c r="AQ175"/>
      <c r="AR175"/>
      <c r="AS175"/>
      <c r="AT175"/>
      <c r="AU175"/>
    </row>
    <row r="176" spans="39:47" ht="15">
      <c r="AN176"/>
      <c r="AO176"/>
      <c r="AP176"/>
      <c r="AQ176"/>
      <c r="AR176"/>
      <c r="AS176"/>
      <c r="AT176"/>
      <c r="AU176"/>
    </row>
    <row r="177" spans="40:47" ht="15">
      <c r="AN177"/>
      <c r="AO177"/>
      <c r="AP177"/>
      <c r="AQ177"/>
      <c r="AR177"/>
      <c r="AS177"/>
      <c r="AT177"/>
      <c r="AU177"/>
    </row>
    <row r="178" spans="40:47" ht="15">
      <c r="AN178"/>
      <c r="AO178"/>
      <c r="AP178"/>
      <c r="AQ178"/>
      <c r="AR178"/>
      <c r="AS178"/>
      <c r="AT178"/>
      <c r="AU178"/>
    </row>
    <row r="179" spans="40:47" ht="15">
      <c r="AN179"/>
      <c r="AO179"/>
      <c r="AP179"/>
      <c r="AQ179"/>
      <c r="AR179"/>
      <c r="AS179"/>
      <c r="AT179"/>
      <c r="AU179"/>
    </row>
    <row r="180" spans="40:47" ht="15">
      <c r="AN180"/>
      <c r="AO180"/>
      <c r="AP180"/>
      <c r="AQ180"/>
      <c r="AR180"/>
      <c r="AS180"/>
      <c r="AT180"/>
      <c r="AU180"/>
    </row>
    <row r="181" spans="40:47" ht="15">
      <c r="AN181"/>
      <c r="AO181"/>
      <c r="AP181"/>
      <c r="AQ181"/>
      <c r="AR181"/>
      <c r="AS181"/>
      <c r="AT181"/>
      <c r="AU181"/>
    </row>
    <row r="182" spans="40:47" ht="15">
      <c r="AN182"/>
      <c r="AO182"/>
      <c r="AP182"/>
      <c r="AQ182"/>
      <c r="AR182"/>
      <c r="AS182"/>
      <c r="AT182"/>
      <c r="AU182"/>
    </row>
  </sheetData>
  <autoFilter ref="B6:AI89" xr:uid="{00000000-0001-0000-0500-000000000000}"/>
  <conditionalFormatting sqref="B11:B16">
    <cfRule type="duplicateValues" dxfId="10" priority="10"/>
  </conditionalFormatting>
  <conditionalFormatting sqref="B17">
    <cfRule type="duplicateValues" dxfId="9" priority="6"/>
  </conditionalFormatting>
  <conditionalFormatting sqref="B18">
    <cfRule type="duplicateValues" dxfId="8" priority="4"/>
  </conditionalFormatting>
  <conditionalFormatting sqref="B35:B38">
    <cfRule type="duplicateValues" dxfId="7" priority="3"/>
  </conditionalFormatting>
  <conditionalFormatting sqref="B56:B57">
    <cfRule type="duplicateValues" dxfId="6" priority="11"/>
  </conditionalFormatting>
  <conditionalFormatting sqref="G11:G16">
    <cfRule type="duplicateValues" dxfId="5" priority="7"/>
  </conditionalFormatting>
  <conditionalFormatting sqref="G17">
    <cfRule type="duplicateValues" dxfId="4" priority="8"/>
  </conditionalFormatting>
  <conditionalFormatting sqref="G26:G28">
    <cfRule type="duplicateValues" dxfId="3" priority="1"/>
  </conditionalFormatting>
  <conditionalFormatting sqref="G35:G38">
    <cfRule type="duplicateValues" dxfId="2" priority="2"/>
  </conditionalFormatting>
  <conditionalFormatting sqref="G41:G42">
    <cfRule type="duplicateValues" dxfId="1" priority="9"/>
  </conditionalFormatting>
  <conditionalFormatting sqref="G43:G44">
    <cfRule type="duplicateValues" dxfId="0" priority="5"/>
  </conditionalFormatting>
  <pageMargins left="0.25" right="0.25" top="0.27" bottom="0.4" header="0.18" footer="0.25"/>
  <pageSetup scale="70" orientation="landscape" errors="blank" r:id="rId1"/>
  <headerFooter alignWithMargins="0">
    <oddFooter>&amp;L&amp;F - &amp;A&amp;CPrinted &amp;D - &amp;T&amp;RPage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0FFB9-E2E2-4764-B464-E3C69652FC87}">
  <sheetPr>
    <tabColor theme="8" tint="0.59999389629810485"/>
  </sheetPr>
  <dimension ref="A1:AQ18"/>
  <sheetViews>
    <sheetView topLeftCell="Z1" workbookViewId="0">
      <selection activeCell="C88" sqref="C88"/>
    </sheetView>
  </sheetViews>
  <sheetFormatPr defaultRowHeight="15" outlineLevelCol="1"/>
  <cols>
    <col min="1" max="1" width="24.7109375" bestFit="1" customWidth="1"/>
    <col min="2" max="2" width="13.28515625" customWidth="1"/>
    <col min="4" max="5" width="10.28515625" bestFit="1" customWidth="1"/>
    <col min="7" max="8" width="12.28515625" customWidth="1" outlineLevel="1"/>
    <col min="9" max="12" width="11.28515625" customWidth="1" outlineLevel="1"/>
    <col min="13" max="14" width="12.28515625" customWidth="1" outlineLevel="1"/>
    <col min="15" max="15" width="11.28515625" customWidth="1" outlineLevel="1"/>
    <col min="16" max="16" width="12.28515625" customWidth="1" outlineLevel="1"/>
    <col min="17" max="18" width="11.28515625" customWidth="1" outlineLevel="1"/>
    <col min="19" max="19" width="13.85546875" bestFit="1" customWidth="1"/>
    <col min="20" max="20" width="12.28515625" bestFit="1" customWidth="1"/>
    <col min="21" max="32" width="8.85546875" customWidth="1" outlineLevel="1"/>
    <col min="33" max="33" width="8.85546875" customWidth="1"/>
    <col min="34" max="34" width="10.5703125" bestFit="1" customWidth="1"/>
    <col min="36" max="36" width="10.5703125" bestFit="1" customWidth="1"/>
    <col min="37" max="37" width="15.85546875" customWidth="1"/>
    <col min="38" max="38" width="17.28515625" customWidth="1"/>
    <col min="40" max="40" width="11" bestFit="1" customWidth="1"/>
    <col min="42" max="42" width="10.140625" style="498" bestFit="1" customWidth="1"/>
    <col min="43" max="43" width="12.140625" style="498" bestFit="1" customWidth="1"/>
  </cols>
  <sheetData>
    <row r="1" spans="1:43" ht="24.75">
      <c r="A1" s="2" t="str">
        <f>'Clallam Reg Price Out'!B1</f>
        <v>Murrey's Disposal Co., Inc. G-9</v>
      </c>
      <c r="AJ1" s="9"/>
      <c r="AK1" s="10" t="s">
        <v>1</v>
      </c>
      <c r="AL1" s="10" t="s">
        <v>2</v>
      </c>
      <c r="AM1" s="10" t="s">
        <v>3</v>
      </c>
      <c r="AN1" s="10" t="s">
        <v>4</v>
      </c>
      <c r="AP1" s="497" t="s">
        <v>847</v>
      </c>
    </row>
    <row r="2" spans="1:43">
      <c r="A2" s="2" t="str">
        <f>'Clallam Reg Price Out'!B2</f>
        <v>dba Olympic Disposal</v>
      </c>
      <c r="AJ2" s="11" t="s">
        <v>459</v>
      </c>
      <c r="AK2" s="12">
        <v>0.13809508319753072</v>
      </c>
      <c r="AL2" s="268">
        <v>5.5800000000000001E-4</v>
      </c>
      <c r="AM2" s="12">
        <f>AK2+AL2</f>
        <v>0.13865308319753072</v>
      </c>
      <c r="AN2" s="14">
        <v>58521.693130876287</v>
      </c>
      <c r="AP2" s="498" t="s">
        <v>849</v>
      </c>
      <c r="AQ2" s="501">
        <f ca="1">+'Clallam Proposed Rates'!H9</f>
        <v>3.756367510449487E-3</v>
      </c>
    </row>
    <row r="3" spans="1:43">
      <c r="A3" s="53" t="s">
        <v>460</v>
      </c>
      <c r="AL3" t="s">
        <v>461</v>
      </c>
      <c r="AN3" s="269">
        <v>13289.366281307615</v>
      </c>
    </row>
    <row r="4" spans="1:43" ht="26.25">
      <c r="A4" s="15" t="str">
        <f>'Clallam Reg Price Out'!B4</f>
        <v>August 1, 2022 - July 31, 2023</v>
      </c>
      <c r="G4" s="23">
        <v>44774</v>
      </c>
      <c r="H4" s="23">
        <v>44805</v>
      </c>
      <c r="I4" s="23">
        <f>+H4+32</f>
        <v>44837</v>
      </c>
      <c r="J4" s="23">
        <f t="shared" ref="J4:R4" si="0">+I4+32</f>
        <v>44869</v>
      </c>
      <c r="K4" s="23">
        <f t="shared" si="0"/>
        <v>44901</v>
      </c>
      <c r="L4" s="23">
        <f t="shared" si="0"/>
        <v>44933</v>
      </c>
      <c r="M4" s="23">
        <f t="shared" si="0"/>
        <v>44965</v>
      </c>
      <c r="N4" s="23">
        <f t="shared" si="0"/>
        <v>44997</v>
      </c>
      <c r="O4" s="23">
        <f t="shared" si="0"/>
        <v>45029</v>
      </c>
      <c r="P4" s="23">
        <f t="shared" si="0"/>
        <v>45061</v>
      </c>
      <c r="Q4" s="23">
        <f t="shared" si="0"/>
        <v>45093</v>
      </c>
      <c r="R4" s="23">
        <f t="shared" si="0"/>
        <v>45125</v>
      </c>
      <c r="S4" s="23" t="s">
        <v>13</v>
      </c>
      <c r="U4" s="24">
        <v>44774</v>
      </c>
      <c r="V4" s="24">
        <v>44805</v>
      </c>
      <c r="W4" s="24">
        <v>44837</v>
      </c>
      <c r="X4" s="24">
        <v>44869</v>
      </c>
      <c r="Y4" s="24">
        <v>44901</v>
      </c>
      <c r="Z4" s="24">
        <v>44933</v>
      </c>
      <c r="AA4" s="24">
        <v>44965</v>
      </c>
      <c r="AB4" s="24">
        <v>44997</v>
      </c>
      <c r="AC4" s="24">
        <v>45029</v>
      </c>
      <c r="AD4" s="24">
        <v>45061</v>
      </c>
      <c r="AE4" s="24">
        <v>45093</v>
      </c>
      <c r="AF4" s="24">
        <v>45125</v>
      </c>
      <c r="AG4" s="24" t="s">
        <v>13</v>
      </c>
      <c r="AI4" s="35" t="s">
        <v>462</v>
      </c>
      <c r="AJ4" s="35" t="s">
        <v>29</v>
      </c>
      <c r="AK4" s="36" t="s">
        <v>30</v>
      </c>
      <c r="AL4" s="36" t="s">
        <v>31</v>
      </c>
      <c r="AP4" s="498" t="s">
        <v>848</v>
      </c>
      <c r="AQ4" s="498" t="s">
        <v>30</v>
      </c>
    </row>
    <row r="5" spans="1:43" ht="26.25">
      <c r="A5" s="30" t="s">
        <v>21</v>
      </c>
      <c r="B5" s="20" t="s">
        <v>22</v>
      </c>
      <c r="D5" s="20" t="s">
        <v>463</v>
      </c>
      <c r="E5" s="20" t="s">
        <v>464</v>
      </c>
      <c r="G5" s="33" t="s">
        <v>25</v>
      </c>
      <c r="H5" s="33" t="s">
        <v>25</v>
      </c>
      <c r="I5" s="33" t="s">
        <v>25</v>
      </c>
      <c r="J5" s="33" t="s">
        <v>25</v>
      </c>
      <c r="K5" s="33" t="s">
        <v>25</v>
      </c>
      <c r="L5" s="33" t="s">
        <v>25</v>
      </c>
      <c r="M5" s="33" t="s">
        <v>25</v>
      </c>
      <c r="N5" s="33" t="s">
        <v>25</v>
      </c>
      <c r="O5" s="33" t="s">
        <v>25</v>
      </c>
      <c r="P5" s="33" t="s">
        <v>25</v>
      </c>
      <c r="Q5" s="33" t="s">
        <v>25</v>
      </c>
      <c r="R5" s="33" t="s">
        <v>25</v>
      </c>
      <c r="S5" s="33" t="s">
        <v>25</v>
      </c>
      <c r="U5" s="270" t="s">
        <v>26</v>
      </c>
      <c r="V5" s="270" t="s">
        <v>26</v>
      </c>
      <c r="W5" s="270" t="s">
        <v>26</v>
      </c>
      <c r="X5" s="270" t="s">
        <v>26</v>
      </c>
      <c r="Y5" s="270" t="s">
        <v>26</v>
      </c>
      <c r="Z5" s="270" t="s">
        <v>26</v>
      </c>
      <c r="AA5" s="270" t="s">
        <v>26</v>
      </c>
      <c r="AB5" s="270" t="s">
        <v>26</v>
      </c>
      <c r="AC5" s="270" t="s">
        <v>26</v>
      </c>
      <c r="AD5" s="270" t="s">
        <v>26</v>
      </c>
      <c r="AE5" s="270" t="s">
        <v>26</v>
      </c>
      <c r="AF5" s="270" t="s">
        <v>26</v>
      </c>
      <c r="AG5" s="270" t="s">
        <v>26</v>
      </c>
    </row>
    <row r="6" spans="1:43">
      <c r="A6" t="s">
        <v>328</v>
      </c>
      <c r="B6" t="s">
        <v>329</v>
      </c>
      <c r="C6" t="s">
        <v>330</v>
      </c>
      <c r="D6" s="271">
        <v>2334.2399999999998</v>
      </c>
      <c r="E6" s="271">
        <v>2334.2399999999998</v>
      </c>
      <c r="F6">
        <v>39</v>
      </c>
      <c r="G6" s="271">
        <v>9336.9599999999991</v>
      </c>
      <c r="H6" s="271">
        <v>0</v>
      </c>
      <c r="I6" s="271">
        <v>9336.9599999999991</v>
      </c>
      <c r="J6" s="271">
        <v>11671.2</v>
      </c>
      <c r="K6" s="271">
        <v>0</v>
      </c>
      <c r="L6" s="271">
        <v>11671.2</v>
      </c>
      <c r="M6" s="271">
        <v>21008.16</v>
      </c>
      <c r="N6" s="271">
        <v>0</v>
      </c>
      <c r="O6" s="271">
        <v>16339.68</v>
      </c>
      <c r="P6" s="271">
        <v>11671.2</v>
      </c>
      <c r="Q6" s="271">
        <v>4668.4799999999996</v>
      </c>
      <c r="R6" s="271">
        <v>11671.2</v>
      </c>
      <c r="S6" s="271">
        <v>107375.03999999999</v>
      </c>
      <c r="U6" s="8">
        <f>+G6/$D$6</f>
        <v>4</v>
      </c>
      <c r="V6" s="8">
        <f t="shared" ref="V6:AE6" si="1">+H6/$D$6</f>
        <v>0</v>
      </c>
      <c r="W6" s="8">
        <f t="shared" si="1"/>
        <v>4</v>
      </c>
      <c r="X6" s="8">
        <f t="shared" si="1"/>
        <v>5.0000000000000009</v>
      </c>
      <c r="Y6" s="8">
        <f t="shared" si="1"/>
        <v>0</v>
      </c>
      <c r="Z6" s="8">
        <f t="shared" si="1"/>
        <v>5.0000000000000009</v>
      </c>
      <c r="AA6" s="8">
        <f t="shared" si="1"/>
        <v>9</v>
      </c>
      <c r="AB6" s="8">
        <f t="shared" si="1"/>
        <v>0</v>
      </c>
      <c r="AC6" s="8">
        <f t="shared" si="1"/>
        <v>7.0000000000000009</v>
      </c>
      <c r="AD6" s="8">
        <f t="shared" si="1"/>
        <v>5.0000000000000009</v>
      </c>
      <c r="AE6" s="8">
        <f t="shared" si="1"/>
        <v>2</v>
      </c>
      <c r="AF6" s="8">
        <f>+R6/$E$6</f>
        <v>5.0000000000000009</v>
      </c>
      <c r="AG6" s="8">
        <f>SUM(U6:AF6)</f>
        <v>46</v>
      </c>
      <c r="AI6" s="272">
        <v>2354.62</v>
      </c>
      <c r="AJ6" s="273">
        <f>+AI6*(1+$AM$2)</f>
        <v>2681.0953227585696</v>
      </c>
      <c r="AK6" s="273">
        <f>+AJ6*AG6</f>
        <v>123330.3848468942</v>
      </c>
      <c r="AL6" s="274">
        <f>+AK6-S6</f>
        <v>15955.344846894208</v>
      </c>
      <c r="AM6" t="s">
        <v>465</v>
      </c>
      <c r="AP6" s="499">
        <f ca="1">AK6*AQ$2</f>
        <v>463.27425069010508</v>
      </c>
      <c r="AQ6" s="499">
        <f ca="1">+AK6+AP6</f>
        <v>123793.65909758431</v>
      </c>
    </row>
    <row r="7" spans="1:43">
      <c r="A7" t="s">
        <v>328</v>
      </c>
      <c r="B7" t="s">
        <v>331</v>
      </c>
      <c r="C7" t="s">
        <v>330</v>
      </c>
      <c r="D7" s="271">
        <v>1688.17</v>
      </c>
      <c r="E7" s="271">
        <v>1731.88</v>
      </c>
      <c r="F7">
        <v>39</v>
      </c>
      <c r="G7" s="271">
        <v>121548.24</v>
      </c>
      <c r="H7" s="271">
        <v>94537.52</v>
      </c>
      <c r="I7" s="271">
        <v>64150.46</v>
      </c>
      <c r="J7" s="271">
        <v>75967.649999999994</v>
      </c>
      <c r="K7" s="271">
        <v>54021.440000000002</v>
      </c>
      <c r="L7" s="271">
        <v>86096.67</v>
      </c>
      <c r="M7" s="271">
        <v>102978.37</v>
      </c>
      <c r="N7" s="271">
        <v>108042.88</v>
      </c>
      <c r="O7" s="271">
        <v>87784.84</v>
      </c>
      <c r="P7" s="271">
        <v>106354.71</v>
      </c>
      <c r="Q7" s="271">
        <v>87784.84</v>
      </c>
      <c r="R7" s="271">
        <v>41567.519999999997</v>
      </c>
      <c r="S7" s="271">
        <v>1030835.1399999999</v>
      </c>
      <c r="U7" s="8">
        <f>G7/$D$7</f>
        <v>72</v>
      </c>
      <c r="V7" s="8">
        <f t="shared" ref="V7:AE7" si="2">H7/$D$7</f>
        <v>56</v>
      </c>
      <c r="W7" s="8">
        <f t="shared" si="2"/>
        <v>38</v>
      </c>
      <c r="X7" s="8">
        <f t="shared" si="2"/>
        <v>44.999999999999993</v>
      </c>
      <c r="Y7" s="8">
        <f t="shared" si="2"/>
        <v>32</v>
      </c>
      <c r="Z7" s="8">
        <f t="shared" si="2"/>
        <v>51</v>
      </c>
      <c r="AA7" s="8">
        <f t="shared" si="2"/>
        <v>60.999999999999993</v>
      </c>
      <c r="AB7" s="8">
        <f t="shared" si="2"/>
        <v>64</v>
      </c>
      <c r="AC7" s="8">
        <f t="shared" si="2"/>
        <v>51.999999999999993</v>
      </c>
      <c r="AD7" s="8">
        <f t="shared" si="2"/>
        <v>63</v>
      </c>
      <c r="AE7" s="8">
        <f t="shared" si="2"/>
        <v>51.999999999999993</v>
      </c>
      <c r="AF7" s="8">
        <f>+R7/$E$7</f>
        <v>24.001385777305583</v>
      </c>
      <c r="AG7" s="8">
        <f>SUM(U7:AF7)</f>
        <v>610.00138577730559</v>
      </c>
      <c r="AI7" s="272">
        <v>1751.83</v>
      </c>
      <c r="AJ7" s="273">
        <f>+AI7*(1+$AM$2)</f>
        <v>1994.7266307379302</v>
      </c>
      <c r="AK7" s="273">
        <f>+AJ7*AG7</f>
        <v>1216786.0089970331</v>
      </c>
      <c r="AL7" s="274">
        <f>+AK7-S7</f>
        <v>185950.86899703322</v>
      </c>
      <c r="AM7" t="s">
        <v>466</v>
      </c>
      <c r="AP7" s="499">
        <f t="shared" ref="AP7:AP9" ca="1" si="3">AK7*AQ$2</f>
        <v>4570.6954313659526</v>
      </c>
      <c r="AQ7" s="499">
        <f t="shared" ref="AQ7:AQ10" ca="1" si="4">+AK7+AP7</f>
        <v>1221356.704428399</v>
      </c>
    </row>
    <row r="8" spans="1:43">
      <c r="A8" t="s">
        <v>467</v>
      </c>
      <c r="B8" t="s">
        <v>329</v>
      </c>
      <c r="C8" t="s">
        <v>328</v>
      </c>
      <c r="D8" s="271">
        <v>2435.4899999999998</v>
      </c>
      <c r="E8" s="271">
        <v>2435.4899999999998</v>
      </c>
      <c r="F8">
        <v>39</v>
      </c>
      <c r="G8" s="271">
        <v>19483.919999999998</v>
      </c>
      <c r="H8" s="271">
        <v>17048.43</v>
      </c>
      <c r="I8" s="271">
        <v>9741.9599999999991</v>
      </c>
      <c r="J8" s="271">
        <v>12177.45</v>
      </c>
      <c r="K8" s="271">
        <v>2435.4899999999998</v>
      </c>
      <c r="L8" s="271">
        <v>14612.94</v>
      </c>
      <c r="M8" s="271">
        <v>21919.41</v>
      </c>
      <c r="N8" s="271">
        <v>4870.9799999999996</v>
      </c>
      <c r="O8" s="271">
        <v>14612.94</v>
      </c>
      <c r="P8" s="271">
        <v>14612.94</v>
      </c>
      <c r="Q8" s="271">
        <v>4870.9799999999996</v>
      </c>
      <c r="R8" s="271">
        <v>17048.43</v>
      </c>
      <c r="S8" s="271">
        <v>153435.87</v>
      </c>
      <c r="U8" s="8">
        <f>+G8/$D$8</f>
        <v>8</v>
      </c>
      <c r="V8" s="8">
        <f t="shared" ref="V8:AE8" si="5">+H8/$D$8</f>
        <v>7.0000000000000009</v>
      </c>
      <c r="W8" s="8">
        <f t="shared" si="5"/>
        <v>4</v>
      </c>
      <c r="X8" s="8">
        <f t="shared" si="5"/>
        <v>5.0000000000000009</v>
      </c>
      <c r="Y8" s="8">
        <f t="shared" si="5"/>
        <v>1</v>
      </c>
      <c r="Z8" s="8">
        <f t="shared" si="5"/>
        <v>6.0000000000000009</v>
      </c>
      <c r="AA8" s="8">
        <f t="shared" si="5"/>
        <v>9</v>
      </c>
      <c r="AB8" s="8">
        <f t="shared" si="5"/>
        <v>2</v>
      </c>
      <c r="AC8" s="8">
        <f t="shared" si="5"/>
        <v>6.0000000000000009</v>
      </c>
      <c r="AD8" s="8">
        <f t="shared" si="5"/>
        <v>6.0000000000000009</v>
      </c>
      <c r="AE8" s="8">
        <f t="shared" si="5"/>
        <v>2</v>
      </c>
      <c r="AF8" s="8">
        <f>+R8/$E$8</f>
        <v>7.0000000000000009</v>
      </c>
      <c r="AG8" s="8">
        <f>SUM(U8:AF8)</f>
        <v>63</v>
      </c>
      <c r="AI8" s="272">
        <v>2456.98</v>
      </c>
      <c r="AJ8" s="273">
        <f>+AI8*(1+$AM$2)</f>
        <v>2797.6478523546693</v>
      </c>
      <c r="AK8" s="273">
        <f>+AJ8*AG8</f>
        <v>176251.81469834415</v>
      </c>
      <c r="AL8" s="274">
        <f>+AK8-S8</f>
        <v>22815.944698344159</v>
      </c>
      <c r="AM8" t="s">
        <v>468</v>
      </c>
      <c r="AP8" s="499">
        <f t="shared" ca="1" si="3"/>
        <v>662.06659039062333</v>
      </c>
      <c r="AQ8" s="499">
        <f t="shared" ca="1" si="4"/>
        <v>176913.88128873479</v>
      </c>
    </row>
    <row r="9" spans="1:43">
      <c r="A9" t="s">
        <v>469</v>
      </c>
      <c r="B9" t="s">
        <v>331</v>
      </c>
      <c r="C9" t="s">
        <v>328</v>
      </c>
      <c r="D9" s="271">
        <v>1782.77</v>
      </c>
      <c r="E9" s="271">
        <v>1828.73</v>
      </c>
      <c r="F9">
        <v>39</v>
      </c>
      <c r="G9" s="271">
        <v>105183.43</v>
      </c>
      <c r="H9" s="271">
        <v>23176.01</v>
      </c>
      <c r="I9" s="271">
        <v>32089.86</v>
      </c>
      <c r="J9" s="271">
        <v>8913.85</v>
      </c>
      <c r="K9" s="271">
        <v>24958.78</v>
      </c>
      <c r="L9" s="271">
        <v>24958.78</v>
      </c>
      <c r="M9" s="271">
        <v>44569.25</v>
      </c>
      <c r="N9" s="271">
        <v>35655.4</v>
      </c>
      <c r="O9" s="271">
        <v>30307.09</v>
      </c>
      <c r="P9" s="271">
        <v>44569.25</v>
      </c>
      <c r="Q9" s="271">
        <v>37438.17</v>
      </c>
      <c r="R9" s="271">
        <v>23773.49</v>
      </c>
      <c r="S9" s="271">
        <v>435593.36</v>
      </c>
      <c r="U9" s="8">
        <f>+G9/$D$9</f>
        <v>59</v>
      </c>
      <c r="V9" s="8">
        <f t="shared" ref="V9:AE9" si="6">+H9/$D$9</f>
        <v>13</v>
      </c>
      <c r="W9" s="8">
        <f t="shared" si="6"/>
        <v>18</v>
      </c>
      <c r="X9" s="8">
        <f t="shared" si="6"/>
        <v>5</v>
      </c>
      <c r="Y9" s="8">
        <f t="shared" si="6"/>
        <v>14</v>
      </c>
      <c r="Z9" s="8">
        <f t="shared" si="6"/>
        <v>14</v>
      </c>
      <c r="AA9" s="8">
        <f t="shared" si="6"/>
        <v>25</v>
      </c>
      <c r="AB9" s="8">
        <f t="shared" si="6"/>
        <v>20</v>
      </c>
      <c r="AC9" s="8">
        <f t="shared" si="6"/>
        <v>17</v>
      </c>
      <c r="AD9" s="8">
        <f t="shared" si="6"/>
        <v>25</v>
      </c>
      <c r="AE9" s="8">
        <f t="shared" si="6"/>
        <v>21</v>
      </c>
      <c r="AF9" s="8">
        <f>+R9/$E$9</f>
        <v>13</v>
      </c>
      <c r="AG9" s="8">
        <f>SUM(U9:AF9)</f>
        <v>244</v>
      </c>
      <c r="AI9" s="272">
        <v>1849.56</v>
      </c>
      <c r="AJ9" s="275">
        <f>+AI9*(1+$AM$2)</f>
        <v>2106.0071965588249</v>
      </c>
      <c r="AK9" s="275">
        <f>+AJ9*AG9</f>
        <v>513865.7559603533</v>
      </c>
      <c r="AL9" s="276">
        <f>+AK9-S9</f>
        <v>78272.395960353315</v>
      </c>
      <c r="AM9" t="s">
        <v>470</v>
      </c>
      <c r="AP9" s="500">
        <f t="shared" ca="1" si="3"/>
        <v>1930.268630422036</v>
      </c>
      <c r="AQ9" s="500">
        <f t="shared" ca="1" si="4"/>
        <v>515796.02459077531</v>
      </c>
    </row>
    <row r="10" spans="1:43">
      <c r="AK10" s="135">
        <f>SUM(AK6:AK9)</f>
        <v>2030233.9645026247</v>
      </c>
      <c r="AL10" s="135">
        <f>SUM(AL6:AL9)</f>
        <v>302994.5545026249</v>
      </c>
      <c r="AP10" s="499">
        <f ca="1">SUM(AP6:AP9)</f>
        <v>7626.3049028687174</v>
      </c>
      <c r="AQ10" s="498">
        <f t="shared" ca="1" si="4"/>
        <v>2037860.2694054935</v>
      </c>
    </row>
    <row r="16" spans="1:43">
      <c r="T16" s="274"/>
      <c r="AG16" s="193"/>
      <c r="AH16" s="274"/>
      <c r="AK16" s="274"/>
    </row>
    <row r="17" spans="20:37">
      <c r="T17" s="274"/>
      <c r="AG17" s="193"/>
      <c r="AH17" s="274"/>
      <c r="AK17" s="274"/>
    </row>
    <row r="18" spans="20:37">
      <c r="AK18" s="274"/>
    </row>
  </sheetData>
  <pageMargins left="0.25" right="0.25" top="0.27" bottom="0.4" header="0.18" footer="0.25"/>
  <pageSetup scale="70" orientation="landscape" errors="blank" r:id="rId1"/>
  <headerFooter alignWithMargins="0">
    <oddFooter>&amp;L&amp;F - &amp;A&amp;CPrinted &amp;D - &amp;T&amp;RPage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559EF-45EB-47C1-B77B-B7B36DC10F15}">
  <sheetPr>
    <tabColor theme="8" tint="0.59999389629810485"/>
  </sheetPr>
  <dimension ref="A1:AV112"/>
  <sheetViews>
    <sheetView workbookViewId="0">
      <selection activeCell="C88" sqref="C88"/>
    </sheetView>
  </sheetViews>
  <sheetFormatPr defaultColWidth="16.7109375" defaultRowHeight="15"/>
  <cols>
    <col min="1" max="1" width="4.85546875" style="306" customWidth="1"/>
    <col min="2" max="2" width="33.5703125" style="477" bestFit="1" customWidth="1"/>
    <col min="3" max="3" width="21.28515625" style="477" customWidth="1"/>
    <col min="4" max="4" width="21.28515625" style="477" hidden="1" customWidth="1"/>
    <col min="5" max="5" width="12.85546875" style="477" bestFit="1" customWidth="1"/>
    <col min="6" max="6" width="5.7109375" style="306" customWidth="1"/>
    <col min="7" max="7" width="8.5703125" style="306" customWidth="1"/>
    <col min="8" max="8" width="15" style="306" customWidth="1"/>
    <col min="9" max="9" width="17.7109375" style="306" customWidth="1"/>
    <col min="10" max="10" width="17.28515625" style="306" bestFit="1" customWidth="1"/>
    <col min="11" max="11" width="15.140625" style="306" bestFit="1" customWidth="1"/>
    <col min="12" max="13" width="20.28515625" style="306" customWidth="1"/>
    <col min="14" max="14" width="2.42578125" style="306" customWidth="1"/>
    <col min="15" max="15" width="6.28515625" style="477" customWidth="1"/>
    <col min="16" max="16" width="40.42578125" style="477" customWidth="1"/>
    <col min="17" max="17" width="16.7109375" style="307"/>
    <col min="18" max="18" width="13.85546875" style="315" customWidth="1"/>
    <col min="19" max="19" width="16.7109375" style="306"/>
    <col min="20" max="20" width="13.42578125" style="306" customWidth="1"/>
    <col min="21" max="21" width="15.7109375" style="306" customWidth="1"/>
    <col min="22" max="22" width="16.7109375" style="306"/>
    <col min="23" max="26" width="17.7109375" style="306" customWidth="1"/>
    <col min="27" max="27" width="16" style="306" customWidth="1"/>
    <col min="28" max="28" width="16.7109375" style="306"/>
    <col min="29" max="29" width="15.85546875" style="306" customWidth="1"/>
    <col min="30" max="31" width="16.7109375" style="306"/>
    <col min="32" max="32" width="16.42578125" style="306" customWidth="1"/>
    <col min="33" max="33" width="17.28515625" style="306" customWidth="1"/>
    <col min="34" max="34" width="20.7109375" style="306" customWidth="1"/>
    <col min="35" max="35" width="18.140625" style="306" customWidth="1"/>
    <col min="36" max="36" width="16.42578125" style="306" customWidth="1"/>
    <col min="37" max="37" width="16.7109375" style="306"/>
    <col min="38" max="38" width="13.85546875" style="306" customWidth="1"/>
    <col min="39" max="39" width="16.42578125" style="306" customWidth="1"/>
    <col min="40" max="51" width="15.140625" style="306" customWidth="1"/>
    <col min="52" max="16384" width="16.7109375" style="306"/>
  </cols>
  <sheetData>
    <row r="1" spans="1:37" s="301" customFormat="1" ht="15.75" thickBot="1">
      <c r="A1" s="296"/>
      <c r="B1" s="297"/>
      <c r="C1" s="297"/>
      <c r="D1" s="297"/>
      <c r="E1" s="297"/>
      <c r="F1" s="297"/>
      <c r="G1" s="297"/>
      <c r="H1" s="297"/>
      <c r="I1" s="298"/>
      <c r="J1" s="298"/>
      <c r="K1" s="298"/>
      <c r="L1" s="298"/>
      <c r="M1" s="298"/>
      <c r="N1" s="298"/>
      <c r="O1" s="297"/>
      <c r="P1" s="297"/>
      <c r="Q1" s="299"/>
      <c r="R1" s="300"/>
    </row>
    <row r="2" spans="1:37" ht="19.5" thickBot="1">
      <c r="A2" s="296"/>
      <c r="B2" s="518" t="s">
        <v>711</v>
      </c>
      <c r="C2" s="518"/>
      <c r="D2" s="296"/>
      <c r="E2" s="296"/>
      <c r="F2" s="302" t="s">
        <v>712</v>
      </c>
      <c r="G2" s="303"/>
      <c r="H2" s="303"/>
      <c r="I2" s="304" t="s">
        <v>713</v>
      </c>
      <c r="J2" s="303"/>
      <c r="K2" s="303"/>
      <c r="L2" s="303"/>
      <c r="M2" s="305" t="s">
        <v>712</v>
      </c>
      <c r="O2" s="296"/>
      <c r="P2" s="297"/>
      <c r="R2" s="308" t="s">
        <v>714</v>
      </c>
      <c r="S2" s="309"/>
      <c r="T2" s="310"/>
      <c r="AH2" s="519" t="s">
        <v>715</v>
      </c>
      <c r="AI2" s="520"/>
      <c r="AJ2" s="520"/>
      <c r="AK2" s="521"/>
    </row>
    <row r="3" spans="1:37" ht="16.5" thickBot="1">
      <c r="A3" s="296"/>
      <c r="B3" s="296"/>
      <c r="C3" s="296"/>
      <c r="D3" s="296"/>
      <c r="E3" s="296"/>
      <c r="F3" s="311"/>
      <c r="G3" s="312"/>
      <c r="H3" s="313"/>
      <c r="I3" s="313"/>
      <c r="J3" s="313"/>
      <c r="K3" s="314" t="s">
        <v>716</v>
      </c>
      <c r="L3" s="313"/>
      <c r="M3" s="314" t="s">
        <v>717</v>
      </c>
      <c r="O3" s="296"/>
      <c r="P3" s="297"/>
      <c r="R3" s="306"/>
      <c r="T3" s="306" t="s">
        <v>718</v>
      </c>
      <c r="V3" s="315" t="s">
        <v>718</v>
      </c>
      <c r="W3" s="315" t="s">
        <v>718</v>
      </c>
      <c r="X3" s="315" t="s">
        <v>718</v>
      </c>
      <c r="Y3" s="315"/>
      <c r="Z3" s="315" t="s">
        <v>719</v>
      </c>
      <c r="AA3" s="315" t="s">
        <v>720</v>
      </c>
      <c r="AB3" s="315" t="s">
        <v>720</v>
      </c>
      <c r="AC3" s="315" t="s">
        <v>720</v>
      </c>
      <c r="AD3" s="315" t="s">
        <v>720</v>
      </c>
      <c r="AE3" s="315" t="s">
        <v>720</v>
      </c>
      <c r="AF3" s="315" t="s">
        <v>720</v>
      </c>
      <c r="AG3" s="315" t="s">
        <v>721</v>
      </c>
      <c r="AH3" s="315" t="s">
        <v>25</v>
      </c>
      <c r="AI3" s="315" t="s">
        <v>722</v>
      </c>
      <c r="AJ3" s="315"/>
    </row>
    <row r="4" spans="1:37" ht="19.5" thickBot="1">
      <c r="A4" s="296"/>
      <c r="B4" s="316" t="s">
        <v>723</v>
      </c>
      <c r="C4" s="304"/>
      <c r="D4" s="317"/>
      <c r="E4" s="296"/>
      <c r="F4" s="318"/>
      <c r="G4" s="312"/>
      <c r="H4" s="313" t="s">
        <v>724</v>
      </c>
      <c r="I4" s="313" t="s">
        <v>725</v>
      </c>
      <c r="J4" s="313" t="s">
        <v>726</v>
      </c>
      <c r="K4" s="313" t="s">
        <v>727</v>
      </c>
      <c r="L4" s="313" t="s">
        <v>728</v>
      </c>
      <c r="M4" s="313" t="s">
        <v>729</v>
      </c>
      <c r="O4" s="319"/>
      <c r="P4" s="297"/>
      <c r="R4" s="306"/>
      <c r="T4" s="315" t="s">
        <v>730</v>
      </c>
      <c r="V4" s="315" t="s">
        <v>731</v>
      </c>
      <c r="W4" s="315" t="s">
        <v>719</v>
      </c>
      <c r="X4" s="315" t="s">
        <v>732</v>
      </c>
      <c r="Y4" s="315" t="s">
        <v>733</v>
      </c>
      <c r="Z4" s="315" t="s">
        <v>732</v>
      </c>
      <c r="AA4" s="315" t="s">
        <v>734</v>
      </c>
      <c r="AB4" s="315" t="s">
        <v>734</v>
      </c>
      <c r="AC4" s="315" t="s">
        <v>734</v>
      </c>
      <c r="AD4" s="315" t="s">
        <v>719</v>
      </c>
      <c r="AE4" s="315" t="s">
        <v>730</v>
      </c>
      <c r="AF4" s="315" t="s">
        <v>730</v>
      </c>
      <c r="AG4" s="315" t="s">
        <v>735</v>
      </c>
      <c r="AH4" s="315" t="s">
        <v>736</v>
      </c>
      <c r="AI4" s="315" t="s">
        <v>737</v>
      </c>
      <c r="AJ4" s="315" t="s">
        <v>738</v>
      </c>
      <c r="AK4" s="315" t="s">
        <v>739</v>
      </c>
    </row>
    <row r="5" spans="1:37" ht="15.75">
      <c r="A5" s="296"/>
      <c r="B5" s="320" t="s">
        <v>740</v>
      </c>
      <c r="C5" s="321">
        <v>8012085.6289376263</v>
      </c>
      <c r="D5" s="317"/>
      <c r="E5" s="296"/>
      <c r="F5" s="322" t="s">
        <v>741</v>
      </c>
      <c r="G5" s="323"/>
      <c r="H5" s="323"/>
      <c r="I5" s="313" t="s">
        <v>742</v>
      </c>
      <c r="J5" s="313" t="s">
        <v>25</v>
      </c>
      <c r="K5" s="324" t="s">
        <v>743</v>
      </c>
      <c r="L5" s="325" t="s">
        <v>744</v>
      </c>
      <c r="M5" s="324" t="s">
        <v>25</v>
      </c>
      <c r="O5" s="326"/>
      <c r="P5" s="297"/>
      <c r="R5" s="327"/>
      <c r="T5" s="315" t="s">
        <v>745</v>
      </c>
      <c r="U5" s="315" t="s">
        <v>746</v>
      </c>
      <c r="V5" s="315" t="s">
        <v>747</v>
      </c>
      <c r="W5" s="315" t="s">
        <v>748</v>
      </c>
      <c r="X5" s="315" t="s">
        <v>749</v>
      </c>
      <c r="Y5" s="315" t="s">
        <v>750</v>
      </c>
      <c r="Z5" s="315" t="s">
        <v>749</v>
      </c>
      <c r="AA5" s="315" t="s">
        <v>751</v>
      </c>
      <c r="AB5" s="315" t="s">
        <v>752</v>
      </c>
      <c r="AC5" s="315" t="s">
        <v>753</v>
      </c>
      <c r="AD5" s="315" t="s">
        <v>754</v>
      </c>
      <c r="AE5" s="315" t="s">
        <v>745</v>
      </c>
      <c r="AF5" s="315" t="s">
        <v>755</v>
      </c>
      <c r="AG5" s="315" t="s">
        <v>756</v>
      </c>
      <c r="AH5" s="315" t="s">
        <v>757</v>
      </c>
      <c r="AI5" s="315" t="s">
        <v>757</v>
      </c>
      <c r="AJ5" s="315" t="s">
        <v>756</v>
      </c>
      <c r="AK5" s="315" t="s">
        <v>721</v>
      </c>
    </row>
    <row r="6" spans="1:37" ht="15.75">
      <c r="A6" s="296"/>
      <c r="B6" s="320" t="s">
        <v>758</v>
      </c>
      <c r="C6" s="328">
        <v>8063627.648770839</v>
      </c>
      <c r="D6" s="317"/>
      <c r="E6" s="296"/>
      <c r="F6" s="329" t="s">
        <v>759</v>
      </c>
      <c r="G6" s="323"/>
      <c r="H6" s="323"/>
      <c r="I6" s="330"/>
      <c r="J6" s="331" t="s">
        <v>760</v>
      </c>
      <c r="K6" s="332"/>
      <c r="L6" s="331" t="s">
        <v>761</v>
      </c>
      <c r="M6" s="331" t="s">
        <v>762</v>
      </c>
      <c r="O6" s="326"/>
      <c r="P6" s="297"/>
      <c r="R6" s="333">
        <v>1</v>
      </c>
      <c r="S6" s="334">
        <f>Revenue/Investment*100</f>
        <v>236.55777193078916</v>
      </c>
      <c r="T6" s="335">
        <f>EXP(y_inter1-(slope*LN(+S6)))</f>
        <v>7.9601617172178338</v>
      </c>
      <c r="U6" s="336">
        <f>(+S6*T6/100)/100</f>
        <v>0.18830381200338153</v>
      </c>
      <c r="V6" s="336">
        <f>regDebt_weighted</f>
        <v>3.5860000000000003E-2</v>
      </c>
      <c r="W6" s="336">
        <f>+U6-V6</f>
        <v>0.15244381200338153</v>
      </c>
      <c r="X6" s="336">
        <f>+((W6*(1-0.34))-Pfd_weighted)/Equity_percent</f>
        <v>0.27448522070416226</v>
      </c>
      <c r="Y6" s="336">
        <f>+C15</f>
        <v>2.5000000000000001E-3</v>
      </c>
      <c r="Z6" s="336">
        <f>+X6+Y6</f>
        <v>0.27698522070416226</v>
      </c>
      <c r="AA6" s="336">
        <f>Z6*equityP</f>
        <v>0.14063501947323986</v>
      </c>
      <c r="AB6" s="336">
        <f>+AA6/(1-taxrate)</f>
        <v>0.17801901199144285</v>
      </c>
      <c r="AC6" s="336">
        <f>debtP*Debt_Rate</f>
        <v>1.4441329649252934E-2</v>
      </c>
      <c r="AD6" s="336">
        <f>AC6+AB6</f>
        <v>0.19246034164069578</v>
      </c>
      <c r="AE6" s="336">
        <f>AD6/(S6/100)</f>
        <v>8.1358705769770626E-2</v>
      </c>
      <c r="AF6" s="336">
        <f>1-AE6</f>
        <v>0.91864129423022933</v>
      </c>
      <c r="AG6" s="337">
        <f>expenses/(AF6)</f>
        <v>8777776.1563916132</v>
      </c>
      <c r="AH6" s="338">
        <f>+AG6-Revenue</f>
        <v>765690.52745398693</v>
      </c>
      <c r="AI6" s="339">
        <f ca="1">+AH6/$J$49</f>
        <v>852728.4737393799</v>
      </c>
      <c r="AJ6" s="339">
        <f ca="1">+AI6*$J$47</f>
        <v>18836.953267620316</v>
      </c>
      <c r="AK6" s="337">
        <f ca="1">ROUND(+AJ6+AG6,5)</f>
        <v>8796613.1096599996</v>
      </c>
    </row>
    <row r="7" spans="1:37" ht="15.75">
      <c r="A7" s="296"/>
      <c r="B7" s="320" t="s">
        <v>763</v>
      </c>
      <c r="C7" s="328">
        <v>3386946.6910948758</v>
      </c>
      <c r="D7" s="317"/>
      <c r="E7" s="296"/>
      <c r="F7" s="340">
        <v>1</v>
      </c>
      <c r="G7" s="323"/>
      <c r="H7" s="341" t="s">
        <v>740</v>
      </c>
      <c r="I7" s="342">
        <f>IF(A64=TRUE,C5,0)</f>
        <v>8012085.6289376263</v>
      </c>
      <c r="J7" s="342">
        <f ca="1">(+$I8/($R50))-I7</f>
        <v>754146.78127972409</v>
      </c>
      <c r="K7" s="342">
        <f ca="1">+I7+J7</f>
        <v>8766232.4102173503</v>
      </c>
      <c r="L7" s="342">
        <f ca="1">((+J7/J49*K35)-J7)</f>
        <v>18552.962543664384</v>
      </c>
      <c r="M7" s="342">
        <f ca="1">IFERROR(+K7+L7,0.00001)</f>
        <v>8784785.3727610148</v>
      </c>
      <c r="O7" s="326"/>
      <c r="P7" s="297"/>
      <c r="R7" s="343">
        <v>2</v>
      </c>
      <c r="S7" s="344">
        <f>Revenue/Investment*100</f>
        <v>236.55777193078916</v>
      </c>
      <c r="T7" s="345">
        <f>EXP(y_inter1-(slope*LN(+S7)))</f>
        <v>7.9601617172178338</v>
      </c>
      <c r="U7" s="346">
        <f>(+S7*T7/100)/100</f>
        <v>0.18830381200338153</v>
      </c>
      <c r="V7" s="346">
        <f>regDebt_weighted</f>
        <v>3.5860000000000003E-2</v>
      </c>
      <c r="W7" s="346">
        <f>+U7-V7</f>
        <v>0.15244381200338153</v>
      </c>
      <c r="X7" s="346">
        <f>+((W7*(1-0.34))-Pfd_weighted)/Equity_percent</f>
        <v>0.27448522070416226</v>
      </c>
      <c r="Y7" s="346">
        <f>+Y6</f>
        <v>2.5000000000000001E-3</v>
      </c>
      <c r="Z7" s="346">
        <f>+X7+Y7</f>
        <v>0.27698522070416226</v>
      </c>
      <c r="AA7" s="346">
        <f>Z7*equityP</f>
        <v>0.14063501947323986</v>
      </c>
      <c r="AB7" s="346">
        <f>+AA7/(1-taxrate)</f>
        <v>0.17801901199144285</v>
      </c>
      <c r="AC7" s="346">
        <f>debtP*Debt_Rate</f>
        <v>1.4441329649252934E-2</v>
      </c>
      <c r="AD7" s="346">
        <f>AC7+AB7</f>
        <v>0.19246034164069578</v>
      </c>
      <c r="AE7" s="346">
        <f>AD7/(S7/100)</f>
        <v>8.1358705769770626E-2</v>
      </c>
      <c r="AF7" s="346">
        <f>1-AE7</f>
        <v>0.91864129423022933</v>
      </c>
      <c r="AG7" s="347">
        <f>expenses/(AF7)</f>
        <v>8777776.1563916132</v>
      </c>
      <c r="AH7" s="348">
        <f>+AG7-Revenue</f>
        <v>765690.52745398693</v>
      </c>
      <c r="AI7" s="349">
        <f ca="1">+AH7/$J$49</f>
        <v>852728.4737393799</v>
      </c>
      <c r="AJ7" s="349">
        <f ca="1">+AI7*$J$47</f>
        <v>18836.953267620316</v>
      </c>
      <c r="AK7" s="347">
        <f ca="1">ROUND(+AJ7+AG7,5)</f>
        <v>8796613.1096599996</v>
      </c>
    </row>
    <row r="8" spans="1:37" ht="15.75">
      <c r="A8" s="296"/>
      <c r="B8" s="320" t="s">
        <v>764</v>
      </c>
      <c r="C8" s="350">
        <v>0.49226525835670143</v>
      </c>
      <c r="D8" s="317"/>
      <c r="E8" s="296"/>
      <c r="F8" s="351">
        <f>+F7+1</f>
        <v>2</v>
      </c>
      <c r="G8" s="323"/>
      <c r="H8" s="341" t="s">
        <v>758</v>
      </c>
      <c r="I8" s="342">
        <f>IF(A64=TRUE,C6,0)</f>
        <v>8063627.648770839</v>
      </c>
      <c r="J8" s="352"/>
      <c r="K8" s="342">
        <f>+I8</f>
        <v>8063627.648770839</v>
      </c>
      <c r="L8" s="342">
        <f ca="1">+L7</f>
        <v>18552.962543664384</v>
      </c>
      <c r="M8" s="342">
        <f ca="1">IFERROR(+K8+L8,0.00001)</f>
        <v>8082180.6113145035</v>
      </c>
      <c r="O8" s="326"/>
      <c r="P8" s="297"/>
      <c r="R8" s="353">
        <v>3</v>
      </c>
      <c r="S8" s="344">
        <f>Revenue/Investment*100</f>
        <v>236.55777193078916</v>
      </c>
      <c r="T8" s="345">
        <f>EXP(y_inter1-(slope*LN(+S8)))</f>
        <v>7.9601617172178338</v>
      </c>
      <c r="U8" s="346">
        <f>(+S8*T8/100)/100</f>
        <v>0.18830381200338153</v>
      </c>
      <c r="V8" s="346">
        <f>regDebt_weighted</f>
        <v>3.5860000000000003E-2</v>
      </c>
      <c r="W8" s="346">
        <f>+U8-V8</f>
        <v>0.15244381200338153</v>
      </c>
      <c r="X8" s="346">
        <f>+((W8*(1-0.34))-Pfd_weighted)/Equity_percent</f>
        <v>0.27448522070416226</v>
      </c>
      <c r="Y8" s="346">
        <f>+Y7</f>
        <v>2.5000000000000001E-3</v>
      </c>
      <c r="Z8" s="346">
        <f>+X8+Y8</f>
        <v>0.27698522070416226</v>
      </c>
      <c r="AA8" s="346">
        <f>Z8*equityP</f>
        <v>0.14063501947323986</v>
      </c>
      <c r="AB8" s="346">
        <f>+AA8/(1-taxrate)</f>
        <v>0.17801901199144285</v>
      </c>
      <c r="AC8" s="346">
        <f>debtP*Debt_Rate</f>
        <v>1.4441329649252934E-2</v>
      </c>
      <c r="AD8" s="346">
        <f>AC8+AB8</f>
        <v>0.19246034164069578</v>
      </c>
      <c r="AE8" s="346">
        <f>AD8/(S8/100)</f>
        <v>8.1358705769770626E-2</v>
      </c>
      <c r="AF8" s="346">
        <f>1-AE8</f>
        <v>0.91864129423022933</v>
      </c>
      <c r="AG8" s="347">
        <f>expenses/(AF8)</f>
        <v>8777776.1563916132</v>
      </c>
      <c r="AH8" s="348">
        <f>+AG8-Revenue</f>
        <v>765690.52745398693</v>
      </c>
      <c r="AI8" s="349">
        <f ca="1">+AH8/$J$49</f>
        <v>852728.4737393799</v>
      </c>
      <c r="AJ8" s="349">
        <f ca="1">+AI8*$J$47</f>
        <v>18836.953267620316</v>
      </c>
      <c r="AK8" s="347">
        <f ca="1">ROUND(+AJ8+AG8,5)</f>
        <v>8796613.1096599996</v>
      </c>
    </row>
    <row r="9" spans="1:37" ht="15.75">
      <c r="A9" s="296"/>
      <c r="B9" s="320" t="s">
        <v>765</v>
      </c>
      <c r="C9" s="350">
        <v>2.9336479477470194E-2</v>
      </c>
      <c r="D9" s="317"/>
      <c r="E9" s="296"/>
      <c r="F9" s="351">
        <f t="shared" ref="F9:F49" si="0">+F8+1</f>
        <v>3</v>
      </c>
      <c r="G9" s="323"/>
      <c r="H9" s="341" t="s">
        <v>766</v>
      </c>
      <c r="I9" s="354">
        <f>+I7-I8</f>
        <v>-51542.019833212718</v>
      </c>
      <c r="J9" s="312"/>
      <c r="K9" s="354">
        <f ca="1">+K7-K8</f>
        <v>702604.76144651137</v>
      </c>
      <c r="L9" s="323"/>
      <c r="M9" s="355">
        <f ca="1">+M7-M8</f>
        <v>702604.76144651137</v>
      </c>
      <c r="O9" s="326"/>
      <c r="P9" s="297"/>
      <c r="R9" s="356">
        <v>4</v>
      </c>
      <c r="S9" s="344">
        <f>Revenue/Investment*100</f>
        <v>236.55777193078916</v>
      </c>
      <c r="T9" s="345">
        <f>EXP(y_inter1-(slope*LN(+S9)))</f>
        <v>7.9601617172178338</v>
      </c>
      <c r="U9" s="346">
        <f>(+S9*T9/100)/100</f>
        <v>0.18830381200338153</v>
      </c>
      <c r="V9" s="346">
        <f>regDebt_weighted</f>
        <v>3.5860000000000003E-2</v>
      </c>
      <c r="W9" s="346">
        <f>+U9-V9</f>
        <v>0.15244381200338153</v>
      </c>
      <c r="X9" s="346">
        <f>+((W9*(1-0.34))-Pfd_weighted)/Equity_percent</f>
        <v>0.27448522070416226</v>
      </c>
      <c r="Y9" s="346">
        <f>+Y8</f>
        <v>2.5000000000000001E-3</v>
      </c>
      <c r="Z9" s="346">
        <f>+X9+Y9</f>
        <v>0.27698522070416226</v>
      </c>
      <c r="AA9" s="346">
        <f>Z9*equityP</f>
        <v>0.14063501947323986</v>
      </c>
      <c r="AB9" s="346">
        <f>+AA9/(1-taxrate)</f>
        <v>0.17801901199144285</v>
      </c>
      <c r="AC9" s="346">
        <f>debtP*Debt_Rate</f>
        <v>1.4441329649252934E-2</v>
      </c>
      <c r="AD9" s="346">
        <f>AC9+AB9</f>
        <v>0.19246034164069578</v>
      </c>
      <c r="AE9" s="346">
        <f>AD9/(S9/100)</f>
        <v>8.1358705769770626E-2</v>
      </c>
      <c r="AF9" s="346">
        <f>1-AE9</f>
        <v>0.91864129423022933</v>
      </c>
      <c r="AG9" s="347">
        <f>expenses/(AF9)</f>
        <v>8777776.1563916132</v>
      </c>
      <c r="AH9" s="348">
        <f>+AG9-Revenue</f>
        <v>765690.52745398693</v>
      </c>
      <c r="AI9" s="349">
        <f ca="1">+AH9/$J$49</f>
        <v>852728.4737393799</v>
      </c>
      <c r="AJ9" s="349">
        <f ca="1">+AI9*$J$47</f>
        <v>18836.953267620316</v>
      </c>
      <c r="AK9" s="347">
        <f ca="1">ROUND(+AJ9+AG9,5)</f>
        <v>8796613.1096599996</v>
      </c>
    </row>
    <row r="10" spans="1:37" ht="15.75">
      <c r="A10" s="296"/>
      <c r="B10" s="357" t="s">
        <v>767</v>
      </c>
      <c r="C10" s="350">
        <v>0.21</v>
      </c>
      <c r="D10" s="317"/>
      <c r="E10" s="296"/>
      <c r="F10" s="351">
        <f t="shared" si="0"/>
        <v>4</v>
      </c>
      <c r="G10" s="323"/>
      <c r="H10" s="323"/>
      <c r="I10" s="312"/>
      <c r="J10" s="312"/>
      <c r="K10" s="342"/>
      <c r="L10" s="323"/>
      <c r="M10" s="323"/>
      <c r="O10" s="326"/>
      <c r="P10" s="296"/>
      <c r="R10" s="315" t="s">
        <v>768</v>
      </c>
    </row>
    <row r="11" spans="1:37" ht="15.75">
      <c r="A11" s="296"/>
      <c r="B11" s="320" t="s">
        <v>769</v>
      </c>
      <c r="C11" s="358">
        <v>1.4999999999999999E-2</v>
      </c>
      <c r="D11" s="317"/>
      <c r="E11" s="296"/>
      <c r="F11" s="351">
        <f t="shared" si="0"/>
        <v>5</v>
      </c>
      <c r="G11" s="323"/>
      <c r="H11" s="341" t="s">
        <v>770</v>
      </c>
      <c r="I11" s="342">
        <f>+K11</f>
        <v>48912.013670547545</v>
      </c>
      <c r="J11" s="312"/>
      <c r="K11" s="342">
        <f>+M27</f>
        <v>48912.013670547545</v>
      </c>
      <c r="L11" s="323"/>
      <c r="M11" s="342">
        <f>+K11</f>
        <v>48912.013670547545</v>
      </c>
      <c r="O11" s="326"/>
      <c r="P11" s="296"/>
      <c r="R11" s="333">
        <v>1</v>
      </c>
      <c r="S11" s="334">
        <f ca="1">IF((AK6/Investment*100)&gt;0,(AK6/Investment*100),0)</f>
        <v>259.72103820790807</v>
      </c>
      <c r="T11" s="335">
        <f ca="1">EXP(y_inter1-(slope*LN(S11)))</f>
        <v>7.7390803070024594</v>
      </c>
      <c r="U11" s="336">
        <f ca="1">(+S11*T11/100)/100</f>
        <v>0.20100019721090548</v>
      </c>
      <c r="V11" s="336">
        <f>regDebt_weighted</f>
        <v>3.5860000000000003E-2</v>
      </c>
      <c r="W11" s="336">
        <f ca="1">+U11-V11</f>
        <v>0.16514019721090548</v>
      </c>
      <c r="X11" s="336">
        <f ca="1">+((W11*(1-0.34))-Pfd_weighted)/Equity_percent</f>
        <v>0.29884456441627211</v>
      </c>
      <c r="Y11" s="336">
        <f>+Y9</f>
        <v>2.5000000000000001E-3</v>
      </c>
      <c r="Z11" s="336">
        <f ca="1">+X11+Y11</f>
        <v>0.30134456441627211</v>
      </c>
      <c r="AA11" s="336">
        <f ca="1">Z11*equityP</f>
        <v>0.15300310455950827</v>
      </c>
      <c r="AB11" s="336">
        <f ca="1">+AA11/(1-taxrate)</f>
        <v>0.19367481589811172</v>
      </c>
      <c r="AC11" s="336">
        <f>debtP*Debt_Rate</f>
        <v>1.4441329649252934E-2</v>
      </c>
      <c r="AD11" s="336">
        <f ca="1">+AC11+AB11</f>
        <v>0.20811614554736466</v>
      </c>
      <c r="AE11" s="336">
        <f ca="1">+AD11/(S11/100)</f>
        <v>8.0130645935877778E-2</v>
      </c>
      <c r="AF11" s="336">
        <f ca="1">1-AE11</f>
        <v>0.91986935406412218</v>
      </c>
      <c r="AG11" s="337">
        <f ca="1">expenses/(AF11)</f>
        <v>8766057.4984311741</v>
      </c>
      <c r="AH11" s="338">
        <f ca="1">+AG11-Revenue</f>
        <v>753971.86949354783</v>
      </c>
      <c r="AI11" s="339">
        <f ca="1">+AH11/$J$49</f>
        <v>839677.72678798891</v>
      </c>
      <c r="AJ11" s="339">
        <f ca="1">+AI11*$J$47</f>
        <v>18548.65949298787</v>
      </c>
      <c r="AK11" s="337">
        <f ca="1">ROUND(+AJ11+AG11,5)</f>
        <v>8784606.1579199992</v>
      </c>
    </row>
    <row r="12" spans="1:37" ht="15.75">
      <c r="A12" s="296"/>
      <c r="B12" s="320" t="s">
        <v>771</v>
      </c>
      <c r="C12" s="358">
        <v>5.1000000000000004E-3</v>
      </c>
      <c r="D12" s="317"/>
      <c r="E12" s="296"/>
      <c r="F12" s="351">
        <f t="shared" si="0"/>
        <v>6</v>
      </c>
      <c r="G12" s="323"/>
      <c r="H12" s="341" t="s">
        <v>772</v>
      </c>
      <c r="I12" s="342">
        <f ca="1">IF(I14&lt;0,0,+J38*I14)</f>
        <v>0</v>
      </c>
      <c r="J12" s="342">
        <f ca="1">+K12-I12</f>
        <v>137275.47703295242</v>
      </c>
      <c r="K12" s="342">
        <f ca="1">+(K9-K11)*taxrate</f>
        <v>137275.47703295242</v>
      </c>
      <c r="L12" s="323"/>
      <c r="M12" s="342">
        <f ca="1">+K12</f>
        <v>137275.47703295242</v>
      </c>
      <c r="O12" s="326"/>
      <c r="P12" s="296"/>
      <c r="R12" s="343">
        <v>2</v>
      </c>
      <c r="S12" s="344">
        <f ca="1">IF((AK7/Investment*100)&gt;0,(AK7/Investment*100),0)</f>
        <v>259.72103820790807</v>
      </c>
      <c r="T12" s="359">
        <f ca="1">EXP(y_inter2-(slope*LN(+S12)))</f>
        <v>7.7390803070024594</v>
      </c>
      <c r="U12" s="346">
        <f ca="1">(+S12*T12/100)/100</f>
        <v>0.20100019721090548</v>
      </c>
      <c r="V12" s="346">
        <f>regDebt_weighted</f>
        <v>3.5860000000000003E-2</v>
      </c>
      <c r="W12" s="346">
        <f ca="1">+U12-V12</f>
        <v>0.16514019721090548</v>
      </c>
      <c r="X12" s="346">
        <f ca="1">+((W12*(1-0.34))-Pfd_weighted)/Equity_percent</f>
        <v>0.29884456441627211</v>
      </c>
      <c r="Y12" s="346">
        <f>+Y11</f>
        <v>2.5000000000000001E-3</v>
      </c>
      <c r="Z12" s="346">
        <f ca="1">+X12+Y12</f>
        <v>0.30134456441627211</v>
      </c>
      <c r="AA12" s="346">
        <f ca="1">Z12*equityP</f>
        <v>0.15300310455950827</v>
      </c>
      <c r="AB12" s="346">
        <f ca="1">+AA12/(1-taxrate)</f>
        <v>0.19367481589811172</v>
      </c>
      <c r="AC12" s="346">
        <f>debtP*Debt_Rate</f>
        <v>1.4441329649252934E-2</v>
      </c>
      <c r="AD12" s="346">
        <f ca="1">+AC12+AB12</f>
        <v>0.20811614554736466</v>
      </c>
      <c r="AE12" s="346">
        <f ca="1">+AD12/(S12/100)</f>
        <v>8.0130645935877778E-2</v>
      </c>
      <c r="AF12" s="346">
        <f ca="1">1-AE12</f>
        <v>0.91986935406412218</v>
      </c>
      <c r="AG12" s="347">
        <f ca="1">expenses/(AF12)</f>
        <v>8766057.4984311741</v>
      </c>
      <c r="AH12" s="348">
        <f ca="1">+AG12-Revenue</f>
        <v>753971.86949354783</v>
      </c>
      <c r="AI12" s="349">
        <f ca="1">+AH12/$J$49</f>
        <v>839677.72678798891</v>
      </c>
      <c r="AJ12" s="349">
        <f ca="1">+AI12*$J$47</f>
        <v>18548.65949298787</v>
      </c>
      <c r="AK12" s="347">
        <f ca="1">ROUND(+AJ12+AG12,5)</f>
        <v>8784606.1579199992</v>
      </c>
    </row>
    <row r="13" spans="1:37" ht="15.75">
      <c r="A13" s="296"/>
      <c r="B13" s="320" t="s">
        <v>773</v>
      </c>
      <c r="C13" s="358">
        <v>0</v>
      </c>
      <c r="D13" s="317"/>
      <c r="E13" s="296"/>
      <c r="F13" s="351">
        <f t="shared" si="0"/>
        <v>7</v>
      </c>
      <c r="G13" s="323"/>
      <c r="H13" s="323"/>
      <c r="I13" s="312"/>
      <c r="J13" s="312"/>
      <c r="K13" s="342"/>
      <c r="L13" s="323"/>
      <c r="M13" s="323"/>
      <c r="O13" s="326"/>
      <c r="P13" s="296"/>
      <c r="R13" s="353">
        <v>3</v>
      </c>
      <c r="S13" s="344">
        <f ca="1">IF((AK8/Investment*100)&gt;0,(AK8/Investment*100),0)</f>
        <v>259.72103820790807</v>
      </c>
      <c r="T13" s="345">
        <f ca="1">EXP(y_inter3-(slope*LN(S13)))</f>
        <v>7.7390803070024594</v>
      </c>
      <c r="U13" s="346">
        <f ca="1">(+S13*T13/100)/100</f>
        <v>0.20100019721090548</v>
      </c>
      <c r="V13" s="346">
        <f>regDebt_weighted</f>
        <v>3.5860000000000003E-2</v>
      </c>
      <c r="W13" s="346">
        <f ca="1">+U13-V13</f>
        <v>0.16514019721090548</v>
      </c>
      <c r="X13" s="346">
        <f ca="1">+((W13*(1-0.34))-Pfd_weighted)/Equity_percent</f>
        <v>0.29884456441627211</v>
      </c>
      <c r="Y13" s="346">
        <f>+Y12</f>
        <v>2.5000000000000001E-3</v>
      </c>
      <c r="Z13" s="346">
        <f ca="1">+X13+Y13</f>
        <v>0.30134456441627211</v>
      </c>
      <c r="AA13" s="346">
        <f ca="1">Z13*equityP</f>
        <v>0.15300310455950827</v>
      </c>
      <c r="AB13" s="346">
        <f ca="1">+AA13/(1-taxrate)</f>
        <v>0.19367481589811172</v>
      </c>
      <c r="AC13" s="346">
        <f>debtP*Debt_Rate</f>
        <v>1.4441329649252934E-2</v>
      </c>
      <c r="AD13" s="346">
        <f ca="1">+AC13+AB13</f>
        <v>0.20811614554736466</v>
      </c>
      <c r="AE13" s="346">
        <f ca="1">+AD13/(S13/100)</f>
        <v>8.0130645935877778E-2</v>
      </c>
      <c r="AF13" s="346">
        <f ca="1">1-AE13</f>
        <v>0.91986935406412218</v>
      </c>
      <c r="AG13" s="347">
        <f ca="1">expenses/(AF13)</f>
        <v>8766057.4984311741</v>
      </c>
      <c r="AH13" s="348">
        <f ca="1">+AG13-Revenue</f>
        <v>753971.86949354783</v>
      </c>
      <c r="AI13" s="349">
        <f ca="1">+AH13/$J$49</f>
        <v>839677.72678798891</v>
      </c>
      <c r="AJ13" s="349">
        <f ca="1">+AI13*$J$47</f>
        <v>18548.65949298787</v>
      </c>
      <c r="AK13" s="347">
        <f ca="1">ROUND(+AJ13+AG13,5)</f>
        <v>8784606.1579199992</v>
      </c>
    </row>
    <row r="14" spans="1:37" ht="16.5" thickBot="1">
      <c r="A14" s="296"/>
      <c r="B14" s="360" t="s">
        <v>774</v>
      </c>
      <c r="C14" s="358">
        <v>1.9902125913734531E-3</v>
      </c>
      <c r="D14" s="317"/>
      <c r="E14" s="296"/>
      <c r="F14" s="351">
        <f t="shared" si="0"/>
        <v>8</v>
      </c>
      <c r="G14" s="323"/>
      <c r="H14" s="323" t="s">
        <v>775</v>
      </c>
      <c r="I14" s="361">
        <f ca="1">+I9-SUM(I11:I13)</f>
        <v>-100454.03350376026</v>
      </c>
      <c r="J14" s="312"/>
      <c r="K14" s="361">
        <f ca="1">+K9-SUM(K11:K13)</f>
        <v>516417.27074301138</v>
      </c>
      <c r="L14" s="323"/>
      <c r="M14" s="361">
        <f ca="1">+M9-SUM(M11:M13)</f>
        <v>516417.27074301138</v>
      </c>
      <c r="O14" s="326"/>
      <c r="P14" s="296"/>
      <c r="R14" s="356">
        <v>4</v>
      </c>
      <c r="S14" s="344">
        <f ca="1">IF((AK9/Investment*100)&gt;0,(AK9/Investment*100),0)</f>
        <v>259.72103820790807</v>
      </c>
      <c r="T14" s="362">
        <f ca="1">EXP(y_inter4-(slope*LN(S14)))</f>
        <v>7.7390803070024594</v>
      </c>
      <c r="U14" s="346">
        <f ca="1">(+S14*T14/100)/100</f>
        <v>0.20100019721090548</v>
      </c>
      <c r="V14" s="346">
        <f>regDebt_weighted</f>
        <v>3.5860000000000003E-2</v>
      </c>
      <c r="W14" s="346">
        <f ca="1">+U14-V14</f>
        <v>0.16514019721090548</v>
      </c>
      <c r="X14" s="346">
        <f ca="1">+((W14*(1-0.34))-Pfd_weighted)/Equity_percent</f>
        <v>0.29884456441627211</v>
      </c>
      <c r="Y14" s="346">
        <f>+Y13</f>
        <v>2.5000000000000001E-3</v>
      </c>
      <c r="Z14" s="346">
        <f ca="1">+X14+Y14</f>
        <v>0.30134456441627211</v>
      </c>
      <c r="AA14" s="346">
        <f ca="1">Z14*equityP</f>
        <v>0.15300310455950827</v>
      </c>
      <c r="AB14" s="346">
        <f ca="1">+AA14/(1-taxrate)</f>
        <v>0.19367481589811172</v>
      </c>
      <c r="AC14" s="346">
        <f>debtP*Debt_Rate</f>
        <v>1.4441329649252934E-2</v>
      </c>
      <c r="AD14" s="346">
        <f ca="1">+AC14+AB14</f>
        <v>0.20811614554736466</v>
      </c>
      <c r="AE14" s="346">
        <f ca="1">+AD14/(S14/100)</f>
        <v>8.0130645935877778E-2</v>
      </c>
      <c r="AF14" s="346">
        <f ca="1">1-AE14</f>
        <v>0.91986935406412218</v>
      </c>
      <c r="AG14" s="347">
        <f ca="1">expenses/(AF14)</f>
        <v>8766057.4984311741</v>
      </c>
      <c r="AH14" s="348">
        <f ca="1">+AG14-Revenue</f>
        <v>753971.86949354783</v>
      </c>
      <c r="AI14" s="349">
        <f ca="1">+AH14/$J$49</f>
        <v>839677.72678798891</v>
      </c>
      <c r="AJ14" s="349">
        <f ca="1">+AI14*$J$47</f>
        <v>18548.65949298787</v>
      </c>
      <c r="AK14" s="347">
        <f ca="1">ROUND(+AJ14+AG14,5)</f>
        <v>8784606.1579199992</v>
      </c>
    </row>
    <row r="15" spans="1:37" ht="16.5" thickTop="1">
      <c r="A15" s="296"/>
      <c r="B15" s="360" t="s">
        <v>776</v>
      </c>
      <c r="C15" s="363">
        <v>2.5000000000000001E-3</v>
      </c>
      <c r="D15" s="296"/>
      <c r="E15" s="296"/>
      <c r="F15" s="351">
        <f t="shared" si="0"/>
        <v>9</v>
      </c>
      <c r="G15" s="312"/>
      <c r="H15" s="312"/>
      <c r="I15" s="312"/>
      <c r="J15" s="312"/>
      <c r="K15" s="352"/>
      <c r="L15" s="312"/>
      <c r="M15" s="312"/>
      <c r="O15" s="326"/>
      <c r="P15" s="296"/>
      <c r="R15" s="315" t="s">
        <v>777</v>
      </c>
    </row>
    <row r="16" spans="1:37" ht="15.75">
      <c r="A16" s="296"/>
      <c r="B16" s="296"/>
      <c r="C16" s="296"/>
      <c r="D16" s="317" t="s">
        <v>778</v>
      </c>
      <c r="E16" s="296"/>
      <c r="F16" s="351">
        <f t="shared" si="0"/>
        <v>10</v>
      </c>
      <c r="G16" s="312"/>
      <c r="H16" s="341" t="s">
        <v>779</v>
      </c>
      <c r="I16" s="364">
        <f>+I8/I7</f>
        <v>1.0064330340713106</v>
      </c>
      <c r="J16" s="365"/>
      <c r="K16" s="364">
        <f ca="1">+K8/K7</f>
        <v>0.91985099999999986</v>
      </c>
      <c r="L16" s="366"/>
      <c r="M16" s="364">
        <f ca="1">+M8/M7</f>
        <v>0.92002027008820519</v>
      </c>
      <c r="O16" s="326"/>
      <c r="P16" s="296"/>
      <c r="R16" s="367">
        <v>1</v>
      </c>
      <c r="S16" s="368">
        <f ca="1">AK11/Investment*100</f>
        <v>259.36653154349642</v>
      </c>
      <c r="T16" s="335">
        <f ca="1">EXP(y_inter1-(slope*LN(+S16)))</f>
        <v>7.7422682103609928</v>
      </c>
      <c r="U16" s="336">
        <f ca="1">(+S16*T16/100)/100</f>
        <v>0.20080852520008041</v>
      </c>
      <c r="V16" s="336">
        <f>regDebt_weighted</f>
        <v>3.5860000000000003E-2</v>
      </c>
      <c r="W16" s="336">
        <f ca="1">+U16-V16</f>
        <v>0.16494852520008041</v>
      </c>
      <c r="X16" s="336">
        <f ca="1">+((W16*(1-0.34))-Pfd_weighted)/Equity_percent</f>
        <v>0.29847682160480543</v>
      </c>
      <c r="Y16" s="336">
        <f>+Y14</f>
        <v>2.5000000000000001E-3</v>
      </c>
      <c r="Z16" s="336">
        <f ca="1">+X16+Y16</f>
        <v>0.30097682160480543</v>
      </c>
      <c r="AA16" s="336">
        <f ca="1">Z16*equityP</f>
        <v>0.15281638875813705</v>
      </c>
      <c r="AB16" s="336">
        <f ca="1">+AA16/(1-taxrate)</f>
        <v>0.19343846678245197</v>
      </c>
      <c r="AC16" s="336">
        <f>debtP*Debt_Rate</f>
        <v>1.4441329649252934E-2</v>
      </c>
      <c r="AD16" s="336">
        <f ca="1">+AC16+AB16</f>
        <v>0.2078797964317049</v>
      </c>
      <c r="AE16" s="336">
        <f ca="1">+AD16/(S16/100)</f>
        <v>8.0149044363822614E-2</v>
      </c>
      <c r="AF16" s="336">
        <f ca="1">1-AE16</f>
        <v>0.91985095563617736</v>
      </c>
      <c r="AG16" s="369">
        <f ca="1">expenses/(AF16)</f>
        <v>8766232.8330071252</v>
      </c>
      <c r="AH16" s="370">
        <f ca="1">+AG16-Revenue</f>
        <v>754147.20406949893</v>
      </c>
      <c r="AI16" s="339">
        <f ca="1">+AH16/$J$49</f>
        <v>839872.99208118988</v>
      </c>
      <c r="AJ16" s="339">
        <f ca="1">+AI16*$J$47</f>
        <v>18552.972944826397</v>
      </c>
      <c r="AK16" s="369">
        <f ca="1">ROUND(+AJ16+AG16,5)</f>
        <v>8784785.8059500009</v>
      </c>
    </row>
    <row r="17" spans="1:37" ht="15.75">
      <c r="A17" s="296"/>
      <c r="B17" s="371" t="s">
        <v>780</v>
      </c>
      <c r="C17" s="372"/>
      <c r="D17" s="296" t="s">
        <v>781</v>
      </c>
      <c r="E17" s="296"/>
      <c r="F17" s="351">
        <f t="shared" si="0"/>
        <v>11</v>
      </c>
      <c r="G17" s="312"/>
      <c r="H17" s="312"/>
      <c r="I17" s="312"/>
      <c r="K17" s="312"/>
      <c r="L17" s="341"/>
      <c r="M17" s="341"/>
      <c r="N17" s="364"/>
      <c r="O17" s="296"/>
      <c r="P17" s="296"/>
      <c r="R17" s="343">
        <v>2</v>
      </c>
      <c r="S17" s="344">
        <f ca="1">AK12/Investment*100</f>
        <v>259.36653154349642</v>
      </c>
      <c r="T17" s="359">
        <f ca="1">EXP(y_inter2-(slope*LN(+S17)))</f>
        <v>7.7422682103609928</v>
      </c>
      <c r="U17" s="346">
        <f ca="1">(+S17*T17/100)/100</f>
        <v>0.20080852520008041</v>
      </c>
      <c r="V17" s="346">
        <f>regDebt_weighted</f>
        <v>3.5860000000000003E-2</v>
      </c>
      <c r="W17" s="346">
        <f ca="1">+U17-V17</f>
        <v>0.16494852520008041</v>
      </c>
      <c r="X17" s="346">
        <f ca="1">+((W17*(1-0.34))-Pfd_weighted)/Equity_percent</f>
        <v>0.29847682160480543</v>
      </c>
      <c r="Y17" s="346">
        <f>+Y16</f>
        <v>2.5000000000000001E-3</v>
      </c>
      <c r="Z17" s="346">
        <f ca="1">+X17+Y17</f>
        <v>0.30097682160480543</v>
      </c>
      <c r="AA17" s="346">
        <f ca="1">Z17*equityP</f>
        <v>0.15281638875813705</v>
      </c>
      <c r="AB17" s="346">
        <f ca="1">+AA17/(1-taxrate)</f>
        <v>0.19343846678245197</v>
      </c>
      <c r="AC17" s="346">
        <f>debtP*Debt_Rate</f>
        <v>1.4441329649252934E-2</v>
      </c>
      <c r="AD17" s="346">
        <f ca="1">+AC17+AB17</f>
        <v>0.2078797964317049</v>
      </c>
      <c r="AE17" s="346">
        <f ca="1">+AD17/(S17/100)</f>
        <v>8.0149044363822614E-2</v>
      </c>
      <c r="AF17" s="346">
        <f ca="1">1-AE17</f>
        <v>0.91985095563617736</v>
      </c>
      <c r="AG17" s="347">
        <f ca="1">expenses/(AF17)</f>
        <v>8766232.8330071252</v>
      </c>
      <c r="AH17" s="348">
        <f ca="1">+AG17-Revenue</f>
        <v>754147.20406949893</v>
      </c>
      <c r="AI17" s="349">
        <f ca="1">+AH17/$J$49</f>
        <v>839872.99208118988</v>
      </c>
      <c r="AJ17" s="349">
        <f ca="1">+AI17*$J$47</f>
        <v>18552.972944826397</v>
      </c>
      <c r="AK17" s="347">
        <f ca="1">ROUND(+AJ17+AG17,5)</f>
        <v>8784785.8059500009</v>
      </c>
    </row>
    <row r="18" spans="1:37" ht="15.75">
      <c r="A18" s="296"/>
      <c r="B18" s="522"/>
      <c r="C18" s="522"/>
      <c r="D18" s="296"/>
      <c r="E18" s="296"/>
      <c r="F18" s="351">
        <f t="shared" si="0"/>
        <v>12</v>
      </c>
      <c r="G18" s="312"/>
      <c r="H18" s="373" t="s">
        <v>461</v>
      </c>
      <c r="I18" s="374"/>
      <c r="J18" s="374"/>
      <c r="K18" s="374"/>
      <c r="L18" s="374"/>
      <c r="M18" s="375"/>
      <c r="O18" s="296"/>
      <c r="P18" s="296"/>
      <c r="R18" s="353">
        <v>3</v>
      </c>
      <c r="S18" s="344">
        <f ca="1">AK13/Investment*100</f>
        <v>259.36653154349642</v>
      </c>
      <c r="T18" s="345">
        <f ca="1">EXP(y_inter3-(slope*LN(S18)))</f>
        <v>7.7422682103609928</v>
      </c>
      <c r="U18" s="346">
        <f ca="1">(+S18*T18/100)/100</f>
        <v>0.20080852520008041</v>
      </c>
      <c r="V18" s="346">
        <f>regDebt_weighted</f>
        <v>3.5860000000000003E-2</v>
      </c>
      <c r="W18" s="346">
        <f ca="1">+U18-V18</f>
        <v>0.16494852520008041</v>
      </c>
      <c r="X18" s="346">
        <f ca="1">+((W18*(1-0.34))-Pfd_weighted)/Equity_percent</f>
        <v>0.29847682160480543</v>
      </c>
      <c r="Y18" s="346">
        <f>+Y17</f>
        <v>2.5000000000000001E-3</v>
      </c>
      <c r="Z18" s="346">
        <f ca="1">+X18+Y18</f>
        <v>0.30097682160480543</v>
      </c>
      <c r="AA18" s="346">
        <f ca="1">Z18*equityP</f>
        <v>0.15281638875813705</v>
      </c>
      <c r="AB18" s="346">
        <f ca="1">+AA18/(1-taxrate)</f>
        <v>0.19343846678245197</v>
      </c>
      <c r="AC18" s="346">
        <f>debtP*Debt_Rate</f>
        <v>1.4441329649252934E-2</v>
      </c>
      <c r="AD18" s="346">
        <f ca="1">+AC18+AB18</f>
        <v>0.2078797964317049</v>
      </c>
      <c r="AE18" s="346">
        <f ca="1">+AD18/(S18/100)</f>
        <v>8.0149044363822614E-2</v>
      </c>
      <c r="AF18" s="346">
        <f ca="1">1-AE18</f>
        <v>0.91985095563617736</v>
      </c>
      <c r="AG18" s="347">
        <f ca="1">expenses/(AF18)</f>
        <v>8766232.8330071252</v>
      </c>
      <c r="AH18" s="348">
        <f ca="1">+AG18-Revenue</f>
        <v>754147.20406949893</v>
      </c>
      <c r="AI18" s="349">
        <f ca="1">+AH18/$J$49</f>
        <v>839872.99208118988</v>
      </c>
      <c r="AJ18" s="349">
        <f ca="1">+AI18*$J$47</f>
        <v>18552.972944826397</v>
      </c>
      <c r="AK18" s="347">
        <f ca="1">ROUND(+AJ18+AG18,5)</f>
        <v>8784785.8059500009</v>
      </c>
    </row>
    <row r="19" spans="1:37" ht="15.75">
      <c r="A19" s="296"/>
      <c r="B19" s="523" t="s">
        <v>782</v>
      </c>
      <c r="C19" s="523"/>
      <c r="D19" s="296"/>
      <c r="E19" s="296"/>
      <c r="F19" s="351">
        <f t="shared" si="0"/>
        <v>13</v>
      </c>
      <c r="G19" s="312"/>
      <c r="H19" s="318"/>
      <c r="I19" s="341" t="s">
        <v>783</v>
      </c>
      <c r="J19" s="342">
        <f>+Revenue</f>
        <v>8012085.6289376263</v>
      </c>
      <c r="K19" s="376"/>
      <c r="L19" s="341" t="s">
        <v>784</v>
      </c>
      <c r="M19" s="377">
        <f ca="1">+J7</f>
        <v>754146.78127972409</v>
      </c>
      <c r="O19" s="296"/>
      <c r="P19" s="296"/>
      <c r="R19" s="356">
        <v>4</v>
      </c>
      <c r="S19" s="344">
        <f ca="1">AK14/Investment*100</f>
        <v>259.36653154349642</v>
      </c>
      <c r="T19" s="362">
        <f ca="1">EXP(y_inter4-(slope*LN(S19)))</f>
        <v>7.7422682103609928</v>
      </c>
      <c r="U19" s="346">
        <f ca="1">(+S19*T19/100)/100</f>
        <v>0.20080852520008041</v>
      </c>
      <c r="V19" s="346">
        <f>regDebt_weighted</f>
        <v>3.5860000000000003E-2</v>
      </c>
      <c r="W19" s="346">
        <f ca="1">+U19-V19</f>
        <v>0.16494852520008041</v>
      </c>
      <c r="X19" s="346">
        <f ca="1">+((W19*(1-0.34))-Pfd_weighted)/Equity_percent</f>
        <v>0.29847682160480543</v>
      </c>
      <c r="Y19" s="346">
        <f>+Y18</f>
        <v>2.5000000000000001E-3</v>
      </c>
      <c r="Z19" s="346">
        <f ca="1">+X19+Y19</f>
        <v>0.30097682160480543</v>
      </c>
      <c r="AA19" s="346">
        <f ca="1">Z19*equityP</f>
        <v>0.15281638875813705</v>
      </c>
      <c r="AB19" s="346">
        <f ca="1">+AA19/(1-taxrate)</f>
        <v>0.19343846678245197</v>
      </c>
      <c r="AC19" s="346">
        <f>debtP*Debt_Rate</f>
        <v>1.4441329649252934E-2</v>
      </c>
      <c r="AD19" s="346">
        <f ca="1">+AC19+AB19</f>
        <v>0.2078797964317049</v>
      </c>
      <c r="AE19" s="346">
        <f ca="1">+AD19/(S19/100)</f>
        <v>8.0149044363822614E-2</v>
      </c>
      <c r="AF19" s="346">
        <f ca="1">1-AE19</f>
        <v>0.91985095563617736</v>
      </c>
      <c r="AG19" s="347">
        <f ca="1">expenses/(AF19)</f>
        <v>8766232.8330071252</v>
      </c>
      <c r="AH19" s="348">
        <f ca="1">+AG19-Revenue</f>
        <v>754147.20406949893</v>
      </c>
      <c r="AI19" s="349">
        <f ca="1">+AH19/$J$49</f>
        <v>839872.99208118988</v>
      </c>
      <c r="AJ19" s="349">
        <f ca="1">+AI19*$J$47</f>
        <v>18552.972944826397</v>
      </c>
      <c r="AK19" s="347">
        <f ca="1">ROUND(+AJ19+AG19,5)</f>
        <v>8784785.8059500009</v>
      </c>
    </row>
    <row r="20" spans="1:37" ht="15.75">
      <c r="A20" s="296"/>
      <c r="B20" s="372"/>
      <c r="C20" s="296"/>
      <c r="D20" s="296"/>
      <c r="E20" s="296"/>
      <c r="F20" s="351">
        <f t="shared" si="0"/>
        <v>14</v>
      </c>
      <c r="G20" s="312"/>
      <c r="H20" s="318"/>
      <c r="I20" s="341" t="s">
        <v>472</v>
      </c>
      <c r="J20" s="342">
        <f ca="1">+J21-J19</f>
        <v>772699.74382338859</v>
      </c>
      <c r="K20" s="378"/>
      <c r="L20" s="341" t="s">
        <v>785</v>
      </c>
      <c r="M20" s="377">
        <f ca="1">+L8</f>
        <v>18552.962543664384</v>
      </c>
      <c r="O20" s="296"/>
      <c r="P20" s="296"/>
      <c r="R20" s="315" t="s">
        <v>786</v>
      </c>
    </row>
    <row r="21" spans="1:37" ht="16.5" thickBot="1">
      <c r="A21" s="296"/>
      <c r="B21" s="372"/>
      <c r="C21" s="372"/>
      <c r="D21" s="296"/>
      <c r="E21" s="296"/>
      <c r="F21" s="351">
        <f t="shared" si="0"/>
        <v>15</v>
      </c>
      <c r="G21" s="312"/>
      <c r="H21" s="318"/>
      <c r="I21" s="379" t="s">
        <v>461</v>
      </c>
      <c r="J21" s="380">
        <f ca="1">+M7</f>
        <v>8784785.3727610148</v>
      </c>
      <c r="L21" s="379" t="s">
        <v>472</v>
      </c>
      <c r="M21" s="381">
        <f ca="1">+M19+M20</f>
        <v>772699.74382338847</v>
      </c>
      <c r="O21" s="296"/>
      <c r="P21" s="382"/>
      <c r="R21" s="367">
        <v>1</v>
      </c>
      <c r="S21" s="368">
        <f ca="1">AK16/Investment*100</f>
        <v>259.3718356727428</v>
      </c>
      <c r="T21" s="335">
        <f ca="1">EXP(y_inter1-(slope*LN(+S21)))</f>
        <v>7.7422204711628764</v>
      </c>
      <c r="U21" s="336">
        <f ca="1">(+S21*T21/100)/100</f>
        <v>0.2008113935788603</v>
      </c>
      <c r="V21" s="336">
        <f>regDebt_weighted</f>
        <v>3.5860000000000003E-2</v>
      </c>
      <c r="W21" s="336">
        <f ca="1">+U21-V21</f>
        <v>0.16495139357886029</v>
      </c>
      <c r="X21" s="336">
        <f ca="1">+((W21*(1-0.34))-Pfd_weighted)/Equity_percent</f>
        <v>0.2984823248896738</v>
      </c>
      <c r="Y21" s="336">
        <f>+Y19</f>
        <v>2.5000000000000001E-3</v>
      </c>
      <c r="Z21" s="336">
        <f ca="1">+X21+Y21</f>
        <v>0.3009823248896738</v>
      </c>
      <c r="AA21" s="336">
        <f ca="1">Z21*equityP</f>
        <v>0.15281918296705788</v>
      </c>
      <c r="AB21" s="336">
        <f ca="1">+AA21/(1-taxrate)</f>
        <v>0.19344200375576945</v>
      </c>
      <c r="AC21" s="336">
        <f>debtP*Debt_Rate</f>
        <v>1.4441329649252934E-2</v>
      </c>
      <c r="AD21" s="336">
        <f ca="1">+AC21+AB21</f>
        <v>0.20788333340502238</v>
      </c>
      <c r="AE21" s="336">
        <f ca="1">+AD21/(S21/100)</f>
        <v>8.0148768992526626E-2</v>
      </c>
      <c r="AF21" s="336">
        <f ca="1">1-AE21</f>
        <v>0.91985123100747335</v>
      </c>
      <c r="AG21" s="369">
        <f ca="1">expenses/(AF21)</f>
        <v>8766230.2087035272</v>
      </c>
      <c r="AH21" s="370">
        <f ca="1">+AG21-Revenue</f>
        <v>754144.57976590097</v>
      </c>
      <c r="AI21" s="339">
        <f ca="1">+AH21/$J$49</f>
        <v>839870.0694664761</v>
      </c>
      <c r="AJ21" s="339">
        <f ca="1">+AI21*$J$47</f>
        <v>18552.908383646045</v>
      </c>
      <c r="AK21" s="369">
        <f ca="1">ROUND(+AJ21+AG21,5)</f>
        <v>8784783.1170899998</v>
      </c>
    </row>
    <row r="22" spans="1:37" ht="21" customHeight="1" thickTop="1">
      <c r="A22" s="296"/>
      <c r="B22" s="372"/>
      <c r="C22" s="296"/>
      <c r="D22" s="296"/>
      <c r="E22" s="296"/>
      <c r="F22" s="351">
        <f t="shared" si="0"/>
        <v>16</v>
      </c>
      <c r="G22" s="312"/>
      <c r="H22" s="383"/>
      <c r="I22" s="384"/>
      <c r="J22" s="385" t="s">
        <v>787</v>
      </c>
      <c r="K22" s="386">
        <f ca="1">+(J21/J19)-1</f>
        <v>9.6441773042538648E-2</v>
      </c>
      <c r="L22" s="384"/>
      <c r="M22" s="387"/>
      <c r="O22" s="296"/>
      <c r="P22" s="296"/>
      <c r="R22" s="343">
        <v>2</v>
      </c>
      <c r="S22" s="344">
        <f ca="1">AK17/Investment*100</f>
        <v>259.3718356727428</v>
      </c>
      <c r="T22" s="359">
        <f ca="1">EXP(y_inter2-(slope*LN(+S22)))</f>
        <v>7.7422204711628764</v>
      </c>
      <c r="U22" s="346">
        <f ca="1">(+S22*T22/100)/100</f>
        <v>0.2008113935788603</v>
      </c>
      <c r="V22" s="346">
        <f>regDebt_weighted</f>
        <v>3.5860000000000003E-2</v>
      </c>
      <c r="W22" s="346">
        <f ca="1">+U22-V22</f>
        <v>0.16495139357886029</v>
      </c>
      <c r="X22" s="346">
        <f ca="1">+((W22*(1-0.34))-Pfd_weighted)/Equity_percent</f>
        <v>0.2984823248896738</v>
      </c>
      <c r="Y22" s="346">
        <f>+Y21</f>
        <v>2.5000000000000001E-3</v>
      </c>
      <c r="Z22" s="346">
        <f ca="1">+X22+Y22</f>
        <v>0.3009823248896738</v>
      </c>
      <c r="AA22" s="346">
        <f ca="1">Z22*equityP</f>
        <v>0.15281918296705788</v>
      </c>
      <c r="AB22" s="346">
        <f ca="1">+AA22/(1-taxrate)</f>
        <v>0.19344200375576945</v>
      </c>
      <c r="AC22" s="346">
        <f>debtP*Debt_Rate</f>
        <v>1.4441329649252934E-2</v>
      </c>
      <c r="AD22" s="346">
        <f ca="1">+AC22+AB22</f>
        <v>0.20788333340502238</v>
      </c>
      <c r="AE22" s="346">
        <f ca="1">+AD22/(S22/100)</f>
        <v>8.0148768992526626E-2</v>
      </c>
      <c r="AF22" s="346">
        <f ca="1">1-AE22</f>
        <v>0.91985123100747335</v>
      </c>
      <c r="AG22" s="347">
        <f ca="1">expenses/(AF22)</f>
        <v>8766230.2087035272</v>
      </c>
      <c r="AH22" s="348">
        <f ca="1">+AG22-Revenue</f>
        <v>754144.57976590097</v>
      </c>
      <c r="AI22" s="349">
        <f ca="1">+AH22/$J$49</f>
        <v>839870.0694664761</v>
      </c>
      <c r="AJ22" s="349">
        <f ca="1">+AI22*$J$47</f>
        <v>18552.908383646045</v>
      </c>
      <c r="AK22" s="347">
        <f ca="1">ROUND(+AJ22+AG22,5)</f>
        <v>8784783.1170899998</v>
      </c>
    </row>
    <row r="23" spans="1:37" ht="15.75">
      <c r="A23" s="296"/>
      <c r="B23" s="388" t="s">
        <v>788</v>
      </c>
      <c r="C23" s="389"/>
      <c r="D23" s="389"/>
      <c r="E23" s="389"/>
      <c r="F23" s="351">
        <f t="shared" si="0"/>
        <v>17</v>
      </c>
      <c r="H23" s="312"/>
      <c r="I23" s="312"/>
      <c r="J23" s="312"/>
      <c r="K23" s="312"/>
      <c r="L23" s="312"/>
      <c r="M23" s="312"/>
      <c r="N23" s="312"/>
      <c r="O23" s="296"/>
      <c r="P23" s="296"/>
      <c r="R23" s="353">
        <v>3</v>
      </c>
      <c r="S23" s="344">
        <f ca="1">AK18/Investment*100</f>
        <v>259.3718356727428</v>
      </c>
      <c r="T23" s="345">
        <f ca="1">EXP(y_inter3-(slope*LN(S23)))</f>
        <v>7.7422204711628764</v>
      </c>
      <c r="U23" s="346">
        <f ca="1">(+S23*T23/100)/100</f>
        <v>0.2008113935788603</v>
      </c>
      <c r="V23" s="346">
        <f>regDebt_weighted</f>
        <v>3.5860000000000003E-2</v>
      </c>
      <c r="W23" s="346">
        <f ca="1">+U23-V23</f>
        <v>0.16495139357886029</v>
      </c>
      <c r="X23" s="346">
        <f ca="1">+((W23*(1-0.34))-Pfd_weighted)/Equity_percent</f>
        <v>0.2984823248896738</v>
      </c>
      <c r="Y23" s="346">
        <f>+Y22</f>
        <v>2.5000000000000001E-3</v>
      </c>
      <c r="Z23" s="346">
        <f ca="1">+X23+Y23</f>
        <v>0.3009823248896738</v>
      </c>
      <c r="AA23" s="346">
        <f ca="1">Z23*equityP</f>
        <v>0.15281918296705788</v>
      </c>
      <c r="AB23" s="346">
        <f ca="1">+AA23/(1-taxrate)</f>
        <v>0.19344200375576945</v>
      </c>
      <c r="AC23" s="346">
        <f>debtP*Debt_Rate</f>
        <v>1.4441329649252934E-2</v>
      </c>
      <c r="AD23" s="346">
        <f ca="1">+AC23+AB23</f>
        <v>0.20788333340502238</v>
      </c>
      <c r="AE23" s="346">
        <f ca="1">+AD23/(S23/100)</f>
        <v>8.0148768992526626E-2</v>
      </c>
      <c r="AF23" s="346">
        <f ca="1">1-AE23</f>
        <v>0.91985123100747335</v>
      </c>
      <c r="AG23" s="347">
        <f ca="1">expenses/(AF23)</f>
        <v>8766230.2087035272</v>
      </c>
      <c r="AH23" s="348">
        <f ca="1">+AG23-Revenue</f>
        <v>754144.57976590097</v>
      </c>
      <c r="AI23" s="349">
        <f ca="1">+AH23/$J$49</f>
        <v>839870.0694664761</v>
      </c>
      <c r="AJ23" s="349">
        <f ca="1">+AI23*$J$47</f>
        <v>18552.908383646045</v>
      </c>
      <c r="AK23" s="347">
        <f ca="1">ROUND(+AJ23+AG23,5)</f>
        <v>8784783.1170899998</v>
      </c>
    </row>
    <row r="24" spans="1:37" ht="15.75">
      <c r="A24" s="296"/>
      <c r="B24" s="390" t="s">
        <v>789</v>
      </c>
      <c r="C24" s="389"/>
      <c r="D24" s="389"/>
      <c r="E24" s="389"/>
      <c r="F24" s="351">
        <f t="shared" si="0"/>
        <v>18</v>
      </c>
      <c r="H24" s="391" t="s">
        <v>790</v>
      </c>
      <c r="K24" s="392" t="s">
        <v>791</v>
      </c>
      <c r="L24" s="392"/>
      <c r="M24" s="392"/>
      <c r="N24" s="392"/>
      <c r="O24" s="296"/>
      <c r="P24" s="296"/>
      <c r="R24" s="356">
        <v>4</v>
      </c>
      <c r="S24" s="344">
        <f ca="1">AK19/Investment*100</f>
        <v>259.3718356727428</v>
      </c>
      <c r="T24" s="362">
        <f ca="1">EXP(y_inter4-(slope*LN(S24)))</f>
        <v>7.7422204711628764</v>
      </c>
      <c r="U24" s="346">
        <f ca="1">(+S24*T24/100)/100</f>
        <v>0.2008113935788603</v>
      </c>
      <c r="V24" s="346">
        <f>regDebt_weighted</f>
        <v>3.5860000000000003E-2</v>
      </c>
      <c r="W24" s="346">
        <f ca="1">+U24-V24</f>
        <v>0.16495139357886029</v>
      </c>
      <c r="X24" s="346">
        <f ca="1">+((W24*(1-0.34))-Pfd_weighted)/Equity_percent</f>
        <v>0.2984823248896738</v>
      </c>
      <c r="Y24" s="346">
        <f>+Y23</f>
        <v>2.5000000000000001E-3</v>
      </c>
      <c r="Z24" s="346">
        <f ca="1">+X24+Y24</f>
        <v>0.3009823248896738</v>
      </c>
      <c r="AA24" s="346">
        <f ca="1">Z24*equityP</f>
        <v>0.15281918296705788</v>
      </c>
      <c r="AB24" s="346">
        <f ca="1">+AA24/(1-taxrate)</f>
        <v>0.19344200375576945</v>
      </c>
      <c r="AC24" s="346">
        <f>debtP*Debt_Rate</f>
        <v>1.4441329649252934E-2</v>
      </c>
      <c r="AD24" s="346">
        <f ca="1">+AC24+AB24</f>
        <v>0.20788333340502238</v>
      </c>
      <c r="AE24" s="346">
        <f ca="1">+AD24/(S24/100)</f>
        <v>8.0148768992526626E-2</v>
      </c>
      <c r="AF24" s="346">
        <f ca="1">1-AE24</f>
        <v>0.91985123100747335</v>
      </c>
      <c r="AG24" s="347">
        <f ca="1">expenses/(AF24)</f>
        <v>8766230.2087035272</v>
      </c>
      <c r="AH24" s="348">
        <f ca="1">+AG24-Revenue</f>
        <v>754144.57976590097</v>
      </c>
      <c r="AI24" s="349">
        <f ca="1">+AH24/$J$49</f>
        <v>839870.0694664761</v>
      </c>
      <c r="AJ24" s="349">
        <f ca="1">+AI24*$J$47</f>
        <v>18552.908383646045</v>
      </c>
      <c r="AK24" s="347">
        <f ca="1">ROUND(+AJ24+AG24,5)</f>
        <v>8784783.1170899998</v>
      </c>
    </row>
    <row r="25" spans="1:37" ht="15.75">
      <c r="A25" s="296"/>
      <c r="B25" s="390" t="s">
        <v>792</v>
      </c>
      <c r="C25" s="389"/>
      <c r="D25" s="389"/>
      <c r="E25" s="389"/>
      <c r="F25" s="351">
        <f t="shared" si="0"/>
        <v>19</v>
      </c>
      <c r="H25" s="393" t="s">
        <v>793</v>
      </c>
      <c r="I25" s="394" t="s">
        <v>794</v>
      </c>
      <c r="J25" s="395" t="s">
        <v>795</v>
      </c>
      <c r="K25" s="393" t="s">
        <v>796</v>
      </c>
      <c r="L25" s="395" t="s">
        <v>797</v>
      </c>
      <c r="M25" s="395" t="s">
        <v>795</v>
      </c>
      <c r="O25" s="296"/>
      <c r="P25" s="296"/>
      <c r="R25" s="315" t="s">
        <v>798</v>
      </c>
      <c r="W25" s="396"/>
      <c r="X25" s="397"/>
      <c r="Y25" s="397"/>
      <c r="Z25" s="397"/>
      <c r="AA25" s="345"/>
      <c r="AB25" s="345"/>
      <c r="AC25" s="397"/>
      <c r="AE25" s="397"/>
      <c r="AF25" s="397"/>
      <c r="AG25" s="345"/>
      <c r="AH25" s="396"/>
    </row>
    <row r="26" spans="1:37" ht="15.75">
      <c r="A26" s="296"/>
      <c r="B26" s="390" t="s">
        <v>799</v>
      </c>
      <c r="C26" s="389"/>
      <c r="D26" s="389"/>
      <c r="E26" s="389"/>
      <c r="F26" s="351">
        <f t="shared" si="0"/>
        <v>20</v>
      </c>
      <c r="H26" s="341" t="s">
        <v>751</v>
      </c>
      <c r="I26" s="398">
        <f>1-I27</f>
        <v>0.50773474164329857</v>
      </c>
      <c r="J26" s="399">
        <f>+I26*J28</f>
        <v>1719670.5031626818</v>
      </c>
      <c r="K26" s="364">
        <f ca="1">+K34</f>
        <v>0.30030012714252968</v>
      </c>
      <c r="L26" s="398">
        <f ca="1">+K26*I26</f>
        <v>0.15247280747016201</v>
      </c>
      <c r="M26" s="342">
        <f ca="1">+J26*K26</f>
        <v>516417.27074301132</v>
      </c>
      <c r="O26" s="296"/>
      <c r="P26" s="296"/>
      <c r="R26" s="367">
        <v>1</v>
      </c>
      <c r="S26" s="368">
        <f ca="1">AK21/Investment*100</f>
        <v>259.37175628383454</v>
      </c>
      <c r="T26" s="335">
        <f ca="1">EXP(y_inter1-(slope*LN(+S26)))</f>
        <v>7.7422211856841407</v>
      </c>
      <c r="U26" s="336">
        <f ca="1">(+S26*T26/100)/100</f>
        <v>0.20081135064688074</v>
      </c>
      <c r="V26" s="336">
        <f>regDebt_weighted</f>
        <v>3.5860000000000003E-2</v>
      </c>
      <c r="W26" s="336">
        <f ca="1">+U26-V26</f>
        <v>0.16495135064688074</v>
      </c>
      <c r="X26" s="336">
        <f ca="1">+((W26*(1-0.34))-Pfd_weighted)/Equity_percent</f>
        <v>0.29848224252017813</v>
      </c>
      <c r="Y26" s="336">
        <f>+Y24</f>
        <v>2.5000000000000001E-3</v>
      </c>
      <c r="Z26" s="336">
        <f ca="1">+X26+Y26</f>
        <v>0.30098224252017813</v>
      </c>
      <c r="AA26" s="336">
        <f ca="1">Z26*equityP</f>
        <v>0.15281914114520329</v>
      </c>
      <c r="AB26" s="336">
        <f ca="1">+AA26/(1-taxrate)</f>
        <v>0.193441950816713</v>
      </c>
      <c r="AC26" s="336">
        <f>debtP*Debt_Rate</f>
        <v>1.4441329649252934E-2</v>
      </c>
      <c r="AD26" s="336">
        <f ca="1">+AC26+AB26</f>
        <v>0.20788328046596594</v>
      </c>
      <c r="AE26" s="336">
        <f ca="1">+AD26/(S26/100)</f>
        <v>8.0148773114091895E-2</v>
      </c>
      <c r="AF26" s="336">
        <f ca="1">1-AE26</f>
        <v>0.91985122688590815</v>
      </c>
      <c r="AG26" s="369">
        <f ca="1">expenses/(AF26)</f>
        <v>8766230.247982258</v>
      </c>
      <c r="AH26" s="370">
        <f ca="1">+AG26-Revenue</f>
        <v>754144.61904463172</v>
      </c>
      <c r="AI26" s="339">
        <f ca="1">+AH26/$J$49</f>
        <v>839870.11321011791</v>
      </c>
      <c r="AJ26" s="339">
        <f ca="1">+AI26*$J$47</f>
        <v>18552.909349952391</v>
      </c>
      <c r="AK26" s="369">
        <f ca="1">ROUND(+AJ26+AG26,5)</f>
        <v>8784783.1573300008</v>
      </c>
    </row>
    <row r="27" spans="1:37" ht="15.75">
      <c r="A27" s="296"/>
      <c r="B27" s="390" t="s">
        <v>800</v>
      </c>
      <c r="C27" s="389"/>
      <c r="D27" s="389"/>
      <c r="E27" s="389"/>
      <c r="F27" s="351">
        <f t="shared" si="0"/>
        <v>21</v>
      </c>
      <c r="H27" s="341" t="s">
        <v>753</v>
      </c>
      <c r="I27" s="398">
        <f>IF(A64=TRUE,C8,0)</f>
        <v>0.49226525835670143</v>
      </c>
      <c r="J27" s="400">
        <f>+I27*J28</f>
        <v>1667276.187932194</v>
      </c>
      <c r="K27" s="364">
        <f>IF(A64=TRUE,C9,0)</f>
        <v>2.9336479477470194E-2</v>
      </c>
      <c r="L27" s="398">
        <f>+K27*I27</f>
        <v>1.4441329649252934E-2</v>
      </c>
      <c r="M27" s="342">
        <f>+K27*J27</f>
        <v>48912.013670547545</v>
      </c>
      <c r="O27" s="296"/>
      <c r="P27" s="296"/>
      <c r="R27" s="343">
        <v>2</v>
      </c>
      <c r="S27" s="344">
        <f ca="1">AK22/Investment*100</f>
        <v>259.37175628383454</v>
      </c>
      <c r="T27" s="359">
        <f ca="1">EXP(y_inter2-(slope*LN(+S27)))</f>
        <v>7.7422211856841407</v>
      </c>
      <c r="U27" s="346">
        <f ca="1">(+S27*T27/100)/100</f>
        <v>0.20081135064688074</v>
      </c>
      <c r="V27" s="346">
        <f>regDebt_weighted</f>
        <v>3.5860000000000003E-2</v>
      </c>
      <c r="W27" s="346">
        <f ca="1">+U27-V27</f>
        <v>0.16495135064688074</v>
      </c>
      <c r="X27" s="346">
        <f ca="1">+((W27*(1-0.34))-Pfd_weighted)/Equity_percent</f>
        <v>0.29848224252017813</v>
      </c>
      <c r="Y27" s="346">
        <f>+Y26</f>
        <v>2.5000000000000001E-3</v>
      </c>
      <c r="Z27" s="346">
        <f ca="1">+X27+Y27</f>
        <v>0.30098224252017813</v>
      </c>
      <c r="AA27" s="346">
        <f ca="1">Z27*equityP</f>
        <v>0.15281914114520329</v>
      </c>
      <c r="AB27" s="346">
        <f ca="1">+AA27/(1-taxrate)</f>
        <v>0.193441950816713</v>
      </c>
      <c r="AC27" s="346">
        <f>debtP*Debt_Rate</f>
        <v>1.4441329649252934E-2</v>
      </c>
      <c r="AD27" s="346">
        <f ca="1">+AC27+AB27</f>
        <v>0.20788328046596594</v>
      </c>
      <c r="AE27" s="346">
        <f ca="1">+AD27/(S27/100)</f>
        <v>8.0148773114091895E-2</v>
      </c>
      <c r="AF27" s="346">
        <f ca="1">1-AE27</f>
        <v>0.91985122688590815</v>
      </c>
      <c r="AG27" s="347">
        <f ca="1">expenses/(AF27)</f>
        <v>8766230.247982258</v>
      </c>
      <c r="AH27" s="348">
        <f ca="1">+AG27-Revenue</f>
        <v>754144.61904463172</v>
      </c>
      <c r="AI27" s="349">
        <f ca="1">+AH27/$J$49</f>
        <v>839870.11321011791</v>
      </c>
      <c r="AJ27" s="349">
        <f ca="1">+AI27*$J$47</f>
        <v>18552.909349952391</v>
      </c>
      <c r="AK27" s="347">
        <f ca="1">ROUND(+AJ27+AG27,5)</f>
        <v>8784783.1573300008</v>
      </c>
    </row>
    <row r="28" spans="1:37" ht="16.5" thickBot="1">
      <c r="A28" s="296"/>
      <c r="B28" s="296"/>
      <c r="C28" s="296"/>
      <c r="D28" s="296"/>
      <c r="E28" s="296"/>
      <c r="F28" s="351">
        <f t="shared" si="0"/>
        <v>22</v>
      </c>
      <c r="H28" s="341" t="s">
        <v>13</v>
      </c>
      <c r="I28" s="398">
        <f>SUM(I26:I27)</f>
        <v>1</v>
      </c>
      <c r="J28" s="401">
        <f>IF(A64=TRUE,C7,0)</f>
        <v>3386946.6910948758</v>
      </c>
      <c r="K28" s="402"/>
      <c r="L28" s="403">
        <f ca="1">SUM(L26:L27)</f>
        <v>0.16691413711941494</v>
      </c>
      <c r="M28" s="401">
        <f ca="1">SUM(M26:M27)</f>
        <v>565329.2844135589</v>
      </c>
      <c r="O28" s="296"/>
      <c r="P28" s="296"/>
      <c r="R28" s="353">
        <v>3</v>
      </c>
      <c r="S28" s="344">
        <f ca="1">AK23/Investment*100</f>
        <v>259.37175628383454</v>
      </c>
      <c r="T28" s="345">
        <f ca="1">EXP(y_inter3-(slope*LN(S28)))</f>
        <v>7.7422211856841407</v>
      </c>
      <c r="U28" s="346">
        <f ca="1">(+S28*T28/100)/100</f>
        <v>0.20081135064688074</v>
      </c>
      <c r="V28" s="346">
        <f>regDebt_weighted</f>
        <v>3.5860000000000003E-2</v>
      </c>
      <c r="W28" s="346">
        <f ca="1">+U28-V28</f>
        <v>0.16495135064688074</v>
      </c>
      <c r="X28" s="346">
        <f ca="1">+((W28*(1-0.34))-Pfd_weighted)/Equity_percent</f>
        <v>0.29848224252017813</v>
      </c>
      <c r="Y28" s="346">
        <f>+Y27</f>
        <v>2.5000000000000001E-3</v>
      </c>
      <c r="Z28" s="346">
        <f ca="1">+X28+Y28</f>
        <v>0.30098224252017813</v>
      </c>
      <c r="AA28" s="346">
        <f ca="1">Z28*equityP</f>
        <v>0.15281914114520329</v>
      </c>
      <c r="AB28" s="346">
        <f ca="1">+AA28/(1-taxrate)</f>
        <v>0.193441950816713</v>
      </c>
      <c r="AC28" s="346">
        <f>debtP*Debt_Rate</f>
        <v>1.4441329649252934E-2</v>
      </c>
      <c r="AD28" s="346">
        <f ca="1">+AC28+AB28</f>
        <v>0.20788328046596594</v>
      </c>
      <c r="AE28" s="346">
        <f ca="1">+AD28/(S28/100)</f>
        <v>8.0148773114091895E-2</v>
      </c>
      <c r="AF28" s="346">
        <f ca="1">1-AE28</f>
        <v>0.91985122688590815</v>
      </c>
      <c r="AG28" s="347">
        <f ca="1">expenses/(AF28)</f>
        <v>8766230.247982258</v>
      </c>
      <c r="AH28" s="348">
        <f ca="1">+AG28-Revenue</f>
        <v>754144.61904463172</v>
      </c>
      <c r="AI28" s="349">
        <f ca="1">+AH28/$J$49</f>
        <v>839870.11321011791</v>
      </c>
      <c r="AJ28" s="349">
        <f ca="1">+AI28*$J$47</f>
        <v>18552.909349952391</v>
      </c>
      <c r="AK28" s="347">
        <f ca="1">ROUND(+AJ28+AG28,5)</f>
        <v>8784783.1573300008</v>
      </c>
    </row>
    <row r="29" spans="1:37" ht="16.5" thickTop="1">
      <c r="A29" s="296"/>
      <c r="B29" s="296"/>
      <c r="C29" s="296"/>
      <c r="D29" s="296"/>
      <c r="E29" s="296"/>
      <c r="F29" s="351">
        <f t="shared" si="0"/>
        <v>23</v>
      </c>
      <c r="G29" s="312"/>
      <c r="H29" s="312"/>
      <c r="I29" s="312"/>
      <c r="J29" s="312"/>
      <c r="K29" s="312"/>
      <c r="L29" s="312"/>
      <c r="M29" s="312"/>
      <c r="N29" s="312"/>
      <c r="O29" s="296"/>
      <c r="P29" s="296"/>
      <c r="R29" s="356">
        <v>4</v>
      </c>
      <c r="S29" s="344">
        <f ca="1">AK24/Investment*100</f>
        <v>259.37175628383454</v>
      </c>
      <c r="T29" s="362">
        <f ca="1">EXP(y_inter4-(slope*LN(S29)))</f>
        <v>7.7422211856841407</v>
      </c>
      <c r="U29" s="346">
        <f ca="1">(+S29*T29/100)/100</f>
        <v>0.20081135064688074</v>
      </c>
      <c r="V29" s="346">
        <f>regDebt_weighted</f>
        <v>3.5860000000000003E-2</v>
      </c>
      <c r="W29" s="346">
        <f ca="1">+U29-V29</f>
        <v>0.16495135064688074</v>
      </c>
      <c r="X29" s="346">
        <f ca="1">+((W29*(1-0.34))-Pfd_weighted)/Equity_percent</f>
        <v>0.29848224252017813</v>
      </c>
      <c r="Y29" s="346">
        <f>+Y28</f>
        <v>2.5000000000000001E-3</v>
      </c>
      <c r="Z29" s="346">
        <f ca="1">+X29+Y29</f>
        <v>0.30098224252017813</v>
      </c>
      <c r="AA29" s="346">
        <f ca="1">Z29*equityP</f>
        <v>0.15281914114520329</v>
      </c>
      <c r="AB29" s="346">
        <f ca="1">+AA29/(1-taxrate)</f>
        <v>0.193441950816713</v>
      </c>
      <c r="AC29" s="346">
        <f>debtP*Debt_Rate</f>
        <v>1.4441329649252934E-2</v>
      </c>
      <c r="AD29" s="346">
        <f ca="1">+AC29+AB29</f>
        <v>0.20788328046596594</v>
      </c>
      <c r="AE29" s="346">
        <f ca="1">+AD29/(S29/100)</f>
        <v>8.0148773114091895E-2</v>
      </c>
      <c r="AF29" s="346">
        <f ca="1">1-AE29</f>
        <v>0.91985122688590815</v>
      </c>
      <c r="AG29" s="347">
        <f ca="1">expenses/(AF29)</f>
        <v>8766230.247982258</v>
      </c>
      <c r="AH29" s="348">
        <f ca="1">+AG29-Revenue</f>
        <v>754144.61904463172</v>
      </c>
      <c r="AI29" s="349">
        <f ca="1">+AH29/$J$49</f>
        <v>839870.11321011791</v>
      </c>
      <c r="AJ29" s="349">
        <f ca="1">+AI29*$J$47</f>
        <v>18552.909349952391</v>
      </c>
      <c r="AK29" s="347">
        <f ca="1">ROUND(+AJ29+AG29,5)</f>
        <v>8784783.1573300008</v>
      </c>
    </row>
    <row r="30" spans="1:37" ht="15.75">
      <c r="A30" s="296"/>
      <c r="B30" s="296"/>
      <c r="C30" s="296"/>
      <c r="D30" s="404"/>
      <c r="E30" s="296"/>
      <c r="F30" s="351">
        <f t="shared" si="0"/>
        <v>24</v>
      </c>
      <c r="G30" s="312"/>
      <c r="H30" s="312"/>
      <c r="I30" s="312"/>
      <c r="J30" s="405" t="s">
        <v>801</v>
      </c>
      <c r="K30" s="405" t="s">
        <v>802</v>
      </c>
      <c r="L30" s="312"/>
      <c r="M30" s="312"/>
      <c r="N30" s="312"/>
      <c r="O30" s="296"/>
      <c r="P30" s="296"/>
      <c r="R30" s="315" t="s">
        <v>803</v>
      </c>
      <c r="W30" s="396"/>
      <c r="X30" s="397"/>
      <c r="Z30" s="397"/>
      <c r="AA30" s="345"/>
      <c r="AB30" s="345"/>
      <c r="AC30" s="397"/>
      <c r="AE30" s="397"/>
      <c r="AF30" s="397"/>
      <c r="AG30" s="345"/>
      <c r="AH30" s="396"/>
      <c r="AJ30" s="345"/>
    </row>
    <row r="31" spans="1:37" ht="15.75">
      <c r="A31" s="296"/>
      <c r="B31" s="296"/>
      <c r="C31" s="296"/>
      <c r="D31" s="404"/>
      <c r="E31" s="296"/>
      <c r="F31" s="351">
        <f t="shared" si="0"/>
        <v>25</v>
      </c>
      <c r="G31" s="312"/>
      <c r="H31" s="406" t="s">
        <v>804</v>
      </c>
      <c r="I31" s="407"/>
      <c r="J31" s="408" t="s">
        <v>805</v>
      </c>
      <c r="K31" s="408" t="s">
        <v>805</v>
      </c>
      <c r="L31" s="524"/>
      <c r="M31" s="524"/>
      <c r="N31" s="524"/>
      <c r="O31" s="296"/>
      <c r="P31" s="296"/>
      <c r="R31" s="367">
        <v>1</v>
      </c>
      <c r="S31" s="368">
        <f ca="1">AK26/Investment*100</f>
        <v>259.37175747192532</v>
      </c>
      <c r="T31" s="335">
        <f ca="1">EXP(y_inter1-(slope*LN(+S31)))</f>
        <v>7.7422211749910073</v>
      </c>
      <c r="U31" s="336">
        <f ca="1">(+S31*T31/100)/100</f>
        <v>0.20081135128937722</v>
      </c>
      <c r="V31" s="336">
        <f>regDebt_weighted</f>
        <v>3.5860000000000003E-2</v>
      </c>
      <c r="W31" s="336">
        <f ca="1">+U31-V31</f>
        <v>0.16495135128937721</v>
      </c>
      <c r="X31" s="336">
        <f ca="1">+((W31*(1-0.34))-Pfd_weighted)/Equity_percent</f>
        <v>0.29848224375287485</v>
      </c>
      <c r="Y31" s="336">
        <f>+Y29</f>
        <v>2.5000000000000001E-3</v>
      </c>
      <c r="Z31" s="336">
        <f ca="1">+X31+Y31</f>
        <v>0.30098224375287486</v>
      </c>
      <c r="AA31" s="336">
        <f ca="1">Z31*equityP</f>
        <v>0.15281914177108624</v>
      </c>
      <c r="AB31" s="336">
        <f ca="1">+AA31/(1-taxrate)</f>
        <v>0.19344195160896993</v>
      </c>
      <c r="AC31" s="336">
        <f>debtP*Debt_Rate</f>
        <v>1.4441329649252934E-2</v>
      </c>
      <c r="AD31" s="336">
        <f ca="1">+AC31+AB31</f>
        <v>0.20788328125822286</v>
      </c>
      <c r="AE31" s="336">
        <f ca="1">+AD31/(S31/100)</f>
        <v>8.0148773052410832E-2</v>
      </c>
      <c r="AF31" s="336">
        <f ca="1">1-AE31</f>
        <v>0.91985122694758914</v>
      </c>
      <c r="AG31" s="369">
        <f ca="1">expenses/(AF31)</f>
        <v>8766230.2473944351</v>
      </c>
      <c r="AH31" s="370">
        <f ca="1">+AG31-Revenue</f>
        <v>754144.61845680885</v>
      </c>
      <c r="AI31" s="339">
        <f ca="1">+AH31/$J$49</f>
        <v>839870.11255547567</v>
      </c>
      <c r="AJ31" s="339">
        <f ca="1">+AI31*$J$47</f>
        <v>18552.909335491207</v>
      </c>
      <c r="AK31" s="369">
        <f ca="1">ROUND(+AJ31+AG31,5)</f>
        <v>8784783.1567299999</v>
      </c>
    </row>
    <row r="32" spans="1:37" ht="15.75">
      <c r="A32" s="296"/>
      <c r="B32" s="296"/>
      <c r="C32" s="296"/>
      <c r="D32" s="404"/>
      <c r="E32" s="296"/>
      <c r="F32" s="351">
        <f t="shared" si="0"/>
        <v>26</v>
      </c>
      <c r="G32" s="312"/>
      <c r="H32" s="323"/>
      <c r="I32" s="323"/>
      <c r="J32" s="323"/>
      <c r="K32" s="323"/>
      <c r="L32" s="312"/>
      <c r="M32" s="312"/>
      <c r="N32" s="312"/>
      <c r="O32" s="296"/>
      <c r="P32" s="296"/>
      <c r="R32" s="343">
        <v>2</v>
      </c>
      <c r="S32" s="344">
        <f ca="1">AK27/Investment*100</f>
        <v>259.37175747192532</v>
      </c>
      <c r="T32" s="359">
        <f ca="1">EXP(y_inter2-(slope*LN(+S32)))</f>
        <v>7.7422211749910073</v>
      </c>
      <c r="U32" s="346">
        <f ca="1">(+S32*T32/100)/100</f>
        <v>0.20081135128937722</v>
      </c>
      <c r="V32" s="346">
        <f>regDebt_weighted</f>
        <v>3.5860000000000003E-2</v>
      </c>
      <c r="W32" s="346">
        <f ca="1">+U32-V32</f>
        <v>0.16495135128937721</v>
      </c>
      <c r="X32" s="346">
        <f ca="1">+((W32*(1-0.34))-Pfd_weighted)/Equity_percent</f>
        <v>0.29848224375287485</v>
      </c>
      <c r="Y32" s="346">
        <f>+Y31</f>
        <v>2.5000000000000001E-3</v>
      </c>
      <c r="Z32" s="346">
        <f ca="1">+X32+Y32</f>
        <v>0.30098224375287486</v>
      </c>
      <c r="AA32" s="346">
        <f ca="1">Z32*equityP</f>
        <v>0.15281914177108624</v>
      </c>
      <c r="AB32" s="346">
        <f ca="1">+AA32/(1-taxrate)</f>
        <v>0.19344195160896993</v>
      </c>
      <c r="AC32" s="346">
        <f>debtP*Debt_Rate</f>
        <v>1.4441329649252934E-2</v>
      </c>
      <c r="AD32" s="346">
        <f ca="1">+AC32+AB32</f>
        <v>0.20788328125822286</v>
      </c>
      <c r="AE32" s="346">
        <f ca="1">+AD32/(S32/100)</f>
        <v>8.0148773052410832E-2</v>
      </c>
      <c r="AF32" s="346">
        <f ca="1">1-AE32</f>
        <v>0.91985122694758914</v>
      </c>
      <c r="AG32" s="347">
        <f ca="1">expenses/(AF32)</f>
        <v>8766230.2473944351</v>
      </c>
      <c r="AH32" s="348">
        <f ca="1">+AG32-Revenue</f>
        <v>754144.61845680885</v>
      </c>
      <c r="AI32" s="349">
        <f ca="1">+AH32/$J$49</f>
        <v>839870.11255547567</v>
      </c>
      <c r="AJ32" s="349">
        <f ca="1">+AI32*$J$47</f>
        <v>18552.909335491207</v>
      </c>
      <c r="AK32" s="347">
        <f ca="1">ROUND(+AJ32+AG32,5)</f>
        <v>8784783.1567299999</v>
      </c>
    </row>
    <row r="33" spans="1:48" ht="15.75">
      <c r="A33" s="296"/>
      <c r="B33" s="296"/>
      <c r="C33" s="296"/>
      <c r="D33" s="296"/>
      <c r="E33" s="296"/>
      <c r="F33" s="351">
        <f t="shared" si="0"/>
        <v>27</v>
      </c>
      <c r="G33" s="312"/>
      <c r="H33" s="323" t="s">
        <v>806</v>
      </c>
      <c r="I33" s="323"/>
      <c r="J33" s="409">
        <f ca="1">+K9/J28</f>
        <v>0.20744488340895173</v>
      </c>
      <c r="K33" s="409">
        <f ca="1">+(M14+M11)/J28</f>
        <v>0.16691413711941497</v>
      </c>
      <c r="L33" s="341"/>
      <c r="M33" s="341"/>
      <c r="N33" s="342"/>
      <c r="O33" s="296"/>
      <c r="P33" s="296"/>
      <c r="R33" s="353">
        <v>3</v>
      </c>
      <c r="S33" s="344">
        <f ca="1">AK28/Investment*100</f>
        <v>259.37175747192532</v>
      </c>
      <c r="T33" s="345">
        <f ca="1">EXP(y_inter3-(slope*LN(S33)))</f>
        <v>7.7422211749910073</v>
      </c>
      <c r="U33" s="346">
        <f ca="1">(+S33*T33/100)/100</f>
        <v>0.20081135128937722</v>
      </c>
      <c r="V33" s="346">
        <f>regDebt_weighted</f>
        <v>3.5860000000000003E-2</v>
      </c>
      <c r="W33" s="346">
        <f ca="1">+U33-V33</f>
        <v>0.16495135128937721</v>
      </c>
      <c r="X33" s="346">
        <f ca="1">+((W33*(1-0.34))-Pfd_weighted)/Equity_percent</f>
        <v>0.29848224375287485</v>
      </c>
      <c r="Y33" s="346">
        <f>+Y32</f>
        <v>2.5000000000000001E-3</v>
      </c>
      <c r="Z33" s="346">
        <f ca="1">+X33+Y33</f>
        <v>0.30098224375287486</v>
      </c>
      <c r="AA33" s="346">
        <f ca="1">Z33*equityP</f>
        <v>0.15281914177108624</v>
      </c>
      <c r="AB33" s="346">
        <f ca="1">+AA33/(1-taxrate)</f>
        <v>0.19344195160896993</v>
      </c>
      <c r="AC33" s="346">
        <f>debtP*Debt_Rate</f>
        <v>1.4441329649252934E-2</v>
      </c>
      <c r="AD33" s="346">
        <f ca="1">+AC33+AB33</f>
        <v>0.20788328125822286</v>
      </c>
      <c r="AE33" s="346">
        <f ca="1">+AD33/(S33/100)</f>
        <v>8.0148773052410832E-2</v>
      </c>
      <c r="AF33" s="346">
        <f ca="1">1-AE33</f>
        <v>0.91985122694758914</v>
      </c>
      <c r="AG33" s="347">
        <f ca="1">expenses/(AF33)</f>
        <v>8766230.2473944351</v>
      </c>
      <c r="AH33" s="348">
        <f ca="1">+AG33-Revenue</f>
        <v>754144.61845680885</v>
      </c>
      <c r="AI33" s="349">
        <f ca="1">+AH33/$J$49</f>
        <v>839870.11255547567</v>
      </c>
      <c r="AJ33" s="349">
        <f ca="1">+AI33*$J$47</f>
        <v>18552.909335491207</v>
      </c>
      <c r="AK33" s="347">
        <f ca="1">ROUND(+AJ33+AG33,5)</f>
        <v>8784783.1567299999</v>
      </c>
    </row>
    <row r="34" spans="1:48" ht="15.75">
      <c r="A34" s="296"/>
      <c r="B34" s="296"/>
      <c r="C34" s="296"/>
      <c r="D34" s="296"/>
      <c r="E34" s="296"/>
      <c r="F34" s="351">
        <f t="shared" si="0"/>
        <v>28</v>
      </c>
      <c r="G34" s="312"/>
      <c r="H34" s="323" t="s">
        <v>807</v>
      </c>
      <c r="I34" s="323"/>
      <c r="J34" s="409">
        <f ca="1">+(M9-M11)/J26</f>
        <v>0.38012674321839207</v>
      </c>
      <c r="K34" s="409">
        <f ca="1">+M14/J26</f>
        <v>0.30030012714252968</v>
      </c>
      <c r="L34" s="341"/>
      <c r="M34" s="341"/>
      <c r="N34" s="342"/>
      <c r="O34" s="410"/>
      <c r="P34" s="296"/>
      <c r="R34" s="356">
        <v>4</v>
      </c>
      <c r="S34" s="344">
        <f ca="1">AK29/Investment*100</f>
        <v>259.37175747192532</v>
      </c>
      <c r="T34" s="362">
        <f ca="1">EXP(y_inter4-(slope*LN(S34)))</f>
        <v>7.7422211749910073</v>
      </c>
      <c r="U34" s="346">
        <f ca="1">(+S34*T34/100)/100</f>
        <v>0.20081135128937722</v>
      </c>
      <c r="V34" s="346">
        <f>regDebt_weighted</f>
        <v>3.5860000000000003E-2</v>
      </c>
      <c r="W34" s="346">
        <f ca="1">+U34-V34</f>
        <v>0.16495135128937721</v>
      </c>
      <c r="X34" s="346">
        <f ca="1">+((W34*(1-0.34))-Pfd_weighted)/Equity_percent</f>
        <v>0.29848224375287485</v>
      </c>
      <c r="Y34" s="346">
        <f>+Y33</f>
        <v>2.5000000000000001E-3</v>
      </c>
      <c r="Z34" s="346">
        <f ca="1">+X34+Y34</f>
        <v>0.30098224375287486</v>
      </c>
      <c r="AA34" s="346">
        <f ca="1">Z34*equityP</f>
        <v>0.15281914177108624</v>
      </c>
      <c r="AB34" s="346">
        <f ca="1">+AA34/(1-taxrate)</f>
        <v>0.19344195160896993</v>
      </c>
      <c r="AC34" s="346">
        <f>debtP*Debt_Rate</f>
        <v>1.4441329649252934E-2</v>
      </c>
      <c r="AD34" s="346">
        <f ca="1">+AC34+AB34</f>
        <v>0.20788328125822286</v>
      </c>
      <c r="AE34" s="346">
        <f ca="1">+AD34/(S34/100)</f>
        <v>8.0148773052410832E-2</v>
      </c>
      <c r="AF34" s="346">
        <f ca="1">1-AE34</f>
        <v>0.91985122694758914</v>
      </c>
      <c r="AG34" s="347">
        <f ca="1">expenses/(AF34)</f>
        <v>8766230.2473944351</v>
      </c>
      <c r="AH34" s="348">
        <f ca="1">+AG34-Revenue</f>
        <v>754144.61845680885</v>
      </c>
      <c r="AI34" s="349">
        <f ca="1">+AH34/$J$49</f>
        <v>839870.11255547567</v>
      </c>
      <c r="AJ34" s="349">
        <f ca="1">+AI34*$J$47</f>
        <v>18552.909335491207</v>
      </c>
      <c r="AK34" s="347">
        <f ca="1">ROUND(+AJ34+AG34,5)</f>
        <v>8784783.1567299999</v>
      </c>
    </row>
    <row r="35" spans="1:48" ht="15.75">
      <c r="A35" s="296"/>
      <c r="B35" s="296"/>
      <c r="C35" s="296"/>
      <c r="D35" s="296"/>
      <c r="E35" s="296"/>
      <c r="F35" s="351">
        <f t="shared" si="0"/>
        <v>29</v>
      </c>
      <c r="G35" s="312"/>
      <c r="H35" s="411" t="s">
        <v>755</v>
      </c>
      <c r="I35" s="323"/>
      <c r="J35" s="409">
        <f ca="1">+K8/K7</f>
        <v>0.91985099999999986</v>
      </c>
      <c r="K35" s="409">
        <f ca="1">+M8/M7</f>
        <v>0.92002027008820519</v>
      </c>
      <c r="L35" s="341"/>
      <c r="M35" s="341"/>
      <c r="N35" s="342"/>
      <c r="O35" s="296"/>
      <c r="P35" s="296"/>
      <c r="R35" s="315" t="s">
        <v>808</v>
      </c>
      <c r="X35" s="397"/>
      <c r="Y35" s="397"/>
      <c r="Z35" s="397"/>
      <c r="AA35" s="412"/>
      <c r="AB35" s="345"/>
      <c r="AC35" s="397"/>
      <c r="AE35" s="397"/>
      <c r="AF35" s="397"/>
      <c r="AG35" s="345"/>
      <c r="AH35" s="396"/>
      <c r="AJ35" s="345"/>
    </row>
    <row r="36" spans="1:48" ht="15.75">
      <c r="A36" s="296"/>
      <c r="B36" s="296"/>
      <c r="C36" s="296"/>
      <c r="D36" s="296"/>
      <c r="E36" s="296"/>
      <c r="F36" s="351">
        <f t="shared" si="0"/>
        <v>30</v>
      </c>
      <c r="G36" s="312"/>
      <c r="H36" s="323" t="s">
        <v>809</v>
      </c>
      <c r="I36" s="323"/>
      <c r="J36" s="409">
        <f ca="1">+K9/K7</f>
        <v>8.0149000000000109E-2</v>
      </c>
      <c r="K36" s="409">
        <f ca="1">+J36</f>
        <v>8.0149000000000109E-2</v>
      </c>
      <c r="L36" s="312"/>
      <c r="M36" s="312"/>
      <c r="N36" s="342"/>
      <c r="O36" s="296"/>
      <c r="P36" s="296"/>
      <c r="R36" s="367">
        <v>1</v>
      </c>
      <c r="S36" s="368">
        <f ca="1">AK31/Investment*100</f>
        <v>259.37175745421024</v>
      </c>
      <c r="T36" s="335">
        <f ca="1">EXP(y_inter1-(slope*LN(+S36)))</f>
        <v>7.7422211751504451</v>
      </c>
      <c r="U36" s="336">
        <f ca="1">(+S36*T36/100)/100</f>
        <v>0.20081135127979721</v>
      </c>
      <c r="V36" s="336">
        <f>regDebt_weighted</f>
        <v>3.5860000000000003E-2</v>
      </c>
      <c r="W36" s="336">
        <f ca="1">+U36-V36</f>
        <v>0.16495135127979721</v>
      </c>
      <c r="X36" s="336">
        <f ca="1">+((W36*(1-0.34))-Pfd_weighted)/Equity_percent</f>
        <v>0.29848224373449467</v>
      </c>
      <c r="Y36" s="336">
        <f>+Y34</f>
        <v>2.5000000000000001E-3</v>
      </c>
      <c r="Z36" s="336">
        <f ca="1">+X36+Y36</f>
        <v>0.30098224373449467</v>
      </c>
      <c r="AA36" s="336">
        <f ca="1">Z36*equityP</f>
        <v>0.15281914176175398</v>
      </c>
      <c r="AB36" s="336">
        <f ca="1">+AA36/(1-taxrate)</f>
        <v>0.19344195159715694</v>
      </c>
      <c r="AC36" s="336">
        <f>debtP*Debt_Rate</f>
        <v>1.4441329649252934E-2</v>
      </c>
      <c r="AD36" s="336">
        <f ca="1">+AC36+AB36</f>
        <v>0.20788328124640987</v>
      </c>
      <c r="AE36" s="336">
        <f ca="1">+AD36/(S36/100)</f>
        <v>8.0148773053330513E-2</v>
      </c>
      <c r="AF36" s="336">
        <f ca="1">1-AE36</f>
        <v>0.91985122694666943</v>
      </c>
      <c r="AG36" s="369">
        <f ca="1">expenses/(AF36)</f>
        <v>8766230.2474032007</v>
      </c>
      <c r="AH36" s="370">
        <f ca="1">+AG36-Revenue</f>
        <v>754144.61846557446</v>
      </c>
      <c r="AI36" s="339">
        <f ca="1">+AH36/$J$49</f>
        <v>839870.11256523768</v>
      </c>
      <c r="AJ36" s="339">
        <f ca="1">+AI36*$J$47</f>
        <v>18552.909335706852</v>
      </c>
      <c r="AK36" s="369">
        <f ca="1">ROUND(+AJ36+AG36,5)</f>
        <v>8784783.1567400005</v>
      </c>
    </row>
    <row r="37" spans="1:48" ht="15.75">
      <c r="A37" s="296"/>
      <c r="B37" s="296"/>
      <c r="C37" s="296"/>
      <c r="D37" s="326"/>
      <c r="E37" s="296"/>
      <c r="F37" s="351">
        <f t="shared" si="0"/>
        <v>31</v>
      </c>
      <c r="G37" s="312"/>
      <c r="H37" s="323" t="s">
        <v>810</v>
      </c>
      <c r="I37" s="413"/>
      <c r="J37" s="414">
        <f ca="1">+S39/100</f>
        <v>2.5937175745421026</v>
      </c>
      <c r="K37" s="414">
        <f ca="1">+J37</f>
        <v>2.5937175745421026</v>
      </c>
      <c r="L37" s="312"/>
      <c r="M37" s="312"/>
      <c r="N37" s="312"/>
      <c r="O37" s="296"/>
      <c r="P37" s="296"/>
      <c r="R37" s="343">
        <v>2</v>
      </c>
      <c r="S37" s="344">
        <f ca="1">AK32/Investment*100</f>
        <v>259.37175745421024</v>
      </c>
      <c r="T37" s="359">
        <f ca="1">EXP(y_inter2-(slope*LN(+S37)))</f>
        <v>7.7422211751504451</v>
      </c>
      <c r="U37" s="346">
        <f ca="1">(+S37*T37/100)/100</f>
        <v>0.20081135127979721</v>
      </c>
      <c r="V37" s="346">
        <f>regDebt_weighted</f>
        <v>3.5860000000000003E-2</v>
      </c>
      <c r="W37" s="346">
        <f ca="1">+U37-V37</f>
        <v>0.16495135127979721</v>
      </c>
      <c r="X37" s="346">
        <f ca="1">+((W37*(1-0.34))-Pfd_weighted)/Equity_percent</f>
        <v>0.29848224373449467</v>
      </c>
      <c r="Y37" s="346">
        <f>+Y36</f>
        <v>2.5000000000000001E-3</v>
      </c>
      <c r="Z37" s="346">
        <f ca="1">+X37+Y37</f>
        <v>0.30098224373449467</v>
      </c>
      <c r="AA37" s="346">
        <f ca="1">Z37*equityP</f>
        <v>0.15281914176175398</v>
      </c>
      <c r="AB37" s="346">
        <f ca="1">+AA37/(1-taxrate)</f>
        <v>0.19344195159715694</v>
      </c>
      <c r="AC37" s="346">
        <f>debtP*Debt_Rate</f>
        <v>1.4441329649252934E-2</v>
      </c>
      <c r="AD37" s="346">
        <f ca="1">+AC37+AB37</f>
        <v>0.20788328124640987</v>
      </c>
      <c r="AE37" s="346">
        <f ca="1">+AD37/(S37/100)</f>
        <v>8.0148773053330513E-2</v>
      </c>
      <c r="AF37" s="346">
        <f ca="1">1-AE37</f>
        <v>0.91985122694666943</v>
      </c>
      <c r="AG37" s="347">
        <f ca="1">expenses/(AF37)</f>
        <v>8766230.2474032007</v>
      </c>
      <c r="AH37" s="348">
        <f ca="1">+AG37-Revenue</f>
        <v>754144.61846557446</v>
      </c>
      <c r="AI37" s="349">
        <f ca="1">+AH37/$J$49</f>
        <v>839870.11256523768</v>
      </c>
      <c r="AJ37" s="349">
        <f ca="1">+AI37*$J$47</f>
        <v>18552.909335706852</v>
      </c>
      <c r="AK37" s="347">
        <f ca="1">ROUND(+AJ37+AG37,5)</f>
        <v>8784783.1567400005</v>
      </c>
    </row>
    <row r="38" spans="1:48" ht="15.75">
      <c r="A38" s="296"/>
      <c r="B38" s="296"/>
      <c r="C38" s="296"/>
      <c r="D38" s="326"/>
      <c r="E38" s="296"/>
      <c r="F38" s="351">
        <f t="shared" si="0"/>
        <v>32</v>
      </c>
      <c r="G38" s="312"/>
      <c r="H38" s="323" t="s">
        <v>811</v>
      </c>
      <c r="I38" s="312"/>
      <c r="J38" s="409">
        <f>+C10</f>
        <v>0.21</v>
      </c>
      <c r="K38" s="409">
        <f>+J38</f>
        <v>0.21</v>
      </c>
      <c r="L38" s="312"/>
      <c r="M38" s="312"/>
      <c r="N38" s="312"/>
      <c r="O38" s="296"/>
      <c r="P38" s="296"/>
      <c r="Q38" s="415"/>
      <c r="R38" s="353">
        <v>3</v>
      </c>
      <c r="S38" s="344">
        <f ca="1">AK33/Investment*100</f>
        <v>259.37175745421024</v>
      </c>
      <c r="T38" s="345">
        <f ca="1">EXP(y_inter3-(slope*LN(S38)))</f>
        <v>7.7422211751504451</v>
      </c>
      <c r="U38" s="346">
        <f ca="1">(+S38*T38/100)/100</f>
        <v>0.20081135127979721</v>
      </c>
      <c r="V38" s="346">
        <f>regDebt_weighted</f>
        <v>3.5860000000000003E-2</v>
      </c>
      <c r="W38" s="346">
        <f ca="1">+U38-V38</f>
        <v>0.16495135127979721</v>
      </c>
      <c r="X38" s="346">
        <f ca="1">+((W38*(1-0.34))-Pfd_weighted)/Equity_percent</f>
        <v>0.29848224373449467</v>
      </c>
      <c r="Y38" s="346">
        <f>+Y37</f>
        <v>2.5000000000000001E-3</v>
      </c>
      <c r="Z38" s="346">
        <f ca="1">+X38+Y38</f>
        <v>0.30098224373449467</v>
      </c>
      <c r="AA38" s="346">
        <f ca="1">Z38*equityP</f>
        <v>0.15281914176175398</v>
      </c>
      <c r="AB38" s="346">
        <f ca="1">+AA38/(1-taxrate)</f>
        <v>0.19344195159715694</v>
      </c>
      <c r="AC38" s="346">
        <f>debtP*Debt_Rate</f>
        <v>1.4441329649252934E-2</v>
      </c>
      <c r="AD38" s="346">
        <f ca="1">+AC38+AB38</f>
        <v>0.20788328124640987</v>
      </c>
      <c r="AE38" s="346">
        <f ca="1">+AD38/(S38/100)</f>
        <v>8.0148773053330513E-2</v>
      </c>
      <c r="AF38" s="346">
        <f ca="1">1-AE38</f>
        <v>0.91985122694666943</v>
      </c>
      <c r="AG38" s="347">
        <f ca="1">expenses/(AF38)</f>
        <v>8766230.2474032007</v>
      </c>
      <c r="AH38" s="348">
        <f ca="1">+AG38-Revenue</f>
        <v>754144.61846557446</v>
      </c>
      <c r="AI38" s="349">
        <f ca="1">+AH38/$J$49</f>
        <v>839870.11256523768</v>
      </c>
      <c r="AJ38" s="349">
        <f ca="1">+AI38*$J$47</f>
        <v>18552.909335706852</v>
      </c>
      <c r="AK38" s="347">
        <f ca="1">ROUND(+AJ38+AG38,5)</f>
        <v>8784783.1567400005</v>
      </c>
    </row>
    <row r="39" spans="1:48" ht="15.75">
      <c r="A39" s="296"/>
      <c r="B39" s="296"/>
      <c r="C39" s="296"/>
      <c r="D39" s="404"/>
      <c r="E39" s="296"/>
      <c r="F39" s="351">
        <f t="shared" si="0"/>
        <v>33</v>
      </c>
      <c r="G39" s="312"/>
      <c r="H39" s="312"/>
      <c r="I39" s="312"/>
      <c r="J39" s="312"/>
      <c r="K39" s="312"/>
      <c r="L39" s="312"/>
      <c r="M39" s="312"/>
      <c r="N39" s="312"/>
      <c r="O39" s="296"/>
      <c r="P39" s="296"/>
      <c r="R39" s="356">
        <v>4</v>
      </c>
      <c r="S39" s="344">
        <f ca="1">AK34/Investment*100</f>
        <v>259.37175745421024</v>
      </c>
      <c r="T39" s="362">
        <f ca="1">EXP(y_inter4-(slope*LN(S39)))</f>
        <v>7.7422211751504451</v>
      </c>
      <c r="U39" s="346">
        <f ca="1">(+S39*T39/100)/100</f>
        <v>0.20081135127979721</v>
      </c>
      <c r="V39" s="346">
        <f>regDebt_weighted</f>
        <v>3.5860000000000003E-2</v>
      </c>
      <c r="W39" s="346">
        <f ca="1">+U39-V39</f>
        <v>0.16495135127979721</v>
      </c>
      <c r="X39" s="346">
        <f ca="1">+((W39*(1-0.34))-Pfd_weighted)/Equity_percent</f>
        <v>0.29848224373449467</v>
      </c>
      <c r="Y39" s="346">
        <f>+Y38</f>
        <v>2.5000000000000001E-3</v>
      </c>
      <c r="Z39" s="346">
        <f ca="1">+X39+Y39</f>
        <v>0.30098224373449467</v>
      </c>
      <c r="AA39" s="346">
        <f ca="1">Z39*equityP</f>
        <v>0.15281914176175398</v>
      </c>
      <c r="AB39" s="346">
        <f ca="1">+AA39/(1-taxrate)</f>
        <v>0.19344195159715694</v>
      </c>
      <c r="AC39" s="346">
        <f>debtP*Debt_Rate</f>
        <v>1.4441329649252934E-2</v>
      </c>
      <c r="AD39" s="346">
        <f ca="1">+AC39+AB39</f>
        <v>0.20788328124640987</v>
      </c>
      <c r="AE39" s="346">
        <f ca="1">+AD39/(S39/100)</f>
        <v>8.0148773053330513E-2</v>
      </c>
      <c r="AF39" s="346">
        <f ca="1">1-AE39</f>
        <v>0.91985122694666943</v>
      </c>
      <c r="AG39" s="347">
        <f ca="1">expenses/(AF39)</f>
        <v>8766230.2474032007</v>
      </c>
      <c r="AH39" s="348">
        <f ca="1">+AG39-Revenue</f>
        <v>754144.61846557446</v>
      </c>
      <c r="AI39" s="349">
        <f ca="1">+AH39/$J$49</f>
        <v>839870.11256523768</v>
      </c>
      <c r="AJ39" s="349">
        <f ca="1">+AI39*$J$47</f>
        <v>18552.909335706852</v>
      </c>
      <c r="AK39" s="347">
        <f ca="1">ROUND(+AJ39+AG39,5)</f>
        <v>8784783.1567400005</v>
      </c>
    </row>
    <row r="40" spans="1:48" ht="15.75">
      <c r="A40" s="296"/>
      <c r="B40" s="296"/>
      <c r="C40" s="296"/>
      <c r="D40" s="296"/>
      <c r="E40" s="296"/>
      <c r="F40" s="351">
        <f t="shared" si="0"/>
        <v>34</v>
      </c>
      <c r="G40" s="413"/>
      <c r="H40" s="312"/>
      <c r="I40" s="312"/>
      <c r="J40" s="312"/>
      <c r="K40" s="312"/>
      <c r="L40" s="312"/>
      <c r="M40" s="312"/>
      <c r="N40" s="312"/>
      <c r="O40" s="296"/>
      <c r="P40" s="296"/>
      <c r="X40" s="397"/>
      <c r="Y40" s="397"/>
      <c r="Z40" s="397"/>
      <c r="AA40" s="412"/>
      <c r="AB40" s="345"/>
      <c r="AC40" s="397"/>
      <c r="AE40" s="397"/>
      <c r="AF40" s="397"/>
      <c r="AG40" s="345"/>
      <c r="AH40" s="396"/>
      <c r="AJ40" s="345"/>
    </row>
    <row r="41" spans="1:48" ht="15.75">
      <c r="A41" s="296"/>
      <c r="B41" s="296"/>
      <c r="C41" s="296"/>
      <c r="D41" s="296"/>
      <c r="E41" s="296"/>
      <c r="F41" s="351">
        <f t="shared" si="0"/>
        <v>35</v>
      </c>
      <c r="G41" s="312"/>
      <c r="H41" s="406" t="s">
        <v>812</v>
      </c>
      <c r="I41" s="416"/>
      <c r="J41" s="312"/>
      <c r="K41" s="312"/>
      <c r="L41" s="312"/>
      <c r="M41" s="312"/>
      <c r="N41" s="312"/>
      <c r="O41" s="296"/>
      <c r="P41" s="296"/>
      <c r="R41" s="417" t="s">
        <v>813</v>
      </c>
      <c r="S41" s="418"/>
      <c r="T41" s="374"/>
      <c r="U41" s="374"/>
      <c r="V41" s="375"/>
      <c r="X41" s="419"/>
      <c r="Y41" s="419"/>
      <c r="Z41" s="419"/>
      <c r="AA41" s="412"/>
      <c r="AB41" s="345"/>
      <c r="AC41" s="397"/>
      <c r="AE41" s="397"/>
      <c r="AF41" s="397"/>
      <c r="AG41" s="345"/>
      <c r="AH41" s="396"/>
      <c r="AJ41" s="345"/>
    </row>
    <row r="42" spans="1:48" ht="15.75">
      <c r="A42" s="296"/>
      <c r="B42" s="296"/>
      <c r="C42" s="296"/>
      <c r="D42" s="296"/>
      <c r="E42" s="296"/>
      <c r="F42" s="351">
        <f t="shared" si="0"/>
        <v>36</v>
      </c>
      <c r="G42" s="312"/>
      <c r="H42" s="312"/>
      <c r="I42" s="312"/>
      <c r="J42" s="420" t="s">
        <v>814</v>
      </c>
      <c r="K42" s="421" t="s">
        <v>756</v>
      </c>
      <c r="L42" s="312"/>
      <c r="M42" s="312"/>
      <c r="N42" s="312"/>
      <c r="O42" s="296"/>
      <c r="P42" s="296"/>
      <c r="R42" s="422" t="s">
        <v>815</v>
      </c>
      <c r="S42" s="423"/>
      <c r="V42" s="424"/>
      <c r="X42" s="397"/>
      <c r="Y42" s="397"/>
      <c r="Z42" s="397"/>
      <c r="AA42" s="412"/>
      <c r="AB42" s="345"/>
      <c r="AC42" s="397"/>
      <c r="AE42" s="397"/>
      <c r="AF42" s="397"/>
      <c r="AG42" s="345"/>
      <c r="AJ42" s="345"/>
    </row>
    <row r="43" spans="1:48" ht="15.75">
      <c r="A43" s="296"/>
      <c r="B43" s="296"/>
      <c r="C43" s="296"/>
      <c r="D43" s="296"/>
      <c r="E43" s="296"/>
      <c r="F43" s="351">
        <f t="shared" si="0"/>
        <v>37</v>
      </c>
      <c r="G43" s="312"/>
      <c r="H43" s="323" t="s">
        <v>816</v>
      </c>
      <c r="I43" s="425"/>
      <c r="J43" s="426">
        <f>IF(A64=TRUE,C11,0)</f>
        <v>1.4999999999999999E-2</v>
      </c>
      <c r="K43" s="427">
        <f ca="1">+J43*($J$7/$J$49)</f>
        <v>12598.08781847775</v>
      </c>
      <c r="L43" s="312"/>
      <c r="M43" s="312"/>
      <c r="N43" s="312"/>
      <c r="O43" s="296"/>
      <c r="P43" s="296"/>
      <c r="R43" s="353">
        <v>0</v>
      </c>
      <c r="S43" s="428">
        <v>1</v>
      </c>
      <c r="U43" s="429" t="s">
        <v>809</v>
      </c>
      <c r="V43" s="430">
        <f ca="1">VLOOKUP(R48,R36:AG39,14)</f>
        <v>8.0148773053330513E-2</v>
      </c>
      <c r="AC43" s="397"/>
      <c r="AE43" s="397"/>
      <c r="AJ43" s="345"/>
      <c r="AN43" s="397"/>
      <c r="AO43" s="397"/>
      <c r="AP43" s="397"/>
      <c r="AQ43" s="397"/>
      <c r="AR43" s="397"/>
      <c r="AS43" s="397"/>
      <c r="AT43" s="397"/>
      <c r="AU43" s="397"/>
      <c r="AV43" s="397"/>
    </row>
    <row r="44" spans="1:48" ht="15.75">
      <c r="A44" s="296"/>
      <c r="B44" s="296"/>
      <c r="C44" s="296"/>
      <c r="D44" s="296"/>
      <c r="E44" s="296"/>
      <c r="F44" s="351">
        <f t="shared" si="0"/>
        <v>38</v>
      </c>
      <c r="G44" s="312"/>
      <c r="H44" s="323" t="s">
        <v>817</v>
      </c>
      <c r="I44" s="425"/>
      <c r="J44" s="426">
        <f>IF(A64=TRUE,C12,0)</f>
        <v>5.1000000000000004E-3</v>
      </c>
      <c r="K44" s="427">
        <f ca="1">+J44*($J$7/$J$49)</f>
        <v>4283.3498582824359</v>
      </c>
      <c r="L44" s="312"/>
      <c r="M44" s="312"/>
      <c r="N44" s="312"/>
      <c r="O44" s="296"/>
      <c r="P44" s="296"/>
      <c r="R44" s="353">
        <v>50</v>
      </c>
      <c r="S44" s="428">
        <v>2</v>
      </c>
      <c r="U44" s="429" t="s">
        <v>755</v>
      </c>
      <c r="V44" s="430">
        <f ca="1">ROUND(1-V43,6)</f>
        <v>0.91985099999999997</v>
      </c>
      <c r="AA44" s="431"/>
      <c r="AB44" s="315"/>
      <c r="AC44" s="315"/>
      <c r="AE44" s="397"/>
      <c r="AH44" s="396"/>
      <c r="AJ44" s="345"/>
      <c r="AN44" s="397"/>
      <c r="AO44" s="397"/>
      <c r="AP44" s="397"/>
      <c r="AQ44" s="397"/>
      <c r="AR44" s="397"/>
      <c r="AS44" s="397"/>
      <c r="AT44" s="397"/>
      <c r="AU44" s="397"/>
      <c r="AV44" s="397"/>
    </row>
    <row r="45" spans="1:48" ht="15.75">
      <c r="A45" s="296"/>
      <c r="B45" s="296"/>
      <c r="C45" s="296"/>
      <c r="D45" s="296"/>
      <c r="E45" s="296"/>
      <c r="F45" s="351">
        <f t="shared" si="0"/>
        <v>39</v>
      </c>
      <c r="G45" s="312"/>
      <c r="H45" s="323" t="s">
        <v>818</v>
      </c>
      <c r="I45" s="425"/>
      <c r="J45" s="426">
        <f>IF(A64=TRUE,C13,0)</f>
        <v>0</v>
      </c>
      <c r="K45" s="427">
        <f ca="1">+J45*($J$7/$J$49)</f>
        <v>0</v>
      </c>
      <c r="L45" s="312"/>
      <c r="M45" s="312"/>
      <c r="N45" s="312"/>
      <c r="O45" s="296"/>
      <c r="P45" s="296"/>
      <c r="R45" s="353">
        <v>125</v>
      </c>
      <c r="S45" s="428">
        <v>3</v>
      </c>
      <c r="U45" s="306" t="s">
        <v>819</v>
      </c>
      <c r="V45" s="432">
        <f ca="1">+M7/Revenue-1</f>
        <v>9.6441773042538648E-2</v>
      </c>
      <c r="W45" s="349"/>
      <c r="X45" s="397"/>
      <c r="Y45" s="397"/>
      <c r="Z45" s="397"/>
      <c r="AA45" s="431"/>
      <c r="AB45" s="345"/>
      <c r="AC45" s="397"/>
      <c r="AE45" s="397"/>
      <c r="AF45" s="397"/>
      <c r="AG45" s="345"/>
      <c r="AH45" s="396"/>
      <c r="AJ45" s="345"/>
      <c r="AN45" s="397"/>
      <c r="AO45" s="397"/>
      <c r="AP45" s="397"/>
      <c r="AQ45" s="397"/>
      <c r="AR45" s="397"/>
      <c r="AS45" s="397"/>
      <c r="AT45" s="397"/>
      <c r="AU45" s="397"/>
      <c r="AV45" s="397"/>
    </row>
    <row r="46" spans="1:48" ht="15.75">
      <c r="A46" s="296"/>
      <c r="B46" s="296"/>
      <c r="C46" s="296"/>
      <c r="D46" s="296"/>
      <c r="E46" s="296"/>
      <c r="F46" s="351">
        <f t="shared" si="0"/>
        <v>40</v>
      </c>
      <c r="G46" s="312"/>
      <c r="H46" s="323" t="s">
        <v>820</v>
      </c>
      <c r="I46" s="425"/>
      <c r="J46" s="426">
        <f>IF(A64=TRUE,C14,0)</f>
        <v>1.9902125913734531E-3</v>
      </c>
      <c r="K46" s="427">
        <f ca="1">+J46*($J$7/$J$49)</f>
        <v>1671.5248669041957</v>
      </c>
      <c r="L46" s="312"/>
      <c r="M46" s="312"/>
      <c r="N46" s="312"/>
      <c r="O46" s="296"/>
      <c r="P46" s="296"/>
      <c r="R46" s="356">
        <v>401</v>
      </c>
      <c r="S46" s="433">
        <v>4</v>
      </c>
      <c r="T46" s="384"/>
      <c r="U46" s="384"/>
      <c r="V46" s="387"/>
      <c r="X46" s="397"/>
      <c r="Y46" s="397"/>
      <c r="Z46" s="397"/>
      <c r="AA46" s="412"/>
      <c r="AB46" s="345"/>
      <c r="AC46" s="397"/>
      <c r="AE46" s="397"/>
      <c r="AF46" s="397"/>
      <c r="AG46" s="345"/>
      <c r="AH46" s="396"/>
      <c r="AJ46" s="345"/>
      <c r="AN46" s="397"/>
      <c r="AO46" s="397"/>
      <c r="AP46" s="397"/>
      <c r="AQ46" s="397"/>
      <c r="AR46" s="397"/>
      <c r="AS46" s="397"/>
      <c r="AT46" s="397"/>
      <c r="AU46" s="397"/>
      <c r="AV46" s="397"/>
    </row>
    <row r="47" spans="1:48" ht="16.5" thickBot="1">
      <c r="A47" s="296"/>
      <c r="B47" s="296"/>
      <c r="C47" s="296"/>
      <c r="D47" s="296"/>
      <c r="E47" s="296"/>
      <c r="F47" s="351">
        <f t="shared" si="0"/>
        <v>41</v>
      </c>
      <c r="G47" s="312"/>
      <c r="H47" s="323" t="s">
        <v>821</v>
      </c>
      <c r="I47" s="413"/>
      <c r="J47" s="434">
        <f>SUM(J43:J46)</f>
        <v>2.2090212591373452E-2</v>
      </c>
      <c r="K47" s="401">
        <f ca="1">+K43+K44+K45+K46</f>
        <v>18552.962543664384</v>
      </c>
      <c r="L47" s="312"/>
      <c r="M47" s="312"/>
      <c r="N47" s="312"/>
      <c r="O47" s="296"/>
      <c r="P47" s="296"/>
      <c r="R47" s="368">
        <f ca="1">VLOOKUP(R48,R36:S39,2)</f>
        <v>259.37175745421024</v>
      </c>
      <c r="S47" s="435" t="s">
        <v>822</v>
      </c>
      <c r="T47" s="375"/>
      <c r="X47" s="306" t="s">
        <v>823</v>
      </c>
      <c r="AE47" s="397"/>
      <c r="AH47" s="396"/>
      <c r="AJ47" s="345"/>
    </row>
    <row r="48" spans="1:48" ht="16.5" thickTop="1">
      <c r="A48" s="296"/>
      <c r="B48" s="296"/>
      <c r="C48" s="296"/>
      <c r="D48" s="296"/>
      <c r="E48" s="296"/>
      <c r="F48" s="351">
        <f t="shared" si="0"/>
        <v>42</v>
      </c>
      <c r="G48" s="312"/>
      <c r="H48" s="312"/>
      <c r="I48" s="312"/>
      <c r="J48" s="436"/>
      <c r="K48" s="312"/>
      <c r="L48" s="312"/>
      <c r="M48" s="312"/>
      <c r="N48" s="312"/>
      <c r="O48" s="296"/>
      <c r="P48" s="296"/>
      <c r="R48" s="353">
        <f ca="1">VLOOKUP(S36,R43:S46,2)</f>
        <v>3</v>
      </c>
      <c r="S48" s="437" t="s">
        <v>824</v>
      </c>
      <c r="T48" s="424"/>
      <c r="X48" s="306" t="s">
        <v>825</v>
      </c>
      <c r="AC48" s="315"/>
      <c r="AE48" s="397"/>
      <c r="AJ48" s="345"/>
    </row>
    <row r="49" spans="1:48" ht="15.75">
      <c r="A49" s="296"/>
      <c r="B49" s="296"/>
      <c r="C49" s="296"/>
      <c r="D49" s="296"/>
      <c r="E49" s="296"/>
      <c r="F49" s="351">
        <f t="shared" si="0"/>
        <v>43</v>
      </c>
      <c r="G49" s="318"/>
      <c r="H49" s="323" t="s">
        <v>826</v>
      </c>
      <c r="I49" s="312"/>
      <c r="J49" s="409">
        <f ca="1">((K35)-J47)</f>
        <v>0.89793005749683175</v>
      </c>
      <c r="K49" s="312"/>
      <c r="L49" s="312"/>
      <c r="M49" s="312"/>
      <c r="N49" s="312"/>
      <c r="O49" s="296"/>
      <c r="P49" s="296"/>
      <c r="R49" s="353"/>
      <c r="S49" s="437"/>
      <c r="T49" s="424"/>
      <c r="X49" s="306" t="s">
        <v>827</v>
      </c>
      <c r="AC49" s="397"/>
      <c r="AE49" s="397"/>
      <c r="AF49" s="397"/>
      <c r="AG49" s="345"/>
      <c r="AJ49" s="345"/>
    </row>
    <row r="50" spans="1:48">
      <c r="A50" s="296"/>
      <c r="B50" s="296"/>
      <c r="C50" s="296"/>
      <c r="D50" s="296"/>
      <c r="E50" s="296"/>
      <c r="F50" s="296"/>
      <c r="G50" s="296"/>
      <c r="H50" s="296"/>
      <c r="I50" s="296"/>
      <c r="J50" s="296"/>
      <c r="K50" s="438"/>
      <c r="L50" s="296"/>
      <c r="M50" s="296"/>
      <c r="N50" s="439"/>
      <c r="O50" s="296"/>
      <c r="P50" s="296"/>
      <c r="R50" s="440">
        <f ca="1">+V44</f>
        <v>0.91985099999999997</v>
      </c>
      <c r="S50" s="441" t="s">
        <v>755</v>
      </c>
      <c r="T50" s="442"/>
      <c r="X50" s="306" t="s">
        <v>828</v>
      </c>
      <c r="AC50" s="397"/>
      <c r="AE50" s="397"/>
      <c r="AF50" s="397"/>
      <c r="AG50" s="345"/>
      <c r="AH50" s="397"/>
      <c r="AJ50" s="345"/>
      <c r="AN50" s="397"/>
      <c r="AO50" s="397"/>
      <c r="AP50" s="397"/>
      <c r="AQ50" s="397"/>
      <c r="AR50" s="397"/>
      <c r="AS50" s="397"/>
      <c r="AT50" s="397"/>
      <c r="AU50" s="397"/>
      <c r="AV50" s="397"/>
    </row>
    <row r="51" spans="1:48">
      <c r="A51" s="296"/>
      <c r="B51" s="296"/>
      <c r="C51" s="296"/>
      <c r="D51" s="296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R51" s="306"/>
      <c r="AB51" s="345"/>
      <c r="AC51" s="397"/>
      <c r="AE51" s="397"/>
      <c r="AF51" s="397"/>
      <c r="AG51" s="345"/>
      <c r="AH51" s="396"/>
      <c r="AJ51" s="345"/>
      <c r="AN51" s="397"/>
      <c r="AO51" s="397"/>
      <c r="AP51" s="397"/>
      <c r="AQ51" s="397"/>
      <c r="AR51" s="397"/>
      <c r="AS51" s="397"/>
      <c r="AT51" s="397"/>
      <c r="AU51" s="397"/>
      <c r="AV51" s="397"/>
    </row>
    <row r="52" spans="1:48">
      <c r="A52" s="296"/>
      <c r="B52" s="296"/>
      <c r="C52" s="296"/>
      <c r="D52" s="296"/>
      <c r="E52" s="296"/>
      <c r="F52" s="296"/>
      <c r="G52" s="296"/>
      <c r="H52" s="296"/>
      <c r="I52" s="296"/>
      <c r="J52" s="443"/>
      <c r="K52" s="443"/>
      <c r="L52" s="443"/>
      <c r="M52" s="443"/>
      <c r="N52" s="296"/>
      <c r="O52" s="296"/>
      <c r="P52" s="296"/>
      <c r="R52" s="306"/>
      <c r="AB52" s="345"/>
      <c r="AC52" s="397"/>
      <c r="AE52" s="397"/>
      <c r="AF52" s="397"/>
      <c r="AG52" s="345"/>
      <c r="AH52" s="396"/>
      <c r="AJ52" s="345"/>
      <c r="AN52" s="397"/>
      <c r="AO52" s="397"/>
      <c r="AP52" s="397"/>
      <c r="AQ52" s="397"/>
      <c r="AR52" s="397"/>
      <c r="AS52" s="397"/>
      <c r="AT52" s="397"/>
      <c r="AU52" s="397"/>
      <c r="AV52" s="397"/>
    </row>
    <row r="53" spans="1:48" ht="15.75">
      <c r="A53" s="296"/>
      <c r="B53" s="296"/>
      <c r="C53" s="296"/>
      <c r="D53" s="296"/>
      <c r="E53" s="296"/>
      <c r="F53" s="296"/>
      <c r="G53" s="296"/>
      <c r="H53" s="296"/>
      <c r="I53" s="296"/>
      <c r="J53" s="296"/>
      <c r="K53" s="443"/>
      <c r="L53" s="443"/>
      <c r="M53" s="443"/>
      <c r="N53" s="296"/>
      <c r="O53" s="296"/>
      <c r="P53" s="296"/>
      <c r="R53" s="306"/>
      <c r="S53" s="306" t="s">
        <v>829</v>
      </c>
      <c r="T53" s="397"/>
      <c r="U53" s="444"/>
      <c r="W53" s="445" t="s">
        <v>830</v>
      </c>
      <c r="X53" s="446"/>
      <c r="Y53" s="446"/>
      <c r="Z53" s="446"/>
      <c r="AA53" s="446"/>
      <c r="AB53" s="446"/>
      <c r="AE53" s="397"/>
      <c r="AH53" s="396"/>
      <c r="AJ53" s="345"/>
      <c r="AN53" s="397"/>
      <c r="AO53" s="397"/>
      <c r="AP53" s="397"/>
      <c r="AQ53" s="397"/>
      <c r="AR53" s="397"/>
      <c r="AS53" s="397"/>
      <c r="AT53" s="397"/>
      <c r="AU53" s="397"/>
      <c r="AV53" s="397"/>
    </row>
    <row r="54" spans="1:48">
      <c r="A54" s="296"/>
      <c r="B54" s="296"/>
      <c r="C54" s="296"/>
      <c r="D54" s="296"/>
      <c r="E54" s="296"/>
      <c r="F54" s="296"/>
      <c r="G54" s="296"/>
      <c r="H54" s="296"/>
      <c r="I54" s="296"/>
      <c r="J54" s="296"/>
      <c r="K54" s="296"/>
      <c r="L54" s="447"/>
      <c r="M54" s="447"/>
      <c r="N54" s="296"/>
      <c r="O54" s="296"/>
      <c r="P54" s="296"/>
      <c r="R54" s="448"/>
      <c r="S54" s="449" t="s">
        <v>794</v>
      </c>
      <c r="T54" s="449" t="s">
        <v>831</v>
      </c>
      <c r="U54" s="450" t="s">
        <v>797</v>
      </c>
      <c r="W54" s="451" t="s">
        <v>832</v>
      </c>
      <c r="X54" s="452">
        <v>3.7226020000000002</v>
      </c>
      <c r="Y54" s="453" t="s">
        <v>833</v>
      </c>
      <c r="Z54" s="454">
        <v>3.7226020000000002</v>
      </c>
      <c r="AC54" s="315"/>
      <c r="AE54" s="397"/>
      <c r="AJ54" s="345"/>
    </row>
    <row r="55" spans="1:48">
      <c r="A55" s="296"/>
      <c r="B55" s="296"/>
      <c r="C55" s="296"/>
      <c r="D55" s="296"/>
      <c r="E55" s="296"/>
      <c r="F55" s="296"/>
      <c r="G55" s="296"/>
      <c r="H55" s="296"/>
      <c r="I55" s="296"/>
      <c r="J55" s="447"/>
      <c r="K55" s="296"/>
      <c r="L55" s="447"/>
      <c r="M55" s="447"/>
      <c r="N55" s="296"/>
      <c r="O55" s="296"/>
      <c r="P55" s="296"/>
      <c r="R55" s="307" t="s">
        <v>753</v>
      </c>
      <c r="S55" s="431">
        <v>0.56200000000000006</v>
      </c>
      <c r="T55" s="431">
        <v>6.3799999999999996E-2</v>
      </c>
      <c r="U55" s="455">
        <f>ROUND(+S55*T55,5)</f>
        <v>3.5860000000000003E-2</v>
      </c>
      <c r="W55" s="456" t="s">
        <v>834</v>
      </c>
      <c r="X55" s="457">
        <v>3.7226020000000002</v>
      </c>
      <c r="Y55" s="458" t="s">
        <v>835</v>
      </c>
      <c r="Z55" s="459">
        <v>3.7226020000000002</v>
      </c>
      <c r="AC55" s="397"/>
      <c r="AE55" s="397"/>
      <c r="AF55" s="397"/>
      <c r="AG55" s="345"/>
      <c r="AJ55" s="345"/>
    </row>
    <row r="56" spans="1:48">
      <c r="A56" s="296"/>
      <c r="B56" s="296"/>
      <c r="C56" s="296"/>
      <c r="D56" s="296"/>
      <c r="E56" s="443"/>
      <c r="F56" s="296"/>
      <c r="G56" s="296"/>
      <c r="H56" s="296"/>
      <c r="I56" s="296"/>
      <c r="J56" s="447"/>
      <c r="K56" s="296"/>
      <c r="L56" s="447"/>
      <c r="M56" s="447"/>
      <c r="N56" s="296"/>
      <c r="O56" s="296"/>
      <c r="P56" s="296"/>
      <c r="R56" s="307" t="s">
        <v>836</v>
      </c>
      <c r="S56" s="431">
        <v>9.4E-2</v>
      </c>
      <c r="T56" s="431">
        <v>6.59E-2</v>
      </c>
      <c r="U56" s="455">
        <f>ROUND(+S56*T56,5)</f>
        <v>6.1900000000000002E-3</v>
      </c>
      <c r="W56" s="307"/>
      <c r="Y56" s="460"/>
      <c r="Z56" s="461"/>
      <c r="AC56" s="397"/>
      <c r="AE56" s="397"/>
      <c r="AF56" s="397"/>
      <c r="AG56" s="345"/>
      <c r="AH56" s="396"/>
      <c r="AJ56" s="345"/>
      <c r="AN56" s="397"/>
    </row>
    <row r="57" spans="1:48" ht="15.75">
      <c r="A57" s="296"/>
      <c r="B57" s="296"/>
      <c r="C57" s="296"/>
      <c r="D57" s="296"/>
      <c r="E57" s="443"/>
      <c r="F57" s="443"/>
      <c r="G57" s="443"/>
      <c r="H57" s="462"/>
      <c r="I57" s="443"/>
      <c r="J57" s="447"/>
      <c r="K57" s="296"/>
      <c r="L57" s="296"/>
      <c r="M57" s="296"/>
      <c r="N57" s="296"/>
      <c r="O57" s="296"/>
      <c r="P57" s="296"/>
      <c r="R57" s="307" t="s">
        <v>751</v>
      </c>
      <c r="S57" s="463">
        <v>0.34399999999999997</v>
      </c>
      <c r="T57" s="464"/>
      <c r="U57" s="465"/>
      <c r="W57" s="383"/>
      <c r="X57" s="466" t="s">
        <v>837</v>
      </c>
      <c r="Y57" s="467">
        <v>0.30151749999999999</v>
      </c>
      <c r="Z57" s="468"/>
      <c r="AC57" s="397"/>
      <c r="AE57" s="397"/>
      <c r="AF57" s="397"/>
      <c r="AG57" s="345"/>
      <c r="AH57" s="396"/>
      <c r="AJ57" s="345"/>
    </row>
    <row r="58" spans="1:48" ht="15.75">
      <c r="A58" s="296"/>
      <c r="B58" s="296"/>
      <c r="C58" s="296"/>
      <c r="D58" s="296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R58" s="383"/>
      <c r="S58" s="463">
        <f>SUM(S55:S57)</f>
        <v>1</v>
      </c>
      <c r="T58" s="469"/>
      <c r="U58" s="470"/>
      <c r="X58" s="397"/>
      <c r="Y58" s="397"/>
      <c r="Z58" s="397"/>
      <c r="AA58" s="412"/>
      <c r="AB58" s="345"/>
      <c r="AC58" s="397"/>
      <c r="AE58" s="397"/>
      <c r="AF58" s="397"/>
      <c r="AG58" s="345"/>
      <c r="AH58" s="396"/>
      <c r="AJ58" s="345"/>
    </row>
    <row r="59" spans="1:48">
      <c r="A59" s="296"/>
      <c r="B59" s="296"/>
      <c r="C59" s="296"/>
      <c r="D59" s="296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X59" s="471"/>
      <c r="Y59" s="471"/>
      <c r="Z59" s="471"/>
      <c r="AE59" s="397"/>
      <c r="AH59" s="396"/>
      <c r="AJ59" s="345"/>
      <c r="AN59" s="396"/>
      <c r="AO59" s="396"/>
      <c r="AP59" s="396"/>
      <c r="AQ59" s="396"/>
      <c r="AR59" s="396"/>
      <c r="AS59" s="396"/>
      <c r="AT59" s="396"/>
      <c r="AU59" s="396"/>
      <c r="AV59" s="396"/>
    </row>
    <row r="60" spans="1:48">
      <c r="A60" s="296"/>
      <c r="B60" s="296"/>
      <c r="C60" s="296"/>
      <c r="D60" s="296"/>
      <c r="E60" s="443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R60" s="306"/>
      <c r="S60" s="472"/>
      <c r="W60" s="448"/>
      <c r="X60" s="473" t="s">
        <v>804</v>
      </c>
      <c r="Y60" s="473" t="s">
        <v>838</v>
      </c>
      <c r="Z60" s="474" t="s">
        <v>732</v>
      </c>
      <c r="AE60" s="397"/>
      <c r="AJ60" s="345"/>
      <c r="AN60" s="396"/>
      <c r="AO60" s="396"/>
      <c r="AP60" s="396"/>
      <c r="AQ60" s="396"/>
      <c r="AR60" s="396"/>
      <c r="AS60" s="396"/>
      <c r="AT60" s="396"/>
      <c r="AU60" s="396"/>
      <c r="AV60" s="396"/>
    </row>
    <row r="61" spans="1:48">
      <c r="A61" s="296"/>
      <c r="B61" s="296"/>
      <c r="C61" s="296"/>
      <c r="D61" s="296"/>
      <c r="E61" s="296"/>
      <c r="F61" s="443"/>
      <c r="G61" s="443"/>
      <c r="H61" s="443"/>
      <c r="I61" s="443"/>
      <c r="J61" s="443"/>
      <c r="K61" s="443"/>
      <c r="L61" s="443"/>
      <c r="M61" s="443"/>
      <c r="N61" s="443"/>
      <c r="O61" s="296"/>
      <c r="P61" s="296"/>
      <c r="R61" s="306"/>
      <c r="W61" s="307"/>
      <c r="X61" s="475"/>
      <c r="Y61" s="475"/>
      <c r="Z61" s="476"/>
      <c r="AE61" s="397"/>
      <c r="AF61" s="397"/>
      <c r="AG61" s="345"/>
      <c r="AJ61" s="345"/>
      <c r="AN61" s="396"/>
      <c r="AO61" s="396"/>
      <c r="AP61" s="396"/>
      <c r="AQ61" s="396"/>
      <c r="AR61" s="396"/>
      <c r="AS61" s="396"/>
      <c r="AT61" s="396"/>
      <c r="AU61" s="396"/>
      <c r="AV61" s="396"/>
    </row>
    <row r="62" spans="1:48">
      <c r="A62" s="296"/>
      <c r="B62" s="296"/>
      <c r="C62" s="296"/>
      <c r="D62" s="296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R62" s="306"/>
      <c r="S62" s="472"/>
      <c r="W62" s="307"/>
      <c r="X62" s="429" t="s">
        <v>806</v>
      </c>
      <c r="Y62" s="430">
        <f t="shared" ref="Y62:Z67" ca="1" si="1">+J33</f>
        <v>0.20744488340895173</v>
      </c>
      <c r="Z62" s="430">
        <f t="shared" ca="1" si="1"/>
        <v>0.16691413711941497</v>
      </c>
      <c r="AE62" s="397"/>
      <c r="AF62" s="397"/>
      <c r="AG62" s="345"/>
      <c r="AH62" s="396"/>
      <c r="AJ62" s="345"/>
      <c r="AN62" s="396"/>
      <c r="AO62" s="396"/>
      <c r="AP62" s="396"/>
      <c r="AQ62" s="396"/>
      <c r="AR62" s="396"/>
      <c r="AS62" s="396"/>
      <c r="AT62" s="396"/>
      <c r="AU62" s="396"/>
      <c r="AV62" s="396"/>
    </row>
    <row r="63" spans="1:48">
      <c r="A63" s="296"/>
      <c r="B63" s="296"/>
      <c r="C63" s="296"/>
      <c r="D63" s="296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R63" s="306"/>
      <c r="W63" s="307"/>
      <c r="X63" s="429" t="s">
        <v>807</v>
      </c>
      <c r="Y63" s="430">
        <f t="shared" ca="1" si="1"/>
        <v>0.38012674321839207</v>
      </c>
      <c r="Z63" s="430">
        <f t="shared" ca="1" si="1"/>
        <v>0.30030012714252968</v>
      </c>
      <c r="AE63" s="397"/>
      <c r="AF63" s="397"/>
      <c r="AG63" s="345"/>
      <c r="AH63" s="396"/>
      <c r="AJ63" s="345"/>
    </row>
    <row r="64" spans="1:48">
      <c r="A64" s="306" t="b">
        <v>1</v>
      </c>
      <c r="B64" s="296"/>
      <c r="C64" s="296"/>
      <c r="F64" s="296"/>
      <c r="G64" s="296"/>
      <c r="H64" s="296"/>
      <c r="I64" s="296"/>
      <c r="J64" s="296"/>
      <c r="K64" s="296"/>
      <c r="L64" s="296"/>
      <c r="M64" s="296"/>
      <c r="N64" s="296"/>
      <c r="R64" s="306"/>
      <c r="S64" s="472"/>
      <c r="W64" s="307"/>
      <c r="X64" s="429" t="s">
        <v>755</v>
      </c>
      <c r="Y64" s="430">
        <f t="shared" ca="1" si="1"/>
        <v>0.91985099999999986</v>
      </c>
      <c r="Z64" s="430">
        <f t="shared" ca="1" si="1"/>
        <v>0.92002027008820519</v>
      </c>
      <c r="AE64" s="397"/>
      <c r="AF64" s="397"/>
      <c r="AG64" s="345"/>
      <c r="AH64" s="396"/>
      <c r="AJ64" s="345"/>
    </row>
    <row r="65" spans="8:40">
      <c r="H65" s="396"/>
      <c r="I65" s="396"/>
      <c r="J65" s="396"/>
      <c r="K65" s="396"/>
      <c r="L65" s="396"/>
      <c r="M65" s="396"/>
      <c r="N65" s="396"/>
      <c r="O65" s="396"/>
      <c r="R65" s="306"/>
      <c r="W65" s="307"/>
      <c r="X65" s="429" t="s">
        <v>809</v>
      </c>
      <c r="Y65" s="430">
        <f t="shared" ca="1" si="1"/>
        <v>8.0149000000000109E-2</v>
      </c>
      <c r="Z65" s="430">
        <f t="shared" ca="1" si="1"/>
        <v>8.0149000000000109E-2</v>
      </c>
      <c r="AE65" s="397"/>
      <c r="AH65" s="396"/>
      <c r="AJ65" s="345"/>
      <c r="AN65" s="396"/>
    </row>
    <row r="66" spans="8:40">
      <c r="H66" s="396"/>
      <c r="I66" s="396"/>
      <c r="J66" s="396"/>
      <c r="K66" s="396"/>
      <c r="L66" s="396"/>
      <c r="M66" s="396"/>
      <c r="N66" s="396"/>
      <c r="O66" s="396"/>
      <c r="R66" s="306"/>
      <c r="S66" s="472"/>
      <c r="W66" s="307"/>
      <c r="X66" s="429" t="s">
        <v>810</v>
      </c>
      <c r="Y66" s="430">
        <f t="shared" ca="1" si="1"/>
        <v>2.5937175745421026</v>
      </c>
      <c r="Z66" s="430">
        <f t="shared" ca="1" si="1"/>
        <v>2.5937175745421026</v>
      </c>
      <c r="AE66" s="397"/>
      <c r="AJ66" s="345"/>
    </row>
    <row r="67" spans="8:40">
      <c r="O67" s="396"/>
      <c r="W67" s="383"/>
      <c r="X67" s="478" t="s">
        <v>811</v>
      </c>
      <c r="Y67" s="479">
        <f t="shared" si="1"/>
        <v>0.21</v>
      </c>
      <c r="Z67" s="479">
        <f t="shared" si="1"/>
        <v>0.21</v>
      </c>
      <c r="AE67" s="397"/>
      <c r="AF67" s="397"/>
      <c r="AG67" s="345"/>
      <c r="AJ67" s="345"/>
    </row>
    <row r="68" spans="8:40">
      <c r="O68" s="396"/>
      <c r="W68" s="429"/>
      <c r="AE68" s="397"/>
      <c r="AF68" s="397"/>
      <c r="AG68" s="345"/>
      <c r="AH68" s="396"/>
      <c r="AJ68" s="345"/>
    </row>
    <row r="69" spans="8:40">
      <c r="O69" s="396"/>
      <c r="X69" s="397"/>
      <c r="Y69" s="397"/>
      <c r="Z69" s="397"/>
      <c r="AA69" s="412"/>
      <c r="AB69" s="345"/>
      <c r="AC69" s="397"/>
      <c r="AE69" s="397"/>
      <c r="AF69" s="397"/>
      <c r="AG69" s="345"/>
      <c r="AH69" s="396"/>
      <c r="AJ69" s="345"/>
    </row>
    <row r="70" spans="8:40">
      <c r="X70" s="397"/>
      <c r="Y70" s="397"/>
      <c r="Z70" s="397"/>
      <c r="AA70" s="412"/>
      <c r="AB70" s="345"/>
      <c r="AC70" s="397"/>
      <c r="AE70" s="397"/>
      <c r="AF70" s="397"/>
      <c r="AG70" s="345"/>
      <c r="AH70" s="396"/>
      <c r="AJ70" s="345"/>
    </row>
    <row r="71" spans="8:40">
      <c r="AE71" s="397"/>
      <c r="AH71" s="396"/>
      <c r="AJ71" s="345"/>
    </row>
    <row r="72" spans="8:40">
      <c r="AA72" s="315"/>
      <c r="AB72" s="315"/>
      <c r="AC72" s="315"/>
      <c r="AE72" s="397"/>
      <c r="AJ72" s="345"/>
    </row>
    <row r="73" spans="8:40">
      <c r="X73" s="397"/>
      <c r="Y73" s="397"/>
      <c r="Z73" s="397"/>
      <c r="AA73" s="412"/>
      <c r="AB73" s="345"/>
      <c r="AC73" s="397"/>
      <c r="AE73" s="397"/>
      <c r="AF73" s="397"/>
      <c r="AG73" s="345"/>
      <c r="AJ73" s="345"/>
    </row>
    <row r="74" spans="8:40">
      <c r="X74" s="397"/>
      <c r="Y74" s="397"/>
      <c r="Z74" s="397"/>
      <c r="AA74" s="412"/>
      <c r="AB74" s="345"/>
      <c r="AC74" s="397"/>
      <c r="AE74" s="397"/>
      <c r="AF74" s="397"/>
      <c r="AG74" s="345"/>
      <c r="AH74" s="396"/>
      <c r="AJ74" s="345"/>
    </row>
    <row r="75" spans="8:40">
      <c r="X75" s="397"/>
      <c r="Y75" s="397"/>
      <c r="Z75" s="397"/>
      <c r="AA75" s="412"/>
      <c r="AB75" s="345"/>
      <c r="AC75" s="397"/>
      <c r="AE75" s="397"/>
      <c r="AF75" s="397"/>
      <c r="AG75" s="345"/>
      <c r="AH75" s="396"/>
      <c r="AJ75" s="345"/>
    </row>
    <row r="76" spans="8:40">
      <c r="X76" s="397"/>
      <c r="Y76" s="397"/>
      <c r="Z76" s="397"/>
      <c r="AA76" s="412"/>
      <c r="AB76" s="345"/>
      <c r="AC76" s="397"/>
      <c r="AE76" s="397"/>
      <c r="AF76" s="397"/>
      <c r="AG76" s="345"/>
      <c r="AH76" s="396"/>
      <c r="AJ76" s="345"/>
    </row>
    <row r="77" spans="8:40">
      <c r="AE77" s="397"/>
      <c r="AH77" s="396"/>
      <c r="AJ77" s="345"/>
    </row>
    <row r="79" spans="8:40">
      <c r="X79" s="397"/>
      <c r="Y79" s="397"/>
      <c r="Z79" s="397"/>
      <c r="AA79" s="412"/>
      <c r="AB79" s="345"/>
      <c r="AC79" s="397"/>
      <c r="AF79" s="397"/>
      <c r="AG79" s="345"/>
    </row>
    <row r="80" spans="8:40">
      <c r="X80" s="397"/>
      <c r="Y80" s="397"/>
      <c r="Z80" s="397"/>
      <c r="AA80" s="412"/>
      <c r="AB80" s="345"/>
      <c r="AC80" s="397"/>
      <c r="AF80" s="397"/>
      <c r="AG80" s="345"/>
      <c r="AH80" s="396"/>
    </row>
    <row r="81" spans="24:34">
      <c r="X81" s="397"/>
      <c r="Y81" s="397"/>
      <c r="Z81" s="397"/>
      <c r="AA81" s="412"/>
      <c r="AB81" s="345"/>
      <c r="AC81" s="397"/>
      <c r="AF81" s="397"/>
      <c r="AG81" s="345"/>
      <c r="AH81" s="396"/>
    </row>
    <row r="82" spans="24:34">
      <c r="X82" s="397"/>
      <c r="Y82" s="397"/>
      <c r="Z82" s="397"/>
      <c r="AA82" s="412"/>
      <c r="AB82" s="345"/>
      <c r="AC82" s="397"/>
      <c r="AF82" s="397"/>
      <c r="AG82" s="345"/>
      <c r="AH82" s="396"/>
    </row>
    <row r="83" spans="24:34">
      <c r="AH83" s="396"/>
    </row>
    <row r="85" spans="24:34">
      <c r="X85" s="397"/>
      <c r="Y85" s="397"/>
      <c r="Z85" s="397"/>
      <c r="AA85" s="412"/>
      <c r="AB85" s="345"/>
      <c r="AC85" s="397"/>
      <c r="AF85" s="397"/>
      <c r="AG85" s="345"/>
    </row>
    <row r="86" spans="24:34">
      <c r="X86" s="397"/>
      <c r="Y86" s="397"/>
      <c r="Z86" s="397"/>
      <c r="AA86" s="412"/>
      <c r="AB86" s="345"/>
      <c r="AC86" s="397"/>
      <c r="AF86" s="397"/>
      <c r="AG86" s="345"/>
      <c r="AH86" s="396"/>
    </row>
    <row r="87" spans="24:34">
      <c r="X87" s="397"/>
      <c r="Y87" s="397"/>
      <c r="Z87" s="397"/>
      <c r="AA87" s="412"/>
      <c r="AB87" s="345"/>
      <c r="AC87" s="397"/>
      <c r="AF87" s="397"/>
      <c r="AG87" s="345"/>
      <c r="AH87" s="396"/>
    </row>
    <row r="88" spans="24:34">
      <c r="X88" s="397"/>
      <c r="Y88" s="397"/>
      <c r="Z88" s="397"/>
      <c r="AA88" s="412"/>
      <c r="AB88" s="345"/>
      <c r="AC88" s="397"/>
      <c r="AF88" s="397"/>
      <c r="AG88" s="345"/>
      <c r="AH88" s="396"/>
    </row>
    <row r="89" spans="24:34">
      <c r="AH89" s="396"/>
    </row>
    <row r="91" spans="24:34">
      <c r="X91" s="397"/>
      <c r="Y91" s="397"/>
      <c r="Z91" s="397"/>
      <c r="AA91" s="412"/>
      <c r="AB91" s="345"/>
      <c r="AC91" s="397"/>
      <c r="AF91" s="397"/>
      <c r="AG91" s="345"/>
    </row>
    <row r="92" spans="24:34">
      <c r="X92" s="397"/>
      <c r="Y92" s="397"/>
      <c r="Z92" s="397"/>
      <c r="AA92" s="412"/>
      <c r="AB92" s="345"/>
      <c r="AC92" s="397"/>
      <c r="AF92" s="397"/>
      <c r="AG92" s="345"/>
      <c r="AH92" s="396"/>
    </row>
    <row r="93" spans="24:34">
      <c r="X93" s="397"/>
      <c r="Y93" s="397"/>
      <c r="Z93" s="397"/>
      <c r="AA93" s="412"/>
      <c r="AB93" s="345"/>
      <c r="AC93" s="397"/>
      <c r="AF93" s="397"/>
      <c r="AG93" s="345"/>
      <c r="AH93" s="396"/>
    </row>
    <row r="94" spans="24:34">
      <c r="X94" s="397"/>
      <c r="Y94" s="397"/>
      <c r="Z94" s="397"/>
      <c r="AA94" s="412"/>
      <c r="AB94" s="345"/>
      <c r="AC94" s="397"/>
      <c r="AF94" s="397"/>
      <c r="AG94" s="345"/>
      <c r="AH94" s="396"/>
    </row>
    <row r="95" spans="24:34">
      <c r="AH95" s="396"/>
    </row>
    <row r="97" spans="24:34">
      <c r="X97" s="397"/>
      <c r="Y97" s="397"/>
      <c r="Z97" s="397"/>
      <c r="AA97" s="412"/>
      <c r="AB97" s="345"/>
      <c r="AC97" s="397"/>
      <c r="AF97" s="397"/>
      <c r="AG97" s="345"/>
    </row>
    <row r="98" spans="24:34">
      <c r="X98" s="397"/>
      <c r="Y98" s="397"/>
      <c r="Z98" s="397"/>
      <c r="AA98" s="412"/>
      <c r="AB98" s="345"/>
      <c r="AC98" s="397"/>
      <c r="AF98" s="397"/>
      <c r="AG98" s="345"/>
      <c r="AH98" s="396"/>
    </row>
    <row r="99" spans="24:34">
      <c r="X99" s="397"/>
      <c r="Y99" s="397"/>
      <c r="Z99" s="397"/>
      <c r="AA99" s="412"/>
      <c r="AB99" s="345"/>
      <c r="AC99" s="397"/>
      <c r="AF99" s="397"/>
      <c r="AG99" s="345"/>
      <c r="AH99" s="396"/>
    </row>
    <row r="100" spans="24:34">
      <c r="X100" s="397"/>
      <c r="Y100" s="397"/>
      <c r="Z100" s="397"/>
      <c r="AA100" s="412"/>
      <c r="AB100" s="345"/>
      <c r="AC100" s="397"/>
      <c r="AF100" s="397"/>
      <c r="AG100" s="345"/>
      <c r="AH100" s="396"/>
    </row>
    <row r="101" spans="24:34">
      <c r="AH101" s="396"/>
    </row>
    <row r="103" spans="24:34">
      <c r="X103" s="397"/>
      <c r="Y103" s="397"/>
      <c r="Z103" s="397"/>
      <c r="AA103" s="412"/>
      <c r="AB103" s="345"/>
      <c r="AC103" s="397"/>
      <c r="AF103" s="397"/>
      <c r="AG103" s="345"/>
    </row>
    <row r="104" spans="24:34">
      <c r="X104" s="397"/>
      <c r="Y104" s="397"/>
      <c r="Z104" s="397"/>
      <c r="AA104" s="412"/>
      <c r="AB104" s="345"/>
      <c r="AC104" s="397"/>
      <c r="AF104" s="397"/>
      <c r="AG104" s="345"/>
      <c r="AH104" s="396"/>
    </row>
    <row r="105" spans="24:34">
      <c r="X105" s="397"/>
      <c r="Y105" s="397"/>
      <c r="Z105" s="397"/>
      <c r="AA105" s="412"/>
      <c r="AB105" s="345"/>
      <c r="AC105" s="397"/>
      <c r="AF105" s="397"/>
      <c r="AG105" s="345"/>
      <c r="AH105" s="396"/>
    </row>
    <row r="106" spans="24:34">
      <c r="X106" s="397"/>
      <c r="Y106" s="397"/>
      <c r="Z106" s="397"/>
      <c r="AA106" s="412"/>
      <c r="AB106" s="345"/>
      <c r="AC106" s="397"/>
      <c r="AF106" s="397"/>
      <c r="AG106" s="345"/>
      <c r="AH106" s="396"/>
    </row>
    <row r="107" spans="24:34">
      <c r="AH107" s="396"/>
    </row>
    <row r="109" spans="24:34">
      <c r="X109" s="397"/>
      <c r="Y109" s="397"/>
      <c r="Z109" s="397"/>
      <c r="AA109" s="412"/>
      <c r="AB109" s="345"/>
      <c r="AC109" s="397"/>
      <c r="AF109" s="397"/>
      <c r="AG109" s="345"/>
    </row>
    <row r="110" spans="24:34">
      <c r="X110" s="397"/>
      <c r="Y110" s="397"/>
      <c r="Z110" s="397"/>
      <c r="AA110" s="412"/>
      <c r="AB110" s="345"/>
      <c r="AC110" s="397"/>
      <c r="AF110" s="397"/>
      <c r="AG110" s="345"/>
    </row>
    <row r="111" spans="24:34">
      <c r="X111" s="397"/>
      <c r="Y111" s="397"/>
      <c r="Z111" s="397"/>
      <c r="AA111" s="412"/>
      <c r="AB111" s="345"/>
      <c r="AC111" s="397"/>
      <c r="AF111" s="397"/>
      <c r="AG111" s="345"/>
    </row>
    <row r="112" spans="24:34">
      <c r="X112" s="397"/>
      <c r="Y112" s="397"/>
      <c r="Z112" s="397"/>
      <c r="AA112" s="412"/>
      <c r="AB112" s="345"/>
      <c r="AC112" s="397"/>
      <c r="AF112" s="397"/>
      <c r="AG112" s="345"/>
    </row>
  </sheetData>
  <mergeCells count="5">
    <mergeCell ref="B2:C2"/>
    <mergeCell ref="AH2:AK2"/>
    <mergeCell ref="B18:C18"/>
    <mergeCell ref="B19:C19"/>
    <mergeCell ref="L31:N31"/>
  </mergeCells>
  <pageMargins left="0.25" right="0.25" top="0.27" bottom="0.4" header="0.18" footer="0.25"/>
  <pageSetup scale="70" orientation="landscape" errors="blank" r:id="rId1"/>
  <headerFooter alignWithMargins="0">
    <oddFooter>&amp;L&amp;F - &amp;A&amp;CPrinted &amp;D - &amp;T&amp;RPage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86C9F-7179-4CC3-8F79-B810DC6969B6}">
  <sheetPr>
    <tabColor theme="8" tint="0.59999389629810485"/>
  </sheetPr>
  <dimension ref="A1:AV112"/>
  <sheetViews>
    <sheetView workbookViewId="0">
      <selection activeCell="C88" sqref="C88"/>
    </sheetView>
  </sheetViews>
  <sheetFormatPr defaultColWidth="16.7109375" defaultRowHeight="15"/>
  <cols>
    <col min="1" max="1" width="4.85546875" style="306" customWidth="1"/>
    <col min="2" max="2" width="33.5703125" style="477" bestFit="1" customWidth="1"/>
    <col min="3" max="3" width="21.28515625" style="477" customWidth="1"/>
    <col min="4" max="4" width="21.28515625" style="477" hidden="1" customWidth="1"/>
    <col min="5" max="5" width="12.85546875" style="477" bestFit="1" customWidth="1"/>
    <col min="6" max="6" width="5.7109375" style="306" customWidth="1"/>
    <col min="7" max="7" width="8.5703125" style="306" customWidth="1"/>
    <col min="8" max="8" width="15" style="306" customWidth="1"/>
    <col min="9" max="9" width="17.7109375" style="306" customWidth="1"/>
    <col min="10" max="10" width="17.28515625" style="306" bestFit="1" customWidth="1"/>
    <col min="11" max="11" width="15.140625" style="306" bestFit="1" customWidth="1"/>
    <col min="12" max="13" width="20.28515625" style="306" customWidth="1"/>
    <col min="14" max="14" width="2.42578125" style="306" customWidth="1"/>
    <col min="15" max="15" width="6.28515625" style="477" customWidth="1"/>
    <col min="16" max="16" width="40.42578125" style="477" customWidth="1"/>
    <col min="17" max="17" width="16.7109375" style="307"/>
    <col min="18" max="18" width="13.85546875" style="315" customWidth="1"/>
    <col min="19" max="19" width="16.7109375" style="306"/>
    <col min="20" max="20" width="13.42578125" style="306" customWidth="1"/>
    <col min="21" max="21" width="15.7109375" style="306" customWidth="1"/>
    <col min="22" max="22" width="16.7109375" style="306"/>
    <col min="23" max="26" width="17.7109375" style="306" customWidth="1"/>
    <col min="27" max="27" width="16" style="306" customWidth="1"/>
    <col min="28" max="28" width="16.7109375" style="306"/>
    <col min="29" max="29" width="15.85546875" style="306" customWidth="1"/>
    <col min="30" max="31" width="16.7109375" style="306"/>
    <col min="32" max="32" width="16.42578125" style="306" customWidth="1"/>
    <col min="33" max="33" width="17.28515625" style="306" customWidth="1"/>
    <col min="34" max="34" width="20.7109375" style="306" customWidth="1"/>
    <col min="35" max="35" width="18.140625" style="306" customWidth="1"/>
    <col min="36" max="36" width="16.42578125" style="306" customWidth="1"/>
    <col min="37" max="37" width="16.7109375" style="306"/>
    <col min="38" max="38" width="13.85546875" style="306" customWidth="1"/>
    <col min="39" max="39" width="16.42578125" style="306" customWidth="1"/>
    <col min="40" max="51" width="15.140625" style="306" customWidth="1"/>
    <col min="52" max="16384" width="16.7109375" style="306"/>
  </cols>
  <sheetData>
    <row r="1" spans="1:37" s="301" customFormat="1" ht="15.75" thickBot="1">
      <c r="A1" s="296"/>
      <c r="B1" s="297"/>
      <c r="C1" s="297"/>
      <c r="D1" s="297"/>
      <c r="E1" s="297"/>
      <c r="F1" s="297"/>
      <c r="G1" s="297"/>
      <c r="H1" s="297"/>
      <c r="I1" s="298"/>
      <c r="J1" s="298"/>
      <c r="K1" s="298"/>
      <c r="L1" s="298"/>
      <c r="M1" s="298"/>
      <c r="N1" s="298"/>
      <c r="O1" s="297"/>
      <c r="P1" s="297"/>
      <c r="Q1" s="299"/>
      <c r="R1" s="300"/>
    </row>
    <row r="2" spans="1:37" ht="19.5" thickBot="1">
      <c r="A2" s="296"/>
      <c r="B2" s="518" t="s">
        <v>711</v>
      </c>
      <c r="C2" s="518"/>
      <c r="D2" s="296"/>
      <c r="E2" s="296"/>
      <c r="F2" s="302" t="s">
        <v>712</v>
      </c>
      <c r="G2" s="303"/>
      <c r="H2" s="303"/>
      <c r="I2" s="304" t="s">
        <v>713</v>
      </c>
      <c r="J2" s="303"/>
      <c r="K2" s="303"/>
      <c r="L2" s="303"/>
      <c r="M2" s="305" t="s">
        <v>712</v>
      </c>
      <c r="O2" s="296"/>
      <c r="P2" s="297"/>
      <c r="R2" s="480" t="s">
        <v>714</v>
      </c>
      <c r="S2" s="481"/>
      <c r="T2" s="482"/>
      <c r="AH2" s="519" t="s">
        <v>715</v>
      </c>
      <c r="AI2" s="520"/>
      <c r="AJ2" s="520"/>
      <c r="AK2" s="521"/>
    </row>
    <row r="3" spans="1:37" ht="16.5" thickBot="1">
      <c r="A3" s="296"/>
      <c r="B3" s="296"/>
      <c r="C3" s="296"/>
      <c r="D3" s="296"/>
      <c r="E3" s="296"/>
      <c r="F3" s="311"/>
      <c r="G3" s="312"/>
      <c r="H3" s="313"/>
      <c r="I3" s="313"/>
      <c r="J3" s="313"/>
      <c r="K3" s="314" t="s">
        <v>716</v>
      </c>
      <c r="L3" s="313"/>
      <c r="M3" s="314" t="s">
        <v>717</v>
      </c>
      <c r="O3" s="296"/>
      <c r="P3" s="297"/>
      <c r="R3" s="306"/>
      <c r="T3" s="306" t="s">
        <v>718</v>
      </c>
      <c r="V3" s="315" t="s">
        <v>718</v>
      </c>
      <c r="W3" s="315" t="s">
        <v>718</v>
      </c>
      <c r="X3" s="315" t="s">
        <v>718</v>
      </c>
      <c r="Y3" s="315"/>
      <c r="Z3" s="315" t="s">
        <v>719</v>
      </c>
      <c r="AA3" s="315" t="s">
        <v>720</v>
      </c>
      <c r="AB3" s="315" t="s">
        <v>720</v>
      </c>
      <c r="AC3" s="315" t="s">
        <v>720</v>
      </c>
      <c r="AD3" s="315" t="s">
        <v>720</v>
      </c>
      <c r="AE3" s="315" t="s">
        <v>720</v>
      </c>
      <c r="AF3" s="315" t="s">
        <v>720</v>
      </c>
      <c r="AG3" s="315" t="s">
        <v>721</v>
      </c>
      <c r="AH3" s="315" t="s">
        <v>25</v>
      </c>
      <c r="AI3" s="315" t="s">
        <v>722</v>
      </c>
      <c r="AJ3" s="315"/>
    </row>
    <row r="4" spans="1:37" ht="19.5" thickBot="1">
      <c r="A4" s="296"/>
      <c r="B4" s="316" t="s">
        <v>723</v>
      </c>
      <c r="C4" s="304"/>
      <c r="D4" s="317"/>
      <c r="E4" s="296"/>
      <c r="F4" s="318"/>
      <c r="G4" s="312"/>
      <c r="H4" s="313" t="s">
        <v>724</v>
      </c>
      <c r="I4" s="313" t="s">
        <v>725</v>
      </c>
      <c r="J4" s="313" t="s">
        <v>726</v>
      </c>
      <c r="K4" s="313" t="s">
        <v>727</v>
      </c>
      <c r="L4" s="313" t="s">
        <v>728</v>
      </c>
      <c r="M4" s="313" t="s">
        <v>729</v>
      </c>
      <c r="O4" s="319"/>
      <c r="P4" s="297"/>
      <c r="R4" s="306"/>
      <c r="T4" s="315" t="s">
        <v>730</v>
      </c>
      <c r="V4" s="315" t="s">
        <v>731</v>
      </c>
      <c r="W4" s="315" t="s">
        <v>719</v>
      </c>
      <c r="X4" s="315" t="s">
        <v>732</v>
      </c>
      <c r="Y4" s="315" t="s">
        <v>733</v>
      </c>
      <c r="Z4" s="315" t="s">
        <v>732</v>
      </c>
      <c r="AA4" s="315" t="s">
        <v>734</v>
      </c>
      <c r="AB4" s="315" t="s">
        <v>734</v>
      </c>
      <c r="AC4" s="315" t="s">
        <v>734</v>
      </c>
      <c r="AD4" s="315" t="s">
        <v>719</v>
      </c>
      <c r="AE4" s="315" t="s">
        <v>730</v>
      </c>
      <c r="AF4" s="315" t="s">
        <v>730</v>
      </c>
      <c r="AG4" s="315" t="s">
        <v>735</v>
      </c>
      <c r="AH4" s="315" t="s">
        <v>736</v>
      </c>
      <c r="AI4" s="315" t="s">
        <v>737</v>
      </c>
      <c r="AJ4" s="315" t="s">
        <v>738</v>
      </c>
      <c r="AK4" s="315" t="s">
        <v>739</v>
      </c>
    </row>
    <row r="5" spans="1:37" ht="15.75">
      <c r="A5" s="296"/>
      <c r="B5" s="320" t="s">
        <v>740</v>
      </c>
      <c r="C5" s="321">
        <v>2999121.1915783389</v>
      </c>
      <c r="D5" s="317"/>
      <c r="E5" s="326"/>
      <c r="F5" s="322" t="s">
        <v>741</v>
      </c>
      <c r="G5" s="323"/>
      <c r="H5" s="323"/>
      <c r="I5" s="313" t="s">
        <v>742</v>
      </c>
      <c r="J5" s="313" t="s">
        <v>25</v>
      </c>
      <c r="K5" s="324" t="s">
        <v>743</v>
      </c>
      <c r="L5" s="325" t="s">
        <v>744</v>
      </c>
      <c r="M5" s="324" t="s">
        <v>25</v>
      </c>
      <c r="O5" s="326"/>
      <c r="P5" s="297"/>
      <c r="R5" s="327"/>
      <c r="T5" s="315" t="s">
        <v>745</v>
      </c>
      <c r="U5" s="315" t="s">
        <v>746</v>
      </c>
      <c r="V5" s="315" t="s">
        <v>747</v>
      </c>
      <c r="W5" s="315" t="s">
        <v>748</v>
      </c>
      <c r="X5" s="315" t="s">
        <v>749</v>
      </c>
      <c r="Y5" s="315" t="s">
        <v>750</v>
      </c>
      <c r="Z5" s="315" t="s">
        <v>749</v>
      </c>
      <c r="AA5" s="315" t="s">
        <v>751</v>
      </c>
      <c r="AB5" s="315" t="s">
        <v>752</v>
      </c>
      <c r="AC5" s="315" t="s">
        <v>753</v>
      </c>
      <c r="AD5" s="315" t="s">
        <v>754</v>
      </c>
      <c r="AE5" s="315" t="s">
        <v>745</v>
      </c>
      <c r="AF5" s="315" t="s">
        <v>755</v>
      </c>
      <c r="AG5" s="315" t="s">
        <v>756</v>
      </c>
      <c r="AH5" s="315" t="s">
        <v>757</v>
      </c>
      <c r="AI5" s="315" t="s">
        <v>757</v>
      </c>
      <c r="AJ5" s="315" t="s">
        <v>756</v>
      </c>
      <c r="AK5" s="315" t="s">
        <v>721</v>
      </c>
    </row>
    <row r="6" spans="1:37" ht="15.75">
      <c r="A6" s="296"/>
      <c r="B6" s="320" t="s">
        <v>758</v>
      </c>
      <c r="C6" s="483">
        <v>3102949.2790313833</v>
      </c>
      <c r="D6" s="317"/>
      <c r="E6" s="326"/>
      <c r="F6" s="329" t="s">
        <v>759</v>
      </c>
      <c r="G6" s="323"/>
      <c r="H6" s="323"/>
      <c r="I6" s="330"/>
      <c r="J6" s="331" t="s">
        <v>760</v>
      </c>
      <c r="K6" s="332"/>
      <c r="L6" s="331" t="s">
        <v>761</v>
      </c>
      <c r="M6" s="331" t="s">
        <v>762</v>
      </c>
      <c r="O6" s="326"/>
      <c r="P6" s="297"/>
      <c r="R6" s="367">
        <v>1</v>
      </c>
      <c r="S6" s="368">
        <f>Revenue/Investment*100</f>
        <v>189.59172864592117</v>
      </c>
      <c r="T6" s="335">
        <f>EXP(y_inter1-(slope*LN(+S6)))</f>
        <v>8.5094815322771655</v>
      </c>
      <c r="U6" s="336">
        <f>(+S6*T6/100)/100</f>
        <v>0.16133273135849699</v>
      </c>
      <c r="V6" s="336">
        <f>regDebt_weighted</f>
        <v>3.5860000000000003E-2</v>
      </c>
      <c r="W6" s="336">
        <f>+U6-V6</f>
        <v>0.12547273135849699</v>
      </c>
      <c r="X6" s="336">
        <f>+((W6*(1-0.34))-Pfd_weighted)/Equity_percent</f>
        <v>0.22273837993200002</v>
      </c>
      <c r="Y6" s="336">
        <f>+C15</f>
        <v>2.5000000000000001E-3</v>
      </c>
      <c r="Z6" s="336">
        <f>+X6+Y6</f>
        <v>0.22523837993200002</v>
      </c>
      <c r="AA6" s="336">
        <f>Z6*equityP</f>
        <v>0.11436135064292915</v>
      </c>
      <c r="AB6" s="336">
        <f>+AA6/(1-taxrate)</f>
        <v>0.14476120334547993</v>
      </c>
      <c r="AC6" s="336">
        <f>debtP*Debt_Rate</f>
        <v>1.4441329649252934E-2</v>
      </c>
      <c r="AD6" s="336">
        <f>AC6+AB6</f>
        <v>0.15920253299473286</v>
      </c>
      <c r="AE6" s="336">
        <f>AD6/(S6/100)</f>
        <v>8.3971243962893155E-2</v>
      </c>
      <c r="AF6" s="336">
        <f>1-AE6</f>
        <v>0.91602875603710687</v>
      </c>
      <c r="AG6" s="369">
        <f>expenses/(AF6)</f>
        <v>3387392.8723103185</v>
      </c>
      <c r="AH6" s="370">
        <f>+AG6-Revenue</f>
        <v>388271.68073197966</v>
      </c>
      <c r="AI6" s="339">
        <f ca="1">+AH6/$J$49</f>
        <v>433550.44455120736</v>
      </c>
      <c r="AJ6" s="339">
        <f ca="1">+AI6*$J$47</f>
        <v>9577.2214892206375</v>
      </c>
      <c r="AK6" s="369">
        <f ca="1">ROUND(+AJ6+AG6,5)</f>
        <v>3396970.0937999999</v>
      </c>
    </row>
    <row r="7" spans="1:37" ht="15.75">
      <c r="A7" s="296"/>
      <c r="B7" s="320" t="s">
        <v>763</v>
      </c>
      <c r="C7" s="483">
        <v>1581883.9846011717</v>
      </c>
      <c r="D7" s="317"/>
      <c r="E7" s="326"/>
      <c r="F7" s="484">
        <v>1</v>
      </c>
      <c r="G7" s="323"/>
      <c r="H7" s="341" t="s">
        <v>740</v>
      </c>
      <c r="I7" s="342">
        <f>IF(A64=TRUE,C5,0)</f>
        <v>2999121.1915783389</v>
      </c>
      <c r="J7" s="342">
        <f ca="1">(+$I8/($R50))-I7</f>
        <v>383123.72601298289</v>
      </c>
      <c r="K7" s="342">
        <f ca="1">+I7+J7</f>
        <v>3382244.9175913217</v>
      </c>
      <c r="L7" s="342">
        <f ca="1">((+J7/J49*K35)-J7)</f>
        <v>9450.2405503394548</v>
      </c>
      <c r="M7" s="342">
        <f ca="1">IFERROR(+K7+L7,0.00001)</f>
        <v>3391695.1581416614</v>
      </c>
      <c r="O7" s="326"/>
      <c r="P7" s="297"/>
      <c r="R7" s="343">
        <v>2</v>
      </c>
      <c r="S7" s="344">
        <f>Revenue/Investment*100</f>
        <v>189.59172864592117</v>
      </c>
      <c r="T7" s="345">
        <f>EXP(y_inter1-(slope*LN(+S7)))</f>
        <v>8.5094815322771655</v>
      </c>
      <c r="U7" s="346">
        <f>(+S7*T7/100)/100</f>
        <v>0.16133273135849699</v>
      </c>
      <c r="V7" s="346">
        <f>regDebt_weighted</f>
        <v>3.5860000000000003E-2</v>
      </c>
      <c r="W7" s="346">
        <f>+U7-V7</f>
        <v>0.12547273135849699</v>
      </c>
      <c r="X7" s="346">
        <f>+((W7*(1-0.34))-Pfd_weighted)/Equity_percent</f>
        <v>0.22273837993200002</v>
      </c>
      <c r="Y7" s="346">
        <f>+Y6</f>
        <v>2.5000000000000001E-3</v>
      </c>
      <c r="Z7" s="346">
        <f>+X7+Y7</f>
        <v>0.22523837993200002</v>
      </c>
      <c r="AA7" s="346">
        <f>Z7*equityP</f>
        <v>0.11436135064292915</v>
      </c>
      <c r="AB7" s="346">
        <f>+AA7/(1-taxrate)</f>
        <v>0.14476120334547993</v>
      </c>
      <c r="AC7" s="346">
        <f>debtP*Debt_Rate</f>
        <v>1.4441329649252934E-2</v>
      </c>
      <c r="AD7" s="346">
        <f>AC7+AB7</f>
        <v>0.15920253299473286</v>
      </c>
      <c r="AE7" s="346">
        <f>AD7/(S7/100)</f>
        <v>8.3971243962893155E-2</v>
      </c>
      <c r="AF7" s="346">
        <f>1-AE7</f>
        <v>0.91602875603710687</v>
      </c>
      <c r="AG7" s="347">
        <f>expenses/(AF7)</f>
        <v>3387392.8723103185</v>
      </c>
      <c r="AH7" s="348">
        <f>+AG7-Revenue</f>
        <v>388271.68073197966</v>
      </c>
      <c r="AI7" s="349">
        <f ca="1">+AH7/$J$49</f>
        <v>433550.44455120736</v>
      </c>
      <c r="AJ7" s="349">
        <f ca="1">+AI7*$J$47</f>
        <v>9577.2214892206375</v>
      </c>
      <c r="AK7" s="347">
        <f ca="1">ROUND(+AJ7+AG7,5)</f>
        <v>3396970.0937999999</v>
      </c>
    </row>
    <row r="8" spans="1:37" ht="15.75">
      <c r="A8" s="296"/>
      <c r="B8" s="320" t="s">
        <v>764</v>
      </c>
      <c r="C8" s="363">
        <v>0.49226525835670143</v>
      </c>
      <c r="D8" s="317"/>
      <c r="E8" s="296"/>
      <c r="F8" s="351">
        <f>+F7+1</f>
        <v>2</v>
      </c>
      <c r="G8" s="323"/>
      <c r="H8" s="341" t="s">
        <v>758</v>
      </c>
      <c r="I8" s="342">
        <f>IF(A64=TRUE,C6,0)</f>
        <v>3102949.2790313833</v>
      </c>
      <c r="J8" s="352"/>
      <c r="K8" s="342">
        <f>+I8</f>
        <v>3102949.2790313833</v>
      </c>
      <c r="L8" s="342">
        <f ca="1">+L7</f>
        <v>9450.2405503394548</v>
      </c>
      <c r="M8" s="342">
        <f ca="1">IFERROR(+K8+L8,0.00001)</f>
        <v>3112399.519581723</v>
      </c>
      <c r="O8" s="326"/>
      <c r="P8" s="297"/>
      <c r="R8" s="353">
        <v>3</v>
      </c>
      <c r="S8" s="344">
        <f>Revenue/Investment*100</f>
        <v>189.59172864592117</v>
      </c>
      <c r="T8" s="345">
        <f>EXP(y_inter1-(slope*LN(+S8)))</f>
        <v>8.5094815322771655</v>
      </c>
      <c r="U8" s="346">
        <f>(+S8*T8/100)/100</f>
        <v>0.16133273135849699</v>
      </c>
      <c r="V8" s="346">
        <f>regDebt_weighted</f>
        <v>3.5860000000000003E-2</v>
      </c>
      <c r="W8" s="346">
        <f>+U8-V8</f>
        <v>0.12547273135849699</v>
      </c>
      <c r="X8" s="346">
        <f>+((W8*(1-0.34))-Pfd_weighted)/Equity_percent</f>
        <v>0.22273837993200002</v>
      </c>
      <c r="Y8" s="346">
        <f>+Y7</f>
        <v>2.5000000000000001E-3</v>
      </c>
      <c r="Z8" s="346">
        <f>+X8+Y8</f>
        <v>0.22523837993200002</v>
      </c>
      <c r="AA8" s="346">
        <f>Z8*equityP</f>
        <v>0.11436135064292915</v>
      </c>
      <c r="AB8" s="346">
        <f>+AA8/(1-taxrate)</f>
        <v>0.14476120334547993</v>
      </c>
      <c r="AC8" s="346">
        <f>debtP*Debt_Rate</f>
        <v>1.4441329649252934E-2</v>
      </c>
      <c r="AD8" s="346">
        <f>AC8+AB8</f>
        <v>0.15920253299473286</v>
      </c>
      <c r="AE8" s="346">
        <f>AD8/(S8/100)</f>
        <v>8.3971243962893155E-2</v>
      </c>
      <c r="AF8" s="346">
        <f>1-AE8</f>
        <v>0.91602875603710687</v>
      </c>
      <c r="AG8" s="347">
        <f>expenses/(AF8)</f>
        <v>3387392.8723103185</v>
      </c>
      <c r="AH8" s="348">
        <f>+AG8-Revenue</f>
        <v>388271.68073197966</v>
      </c>
      <c r="AI8" s="349">
        <f ca="1">+AH8/$J$49</f>
        <v>433550.44455120736</v>
      </c>
      <c r="AJ8" s="349">
        <f ca="1">+AI8*$J$47</f>
        <v>9577.2214892206375</v>
      </c>
      <c r="AK8" s="347">
        <f ca="1">ROUND(+AJ8+AG8,5)</f>
        <v>3396970.0937999999</v>
      </c>
    </row>
    <row r="9" spans="1:37" ht="15.75">
      <c r="A9" s="296"/>
      <c r="B9" s="320" t="s">
        <v>765</v>
      </c>
      <c r="C9" s="363">
        <v>2.9336479477470194E-2</v>
      </c>
      <c r="D9" s="317"/>
      <c r="E9" s="296"/>
      <c r="F9" s="351">
        <f t="shared" ref="F9:F49" si="0">+F8+1</f>
        <v>3</v>
      </c>
      <c r="G9" s="323"/>
      <c r="H9" s="341" t="s">
        <v>766</v>
      </c>
      <c r="I9" s="485">
        <f>+I7-I8</f>
        <v>-103828.08745304449</v>
      </c>
      <c r="J9" s="312"/>
      <c r="K9" s="485">
        <f ca="1">+K7-K8</f>
        <v>279295.63855993841</v>
      </c>
      <c r="L9" s="323"/>
      <c r="M9" s="486">
        <f ca="1">+M7-M8</f>
        <v>279295.63855993841</v>
      </c>
      <c r="O9" s="326"/>
      <c r="P9" s="297"/>
      <c r="R9" s="356">
        <v>4</v>
      </c>
      <c r="S9" s="344">
        <f>Revenue/Investment*100</f>
        <v>189.59172864592117</v>
      </c>
      <c r="T9" s="345">
        <f>EXP(y_inter1-(slope*LN(+S9)))</f>
        <v>8.5094815322771655</v>
      </c>
      <c r="U9" s="346">
        <f>(+S9*T9/100)/100</f>
        <v>0.16133273135849699</v>
      </c>
      <c r="V9" s="346">
        <f>regDebt_weighted</f>
        <v>3.5860000000000003E-2</v>
      </c>
      <c r="W9" s="346">
        <f>+U9-V9</f>
        <v>0.12547273135849699</v>
      </c>
      <c r="X9" s="346">
        <f>+((W9*(1-0.34))-Pfd_weighted)/Equity_percent</f>
        <v>0.22273837993200002</v>
      </c>
      <c r="Y9" s="346">
        <f>+Y8</f>
        <v>2.5000000000000001E-3</v>
      </c>
      <c r="Z9" s="346">
        <f>+X9+Y9</f>
        <v>0.22523837993200002</v>
      </c>
      <c r="AA9" s="346">
        <f>Z9*equityP</f>
        <v>0.11436135064292915</v>
      </c>
      <c r="AB9" s="346">
        <f>+AA9/(1-taxrate)</f>
        <v>0.14476120334547993</v>
      </c>
      <c r="AC9" s="346">
        <f>debtP*Debt_Rate</f>
        <v>1.4441329649252934E-2</v>
      </c>
      <c r="AD9" s="346">
        <f>AC9+AB9</f>
        <v>0.15920253299473286</v>
      </c>
      <c r="AE9" s="346">
        <f>AD9/(S9/100)</f>
        <v>8.3971243962893155E-2</v>
      </c>
      <c r="AF9" s="346">
        <f>1-AE9</f>
        <v>0.91602875603710687</v>
      </c>
      <c r="AG9" s="347">
        <f>expenses/(AF9)</f>
        <v>3387392.8723103185</v>
      </c>
      <c r="AH9" s="348">
        <f>+AG9-Revenue</f>
        <v>388271.68073197966</v>
      </c>
      <c r="AI9" s="349">
        <f ca="1">+AH9/$J$49</f>
        <v>433550.44455120736</v>
      </c>
      <c r="AJ9" s="349">
        <f ca="1">+AI9*$J$47</f>
        <v>9577.2214892206375</v>
      </c>
      <c r="AK9" s="347">
        <f ca="1">ROUND(+AJ9+AG9,5)</f>
        <v>3396970.0937999999</v>
      </c>
    </row>
    <row r="10" spans="1:37" ht="15.75">
      <c r="A10" s="296"/>
      <c r="B10" s="357" t="s">
        <v>767</v>
      </c>
      <c r="C10" s="363">
        <v>0.21</v>
      </c>
      <c r="D10" s="317"/>
      <c r="E10" s="296"/>
      <c r="F10" s="351">
        <f t="shared" si="0"/>
        <v>4</v>
      </c>
      <c r="G10" s="323"/>
      <c r="H10" s="323"/>
      <c r="I10" s="312"/>
      <c r="J10" s="312"/>
      <c r="K10" s="342"/>
      <c r="L10" s="323"/>
      <c r="M10" s="323"/>
      <c r="O10" s="326"/>
      <c r="P10" s="296"/>
      <c r="R10" s="315" t="s">
        <v>768</v>
      </c>
    </row>
    <row r="11" spans="1:37" ht="15.75">
      <c r="A11" s="296"/>
      <c r="B11" s="320" t="s">
        <v>769</v>
      </c>
      <c r="C11" s="487">
        <v>1.4999999999999999E-2</v>
      </c>
      <c r="D11" s="317"/>
      <c r="E11" s="296"/>
      <c r="F11" s="351">
        <f t="shared" si="0"/>
        <v>5</v>
      </c>
      <c r="G11" s="323"/>
      <c r="H11" s="341" t="s">
        <v>770</v>
      </c>
      <c r="I11" s="342">
        <f>+K11</f>
        <v>22844.508088499271</v>
      </c>
      <c r="J11" s="312"/>
      <c r="K11" s="342">
        <f>+M27</f>
        <v>22844.508088499271</v>
      </c>
      <c r="L11" s="323"/>
      <c r="M11" s="342">
        <f>+K11</f>
        <v>22844.508088499271</v>
      </c>
      <c r="O11" s="326"/>
      <c r="P11" s="296"/>
      <c r="R11" s="367">
        <v>1</v>
      </c>
      <c r="S11" s="368">
        <f ca="1">IF((AK6/Investment*100)&gt;0,(AK6/Investment*100),0)</f>
        <v>214.74204978795913</v>
      </c>
      <c r="T11" s="335">
        <f ca="1">EXP(y_inter1-(slope*LN(S11)))</f>
        <v>8.1958064647025566</v>
      </c>
      <c r="U11" s="336">
        <f ca="1">(+S11*T11/100)/100</f>
        <v>0.17599842798956339</v>
      </c>
      <c r="V11" s="336">
        <f>regDebt_weighted</f>
        <v>3.5860000000000003E-2</v>
      </c>
      <c r="W11" s="336">
        <f ca="1">+U11-V11</f>
        <v>0.14013842798956339</v>
      </c>
      <c r="X11" s="336">
        <f ca="1">+((W11*(1-0.34))-Pfd_weighted)/Equity_percent</f>
        <v>0.25087605370090649</v>
      </c>
      <c r="Y11" s="336">
        <f>+Y9</f>
        <v>2.5000000000000001E-3</v>
      </c>
      <c r="Z11" s="336">
        <f ca="1">+X11+Y11</f>
        <v>0.25337605370090649</v>
      </c>
      <c r="AA11" s="336">
        <f ca="1">Z11*equityP</f>
        <v>0.1286478251644283</v>
      </c>
      <c r="AB11" s="336">
        <f ca="1">+AA11/(1-taxrate)</f>
        <v>0.16284534830940289</v>
      </c>
      <c r="AC11" s="336">
        <f>debtP*Debt_Rate</f>
        <v>1.4441329649252934E-2</v>
      </c>
      <c r="AD11" s="336">
        <f ca="1">+AC11+AB11</f>
        <v>0.17728667795865583</v>
      </c>
      <c r="AE11" s="336">
        <f ca="1">+AD11/(S11/100)</f>
        <v>8.2557970427176455E-2</v>
      </c>
      <c r="AF11" s="336">
        <f ca="1">1-AE11</f>
        <v>0.9174420295728235</v>
      </c>
      <c r="AG11" s="369">
        <f ca="1">expenses/(AF11)</f>
        <v>3382174.7631032001</v>
      </c>
      <c r="AH11" s="370">
        <f ca="1">+AG11-Revenue</f>
        <v>383053.57152486127</v>
      </c>
      <c r="AI11" s="339">
        <f ca="1">+AH11/$J$49</f>
        <v>427723.81933301489</v>
      </c>
      <c r="AJ11" s="339">
        <f ca="1">+AI11*$J$47</f>
        <v>9448.5100994605091</v>
      </c>
      <c r="AK11" s="369">
        <f ca="1">ROUND(+AJ11+AG11,5)</f>
        <v>3391623.2732000002</v>
      </c>
    </row>
    <row r="12" spans="1:37" ht="15.75">
      <c r="A12" s="296"/>
      <c r="B12" s="320" t="s">
        <v>771</v>
      </c>
      <c r="C12" s="487">
        <v>5.1000000000000004E-3</v>
      </c>
      <c r="D12" s="317"/>
      <c r="E12" s="296"/>
      <c r="F12" s="351">
        <f t="shared" si="0"/>
        <v>6</v>
      </c>
      <c r="G12" s="323"/>
      <c r="H12" s="341" t="s">
        <v>772</v>
      </c>
      <c r="I12" s="342">
        <f ca="1">IF(I14&lt;0,0,+J38*I14)</f>
        <v>0</v>
      </c>
      <c r="J12" s="342">
        <f ca="1">+K12-I12</f>
        <v>53854.737399002217</v>
      </c>
      <c r="K12" s="342">
        <f ca="1">+(K9-K11)*taxrate</f>
        <v>53854.737399002217</v>
      </c>
      <c r="L12" s="323"/>
      <c r="M12" s="342">
        <f ca="1">+K12</f>
        <v>53854.737399002217</v>
      </c>
      <c r="O12" s="326"/>
      <c r="P12" s="296"/>
      <c r="R12" s="343">
        <v>2</v>
      </c>
      <c r="S12" s="344">
        <f ca="1">IF((AK7/Investment*100)&gt;0,(AK7/Investment*100),0)</f>
        <v>214.74204978795913</v>
      </c>
      <c r="T12" s="359">
        <f ca="1">EXP(y_inter2-(slope*LN(+S12)))</f>
        <v>8.1958064647025566</v>
      </c>
      <c r="U12" s="346">
        <f ca="1">(+S12*T12/100)/100</f>
        <v>0.17599842798956339</v>
      </c>
      <c r="V12" s="346">
        <f>regDebt_weighted</f>
        <v>3.5860000000000003E-2</v>
      </c>
      <c r="W12" s="346">
        <f ca="1">+U12-V12</f>
        <v>0.14013842798956339</v>
      </c>
      <c r="X12" s="346">
        <f ca="1">+((W12*(1-0.34))-Pfd_weighted)/Equity_percent</f>
        <v>0.25087605370090649</v>
      </c>
      <c r="Y12" s="346">
        <f>+Y11</f>
        <v>2.5000000000000001E-3</v>
      </c>
      <c r="Z12" s="346">
        <f ca="1">+X12+Y12</f>
        <v>0.25337605370090649</v>
      </c>
      <c r="AA12" s="346">
        <f ca="1">Z12*equityP</f>
        <v>0.1286478251644283</v>
      </c>
      <c r="AB12" s="346">
        <f ca="1">+AA12/(1-taxrate)</f>
        <v>0.16284534830940289</v>
      </c>
      <c r="AC12" s="346">
        <f>debtP*Debt_Rate</f>
        <v>1.4441329649252934E-2</v>
      </c>
      <c r="AD12" s="346">
        <f ca="1">+AC12+AB12</f>
        <v>0.17728667795865583</v>
      </c>
      <c r="AE12" s="346">
        <f ca="1">+AD12/(S12/100)</f>
        <v>8.2557970427176455E-2</v>
      </c>
      <c r="AF12" s="346">
        <f ca="1">1-AE12</f>
        <v>0.9174420295728235</v>
      </c>
      <c r="AG12" s="347">
        <f ca="1">expenses/(AF12)</f>
        <v>3382174.7631032001</v>
      </c>
      <c r="AH12" s="348">
        <f ca="1">+AG12-Revenue</f>
        <v>383053.57152486127</v>
      </c>
      <c r="AI12" s="349">
        <f ca="1">+AH12/$J$49</f>
        <v>427723.81933301489</v>
      </c>
      <c r="AJ12" s="349">
        <f ca="1">+AI12*$J$47</f>
        <v>9448.5100994605091</v>
      </c>
      <c r="AK12" s="347">
        <f ca="1">ROUND(+AJ12+AG12,5)</f>
        <v>3391623.2732000002</v>
      </c>
    </row>
    <row r="13" spans="1:37" ht="15.75">
      <c r="A13" s="296"/>
      <c r="B13" s="320" t="s">
        <v>773</v>
      </c>
      <c r="C13" s="487">
        <v>0</v>
      </c>
      <c r="D13" s="317"/>
      <c r="E13" s="296"/>
      <c r="F13" s="351">
        <f t="shared" si="0"/>
        <v>7</v>
      </c>
      <c r="G13" s="323"/>
      <c r="H13" s="323"/>
      <c r="I13" s="312"/>
      <c r="J13" s="312"/>
      <c r="K13" s="342"/>
      <c r="L13" s="323"/>
      <c r="M13" s="323"/>
      <c r="O13" s="326"/>
      <c r="P13" s="296"/>
      <c r="R13" s="353">
        <v>3</v>
      </c>
      <c r="S13" s="344">
        <f ca="1">IF((AK8/Investment*100)&gt;0,(AK8/Investment*100),0)</f>
        <v>214.74204978795913</v>
      </c>
      <c r="T13" s="345">
        <f ca="1">EXP(y_inter3-(slope*LN(S13)))</f>
        <v>8.1958064647025566</v>
      </c>
      <c r="U13" s="346">
        <f ca="1">(+S13*T13/100)/100</f>
        <v>0.17599842798956339</v>
      </c>
      <c r="V13" s="346">
        <f>regDebt_weighted</f>
        <v>3.5860000000000003E-2</v>
      </c>
      <c r="W13" s="346">
        <f ca="1">+U13-V13</f>
        <v>0.14013842798956339</v>
      </c>
      <c r="X13" s="346">
        <f ca="1">+((W13*(1-0.34))-Pfd_weighted)/Equity_percent</f>
        <v>0.25087605370090649</v>
      </c>
      <c r="Y13" s="346">
        <f>+Y12</f>
        <v>2.5000000000000001E-3</v>
      </c>
      <c r="Z13" s="346">
        <f ca="1">+X13+Y13</f>
        <v>0.25337605370090649</v>
      </c>
      <c r="AA13" s="346">
        <f ca="1">Z13*equityP</f>
        <v>0.1286478251644283</v>
      </c>
      <c r="AB13" s="346">
        <f ca="1">+AA13/(1-taxrate)</f>
        <v>0.16284534830940289</v>
      </c>
      <c r="AC13" s="346">
        <f>debtP*Debt_Rate</f>
        <v>1.4441329649252934E-2</v>
      </c>
      <c r="AD13" s="346">
        <f ca="1">+AC13+AB13</f>
        <v>0.17728667795865583</v>
      </c>
      <c r="AE13" s="346">
        <f ca="1">+AD13/(S13/100)</f>
        <v>8.2557970427176455E-2</v>
      </c>
      <c r="AF13" s="346">
        <f ca="1">1-AE13</f>
        <v>0.9174420295728235</v>
      </c>
      <c r="AG13" s="347">
        <f ca="1">expenses/(AF13)</f>
        <v>3382174.7631032001</v>
      </c>
      <c r="AH13" s="348">
        <f ca="1">+AG13-Revenue</f>
        <v>383053.57152486127</v>
      </c>
      <c r="AI13" s="349">
        <f ca="1">+AH13/$J$49</f>
        <v>427723.81933301489</v>
      </c>
      <c r="AJ13" s="349">
        <f ca="1">+AI13*$J$47</f>
        <v>9448.5100994605091</v>
      </c>
      <c r="AK13" s="347">
        <f ca="1">ROUND(+AJ13+AG13,5)</f>
        <v>3391623.2732000002</v>
      </c>
    </row>
    <row r="14" spans="1:37" ht="16.5" thickBot="1">
      <c r="A14" s="296"/>
      <c r="B14" s="360" t="s">
        <v>774</v>
      </c>
      <c r="C14" s="487">
        <v>1.9902125913734531E-3</v>
      </c>
      <c r="D14" s="317"/>
      <c r="E14" s="296"/>
      <c r="F14" s="351">
        <f t="shared" si="0"/>
        <v>8</v>
      </c>
      <c r="G14" s="323"/>
      <c r="H14" s="323" t="s">
        <v>775</v>
      </c>
      <c r="I14" s="488">
        <f ca="1">+I9-SUM(I11:I13)</f>
        <v>-126672.59554154376</v>
      </c>
      <c r="J14" s="312"/>
      <c r="K14" s="488">
        <f ca="1">+K9-SUM(K11:K13)</f>
        <v>202596.39307243691</v>
      </c>
      <c r="L14" s="323"/>
      <c r="M14" s="488">
        <f ca="1">+M9-SUM(M11:M13)</f>
        <v>202596.39307243691</v>
      </c>
      <c r="O14" s="326"/>
      <c r="P14" s="296"/>
      <c r="R14" s="356">
        <v>4</v>
      </c>
      <c r="S14" s="344">
        <f ca="1">IF((AK9/Investment*100)&gt;0,(AK9/Investment*100),0)</f>
        <v>214.74204978795913</v>
      </c>
      <c r="T14" s="362">
        <f ca="1">EXP(y_inter4-(slope*LN(S14)))</f>
        <v>8.1958064647025566</v>
      </c>
      <c r="U14" s="346">
        <f ca="1">(+S14*T14/100)/100</f>
        <v>0.17599842798956339</v>
      </c>
      <c r="V14" s="346">
        <f>regDebt_weighted</f>
        <v>3.5860000000000003E-2</v>
      </c>
      <c r="W14" s="346">
        <f ca="1">+U14-V14</f>
        <v>0.14013842798956339</v>
      </c>
      <c r="X14" s="346">
        <f ca="1">+((W14*(1-0.34))-Pfd_weighted)/Equity_percent</f>
        <v>0.25087605370090649</v>
      </c>
      <c r="Y14" s="346">
        <f>+Y13</f>
        <v>2.5000000000000001E-3</v>
      </c>
      <c r="Z14" s="346">
        <f ca="1">+X14+Y14</f>
        <v>0.25337605370090649</v>
      </c>
      <c r="AA14" s="346">
        <f ca="1">Z14*equityP</f>
        <v>0.1286478251644283</v>
      </c>
      <c r="AB14" s="346">
        <f ca="1">+AA14/(1-taxrate)</f>
        <v>0.16284534830940289</v>
      </c>
      <c r="AC14" s="346">
        <f>debtP*Debt_Rate</f>
        <v>1.4441329649252934E-2</v>
      </c>
      <c r="AD14" s="346">
        <f ca="1">+AC14+AB14</f>
        <v>0.17728667795865583</v>
      </c>
      <c r="AE14" s="346">
        <f ca="1">+AD14/(S14/100)</f>
        <v>8.2557970427176455E-2</v>
      </c>
      <c r="AF14" s="346">
        <f ca="1">1-AE14</f>
        <v>0.9174420295728235</v>
      </c>
      <c r="AG14" s="347">
        <f ca="1">expenses/(AF14)</f>
        <v>3382174.7631032001</v>
      </c>
      <c r="AH14" s="348">
        <f ca="1">+AG14-Revenue</f>
        <v>383053.57152486127</v>
      </c>
      <c r="AI14" s="349">
        <f ca="1">+AH14/$J$49</f>
        <v>427723.81933301489</v>
      </c>
      <c r="AJ14" s="349">
        <f ca="1">+AI14*$J$47</f>
        <v>9448.5100994605091</v>
      </c>
      <c r="AK14" s="347">
        <f ca="1">ROUND(+AJ14+AG14,5)</f>
        <v>3391623.2732000002</v>
      </c>
    </row>
    <row r="15" spans="1:37" ht="16.5" thickTop="1">
      <c r="A15" s="296"/>
      <c r="B15" s="360" t="s">
        <v>776</v>
      </c>
      <c r="C15" s="363">
        <v>2.5000000000000001E-3</v>
      </c>
      <c r="D15" s="296"/>
      <c r="E15" s="296"/>
      <c r="F15" s="351">
        <f t="shared" si="0"/>
        <v>9</v>
      </c>
      <c r="G15" s="312"/>
      <c r="H15" s="312"/>
      <c r="I15" s="312"/>
      <c r="J15" s="312"/>
      <c r="K15" s="352"/>
      <c r="L15" s="312"/>
      <c r="M15" s="312"/>
      <c r="O15" s="326"/>
      <c r="P15" s="296"/>
      <c r="R15" s="315" t="s">
        <v>777</v>
      </c>
    </row>
    <row r="16" spans="1:37" ht="15.75">
      <c r="A16" s="296"/>
      <c r="B16" s="296"/>
      <c r="C16" s="296"/>
      <c r="D16" s="317" t="s">
        <v>778</v>
      </c>
      <c r="E16" s="296"/>
      <c r="F16" s="351">
        <f t="shared" si="0"/>
        <v>10</v>
      </c>
      <c r="G16" s="312"/>
      <c r="H16" s="341" t="s">
        <v>779</v>
      </c>
      <c r="I16" s="364">
        <f>+I8/I7</f>
        <v>1.0346195037881758</v>
      </c>
      <c r="J16" s="365"/>
      <c r="K16" s="364">
        <f ca="1">+K8/K7</f>
        <v>0.9174230000000001</v>
      </c>
      <c r="L16" s="366"/>
      <c r="M16" s="364">
        <f ca="1">+M8/M7</f>
        <v>0.91765308332929107</v>
      </c>
      <c r="O16" s="326"/>
      <c r="P16" s="296"/>
      <c r="R16" s="367">
        <v>1</v>
      </c>
      <c r="S16" s="368">
        <f ca="1">AK11/Investment*100</f>
        <v>214.40404645446259</v>
      </c>
      <c r="T16" s="335">
        <f ca="1">EXP(y_inter1-(slope*LN(+S16)))</f>
        <v>8.1997000819882686</v>
      </c>
      <c r="U16" s="336">
        <f ca="1">(+S16*T16/100)/100</f>
        <v>0.17580488772912733</v>
      </c>
      <c r="V16" s="336">
        <f>regDebt_weighted</f>
        <v>3.5860000000000003E-2</v>
      </c>
      <c r="W16" s="336">
        <f ca="1">+U16-V16</f>
        <v>0.13994488772912733</v>
      </c>
      <c r="X16" s="336">
        <f ca="1">+((W16*(1-0.34))-Pfd_weighted)/Equity_percent</f>
        <v>0.25050472645704663</v>
      </c>
      <c r="Y16" s="336">
        <f>+Y14</f>
        <v>2.5000000000000001E-3</v>
      </c>
      <c r="Z16" s="336">
        <f ca="1">+X16+Y16</f>
        <v>0.25300472645704664</v>
      </c>
      <c r="AA16" s="336">
        <f ca="1">Z16*equityP</f>
        <v>0.128459289422202</v>
      </c>
      <c r="AB16" s="336">
        <f ca="1">+AA16/(1-taxrate)</f>
        <v>0.16260669547114176</v>
      </c>
      <c r="AC16" s="336">
        <f>debtP*Debt_Rate</f>
        <v>1.4441329649252934E-2</v>
      </c>
      <c r="AD16" s="336">
        <f ca="1">+AC16+AB16</f>
        <v>0.17704802512039469</v>
      </c>
      <c r="AE16" s="336">
        <f ca="1">+AD16/(S16/100)</f>
        <v>8.2576811421326432E-2</v>
      </c>
      <c r="AF16" s="336">
        <f ca="1">1-AE16</f>
        <v>0.91742318857867355</v>
      </c>
      <c r="AG16" s="369">
        <f ca="1">expenses/(AF16)</f>
        <v>3382244.2223622627</v>
      </c>
      <c r="AH16" s="370">
        <f ca="1">+AG16-Revenue</f>
        <v>383123.03078392381</v>
      </c>
      <c r="AI16" s="339">
        <f ca="1">+AH16/$J$49</f>
        <v>427801.37866618077</v>
      </c>
      <c r="AJ16" s="339">
        <f ca="1">+AI16*$J$47</f>
        <v>9450.2234016185885</v>
      </c>
      <c r="AK16" s="369">
        <f ca="1">ROUND(+AJ16+AG16,5)</f>
        <v>3391694.44576</v>
      </c>
    </row>
    <row r="17" spans="1:37" ht="15.75">
      <c r="A17" s="296"/>
      <c r="B17" s="489" t="s">
        <v>780</v>
      </c>
      <c r="C17" s="372"/>
      <c r="D17" s="296" t="s">
        <v>781</v>
      </c>
      <c r="E17" s="296"/>
      <c r="F17" s="351">
        <f t="shared" si="0"/>
        <v>11</v>
      </c>
      <c r="G17" s="312"/>
      <c r="H17" s="312"/>
      <c r="I17" s="312"/>
      <c r="K17" s="312"/>
      <c r="L17" s="341"/>
      <c r="M17" s="341"/>
      <c r="N17" s="364"/>
      <c r="O17" s="296"/>
      <c r="P17" s="296"/>
      <c r="R17" s="343">
        <v>2</v>
      </c>
      <c r="S17" s="344">
        <f ca="1">AK12/Investment*100</f>
        <v>214.40404645446259</v>
      </c>
      <c r="T17" s="359">
        <f ca="1">EXP(y_inter2-(slope*LN(+S17)))</f>
        <v>8.1997000819882686</v>
      </c>
      <c r="U17" s="346">
        <f ca="1">(+S17*T17/100)/100</f>
        <v>0.17580488772912733</v>
      </c>
      <c r="V17" s="346">
        <f>regDebt_weighted</f>
        <v>3.5860000000000003E-2</v>
      </c>
      <c r="W17" s="346">
        <f ca="1">+U17-V17</f>
        <v>0.13994488772912733</v>
      </c>
      <c r="X17" s="346">
        <f ca="1">+((W17*(1-0.34))-Pfd_weighted)/Equity_percent</f>
        <v>0.25050472645704663</v>
      </c>
      <c r="Y17" s="346">
        <f>+Y16</f>
        <v>2.5000000000000001E-3</v>
      </c>
      <c r="Z17" s="346">
        <f ca="1">+X17+Y17</f>
        <v>0.25300472645704664</v>
      </c>
      <c r="AA17" s="346">
        <f ca="1">Z17*equityP</f>
        <v>0.128459289422202</v>
      </c>
      <c r="AB17" s="346">
        <f ca="1">+AA17/(1-taxrate)</f>
        <v>0.16260669547114176</v>
      </c>
      <c r="AC17" s="346">
        <f>debtP*Debt_Rate</f>
        <v>1.4441329649252934E-2</v>
      </c>
      <c r="AD17" s="346">
        <f ca="1">+AC17+AB17</f>
        <v>0.17704802512039469</v>
      </c>
      <c r="AE17" s="346">
        <f ca="1">+AD17/(S17/100)</f>
        <v>8.2576811421326432E-2</v>
      </c>
      <c r="AF17" s="346">
        <f ca="1">1-AE17</f>
        <v>0.91742318857867355</v>
      </c>
      <c r="AG17" s="347">
        <f ca="1">expenses/(AF17)</f>
        <v>3382244.2223622627</v>
      </c>
      <c r="AH17" s="348">
        <f ca="1">+AG17-Revenue</f>
        <v>383123.03078392381</v>
      </c>
      <c r="AI17" s="349">
        <f ca="1">+AH17/$J$49</f>
        <v>427801.37866618077</v>
      </c>
      <c r="AJ17" s="349">
        <f ca="1">+AI17*$J$47</f>
        <v>9450.2234016185885</v>
      </c>
      <c r="AK17" s="347">
        <f ca="1">ROUND(+AJ17+AG17,5)</f>
        <v>3391694.44576</v>
      </c>
    </row>
    <row r="18" spans="1:37" ht="15.75">
      <c r="A18" s="296"/>
      <c r="B18" s="522"/>
      <c r="C18" s="522"/>
      <c r="D18" s="296"/>
      <c r="E18" s="296"/>
      <c r="F18" s="351">
        <f t="shared" si="0"/>
        <v>12</v>
      </c>
      <c r="G18" s="312"/>
      <c r="H18" s="373" t="s">
        <v>461</v>
      </c>
      <c r="I18" s="374"/>
      <c r="J18" s="374"/>
      <c r="K18" s="374"/>
      <c r="L18" s="374"/>
      <c r="M18" s="375"/>
      <c r="O18" s="296"/>
      <c r="P18" s="296"/>
      <c r="R18" s="353">
        <v>3</v>
      </c>
      <c r="S18" s="344">
        <f ca="1">AK13/Investment*100</f>
        <v>214.40404645446259</v>
      </c>
      <c r="T18" s="345">
        <f ca="1">EXP(y_inter3-(slope*LN(S18)))</f>
        <v>8.1997000819882686</v>
      </c>
      <c r="U18" s="346">
        <f ca="1">(+S18*T18/100)/100</f>
        <v>0.17580488772912733</v>
      </c>
      <c r="V18" s="346">
        <f>regDebt_weighted</f>
        <v>3.5860000000000003E-2</v>
      </c>
      <c r="W18" s="346">
        <f ca="1">+U18-V18</f>
        <v>0.13994488772912733</v>
      </c>
      <c r="X18" s="346">
        <f ca="1">+((W18*(1-0.34))-Pfd_weighted)/Equity_percent</f>
        <v>0.25050472645704663</v>
      </c>
      <c r="Y18" s="346">
        <f>+Y17</f>
        <v>2.5000000000000001E-3</v>
      </c>
      <c r="Z18" s="346">
        <f ca="1">+X18+Y18</f>
        <v>0.25300472645704664</v>
      </c>
      <c r="AA18" s="346">
        <f ca="1">Z18*equityP</f>
        <v>0.128459289422202</v>
      </c>
      <c r="AB18" s="346">
        <f ca="1">+AA18/(1-taxrate)</f>
        <v>0.16260669547114176</v>
      </c>
      <c r="AC18" s="346">
        <f>debtP*Debt_Rate</f>
        <v>1.4441329649252934E-2</v>
      </c>
      <c r="AD18" s="346">
        <f ca="1">+AC18+AB18</f>
        <v>0.17704802512039469</v>
      </c>
      <c r="AE18" s="346">
        <f ca="1">+AD18/(S18/100)</f>
        <v>8.2576811421326432E-2</v>
      </c>
      <c r="AF18" s="346">
        <f ca="1">1-AE18</f>
        <v>0.91742318857867355</v>
      </c>
      <c r="AG18" s="347">
        <f ca="1">expenses/(AF18)</f>
        <v>3382244.2223622627</v>
      </c>
      <c r="AH18" s="348">
        <f ca="1">+AG18-Revenue</f>
        <v>383123.03078392381</v>
      </c>
      <c r="AI18" s="349">
        <f ca="1">+AH18/$J$49</f>
        <v>427801.37866618077</v>
      </c>
      <c r="AJ18" s="349">
        <f ca="1">+AI18*$J$47</f>
        <v>9450.2234016185885</v>
      </c>
      <c r="AK18" s="347">
        <f ca="1">ROUND(+AJ18+AG18,5)</f>
        <v>3391694.44576</v>
      </c>
    </row>
    <row r="19" spans="1:37" ht="15.75">
      <c r="A19" s="296"/>
      <c r="B19" s="523" t="s">
        <v>782</v>
      </c>
      <c r="C19" s="523"/>
      <c r="D19" s="296"/>
      <c r="E19" s="296"/>
      <c r="F19" s="351">
        <f t="shared" si="0"/>
        <v>13</v>
      </c>
      <c r="G19" s="312"/>
      <c r="H19" s="318"/>
      <c r="I19" s="341" t="s">
        <v>783</v>
      </c>
      <c r="J19" s="342">
        <f>+Revenue</f>
        <v>2999121.1915783389</v>
      </c>
      <c r="K19" s="376"/>
      <c r="L19" s="341" t="s">
        <v>784</v>
      </c>
      <c r="M19" s="377">
        <f ca="1">+J7</f>
        <v>383123.72601298289</v>
      </c>
      <c r="O19" s="296"/>
      <c r="P19" s="296"/>
      <c r="R19" s="356">
        <v>4</v>
      </c>
      <c r="S19" s="344">
        <f ca="1">AK14/Investment*100</f>
        <v>214.40404645446259</v>
      </c>
      <c r="T19" s="362">
        <f ca="1">EXP(y_inter4-(slope*LN(S19)))</f>
        <v>8.1997000819882686</v>
      </c>
      <c r="U19" s="346">
        <f ca="1">(+S19*T19/100)/100</f>
        <v>0.17580488772912733</v>
      </c>
      <c r="V19" s="346">
        <f>regDebt_weighted</f>
        <v>3.5860000000000003E-2</v>
      </c>
      <c r="W19" s="346">
        <f ca="1">+U19-V19</f>
        <v>0.13994488772912733</v>
      </c>
      <c r="X19" s="346">
        <f ca="1">+((W19*(1-0.34))-Pfd_weighted)/Equity_percent</f>
        <v>0.25050472645704663</v>
      </c>
      <c r="Y19" s="346">
        <f>+Y18</f>
        <v>2.5000000000000001E-3</v>
      </c>
      <c r="Z19" s="346">
        <f ca="1">+X19+Y19</f>
        <v>0.25300472645704664</v>
      </c>
      <c r="AA19" s="346">
        <f ca="1">Z19*equityP</f>
        <v>0.128459289422202</v>
      </c>
      <c r="AB19" s="346">
        <f ca="1">+AA19/(1-taxrate)</f>
        <v>0.16260669547114176</v>
      </c>
      <c r="AC19" s="346">
        <f>debtP*Debt_Rate</f>
        <v>1.4441329649252934E-2</v>
      </c>
      <c r="AD19" s="346">
        <f ca="1">+AC19+AB19</f>
        <v>0.17704802512039469</v>
      </c>
      <c r="AE19" s="346">
        <f ca="1">+AD19/(S19/100)</f>
        <v>8.2576811421326432E-2</v>
      </c>
      <c r="AF19" s="346">
        <f ca="1">1-AE19</f>
        <v>0.91742318857867355</v>
      </c>
      <c r="AG19" s="347">
        <f ca="1">expenses/(AF19)</f>
        <v>3382244.2223622627</v>
      </c>
      <c r="AH19" s="348">
        <f ca="1">+AG19-Revenue</f>
        <v>383123.03078392381</v>
      </c>
      <c r="AI19" s="349">
        <f ca="1">+AH19/$J$49</f>
        <v>427801.37866618077</v>
      </c>
      <c r="AJ19" s="349">
        <f ca="1">+AI19*$J$47</f>
        <v>9450.2234016185885</v>
      </c>
      <c r="AK19" s="347">
        <f ca="1">ROUND(+AJ19+AG19,5)</f>
        <v>3391694.44576</v>
      </c>
    </row>
    <row r="20" spans="1:37" ht="15.75">
      <c r="A20" s="296"/>
      <c r="B20" s="372"/>
      <c r="C20" s="296"/>
      <c r="D20" s="296"/>
      <c r="E20" s="296"/>
      <c r="F20" s="351">
        <f t="shared" si="0"/>
        <v>14</v>
      </c>
      <c r="G20" s="312"/>
      <c r="H20" s="318"/>
      <c r="I20" s="341" t="s">
        <v>472</v>
      </c>
      <c r="J20" s="342">
        <f ca="1">+J21-J19</f>
        <v>392573.96656332258</v>
      </c>
      <c r="K20" s="378"/>
      <c r="L20" s="341" t="s">
        <v>785</v>
      </c>
      <c r="M20" s="377">
        <f ca="1">+L8</f>
        <v>9450.2405503394548</v>
      </c>
      <c r="O20" s="296"/>
      <c r="P20" s="296"/>
      <c r="R20" s="315" t="s">
        <v>786</v>
      </c>
    </row>
    <row r="21" spans="1:37" ht="16.5" thickBot="1">
      <c r="A21" s="296"/>
      <c r="B21" s="372"/>
      <c r="C21" s="372"/>
      <c r="D21" s="296"/>
      <c r="E21" s="296"/>
      <c r="F21" s="351">
        <f t="shared" si="0"/>
        <v>15</v>
      </c>
      <c r="G21" s="312"/>
      <c r="H21" s="318"/>
      <c r="I21" s="379" t="s">
        <v>461</v>
      </c>
      <c r="J21" s="380">
        <f ca="1">+M7</f>
        <v>3391695.1581416614</v>
      </c>
      <c r="L21" s="379" t="s">
        <v>472</v>
      </c>
      <c r="M21" s="381">
        <f ca="1">+M19+M20</f>
        <v>392573.96656332235</v>
      </c>
      <c r="O21" s="296"/>
      <c r="P21" s="382"/>
      <c r="R21" s="367">
        <v>1</v>
      </c>
      <c r="S21" s="368">
        <f ca="1">AK16/Investment*100</f>
        <v>214.40854568200979</v>
      </c>
      <c r="T21" s="335">
        <f ca="1">EXP(y_inter1-(slope*LN(+S21)))</f>
        <v>8.1996482008446172</v>
      </c>
      <c r="U21" s="336">
        <f ca="1">(+S21*T21/100)/100</f>
        <v>0.17580746458472024</v>
      </c>
      <c r="V21" s="336">
        <f>regDebt_weighted</f>
        <v>3.5860000000000003E-2</v>
      </c>
      <c r="W21" s="336">
        <f ca="1">+U21-V21</f>
        <v>0.13994746458472024</v>
      </c>
      <c r="X21" s="336">
        <f ca="1">+((W21*(1-0.34))-Pfd_weighted)/Equity_percent</f>
        <v>0.25050967042417255</v>
      </c>
      <c r="Y21" s="336">
        <f>+Y19</f>
        <v>2.5000000000000001E-3</v>
      </c>
      <c r="Z21" s="336">
        <f ca="1">+X21+Y21</f>
        <v>0.25300967042417255</v>
      </c>
      <c r="AA21" s="336">
        <f ca="1">Z21*equityP</f>
        <v>0.12846179964607338</v>
      </c>
      <c r="AB21" s="336">
        <f ca="1">+AA21/(1-taxrate)</f>
        <v>0.16260987296971313</v>
      </c>
      <c r="AC21" s="336">
        <f>debtP*Debt_Rate</f>
        <v>1.4441329649252934E-2</v>
      </c>
      <c r="AD21" s="336">
        <f ca="1">+AC21+AB21</f>
        <v>0.17705120261896606</v>
      </c>
      <c r="AE21" s="336">
        <f ca="1">+AD21/(S21/100)</f>
        <v>8.2576560582408615E-2</v>
      </c>
      <c r="AF21" s="336">
        <f ca="1">1-AE21</f>
        <v>0.91742343941759141</v>
      </c>
      <c r="AG21" s="369">
        <f ca="1">expenses/(AF21)</f>
        <v>3382243.2976001035</v>
      </c>
      <c r="AH21" s="370">
        <f ca="1">+AG21-Revenue</f>
        <v>383122.10602176469</v>
      </c>
      <c r="AI21" s="339">
        <f ca="1">+AH21/$J$49</f>
        <v>427800.34606178268</v>
      </c>
      <c r="AJ21" s="339">
        <f ca="1">+AI21*$J$47</f>
        <v>9450.2005911679116</v>
      </c>
      <c r="AK21" s="369">
        <f ca="1">ROUND(+AJ21+AG21,5)</f>
        <v>3391693.4981900002</v>
      </c>
    </row>
    <row r="22" spans="1:37" ht="21" customHeight="1" thickTop="1">
      <c r="A22" s="296"/>
      <c r="B22" s="372"/>
      <c r="C22" s="296"/>
      <c r="D22" s="296"/>
      <c r="E22" s="296"/>
      <c r="F22" s="351">
        <f t="shared" si="0"/>
        <v>16</v>
      </c>
      <c r="G22" s="312"/>
      <c r="H22" s="383"/>
      <c r="I22" s="384"/>
      <c r="J22" s="385" t="s">
        <v>787</v>
      </c>
      <c r="K22" s="386">
        <f ca="1">+(J21/J19)-1</f>
        <v>0.13089633312107796</v>
      </c>
      <c r="L22" s="384"/>
      <c r="M22" s="387"/>
      <c r="O22" s="296"/>
      <c r="P22" s="296"/>
      <c r="R22" s="343">
        <v>2</v>
      </c>
      <c r="S22" s="344">
        <f ca="1">AK17/Investment*100</f>
        <v>214.40854568200979</v>
      </c>
      <c r="T22" s="359">
        <f ca="1">EXP(y_inter2-(slope*LN(+S22)))</f>
        <v>8.1996482008446172</v>
      </c>
      <c r="U22" s="346">
        <f ca="1">(+S22*T22/100)/100</f>
        <v>0.17580746458472024</v>
      </c>
      <c r="V22" s="346">
        <f>regDebt_weighted</f>
        <v>3.5860000000000003E-2</v>
      </c>
      <c r="W22" s="346">
        <f ca="1">+U22-V22</f>
        <v>0.13994746458472024</v>
      </c>
      <c r="X22" s="346">
        <f ca="1">+((W22*(1-0.34))-Pfd_weighted)/Equity_percent</f>
        <v>0.25050967042417255</v>
      </c>
      <c r="Y22" s="346">
        <f>+Y21</f>
        <v>2.5000000000000001E-3</v>
      </c>
      <c r="Z22" s="346">
        <f ca="1">+X22+Y22</f>
        <v>0.25300967042417255</v>
      </c>
      <c r="AA22" s="346">
        <f ca="1">Z22*equityP</f>
        <v>0.12846179964607338</v>
      </c>
      <c r="AB22" s="346">
        <f ca="1">+AA22/(1-taxrate)</f>
        <v>0.16260987296971313</v>
      </c>
      <c r="AC22" s="346">
        <f>debtP*Debt_Rate</f>
        <v>1.4441329649252934E-2</v>
      </c>
      <c r="AD22" s="346">
        <f ca="1">+AC22+AB22</f>
        <v>0.17705120261896606</v>
      </c>
      <c r="AE22" s="346">
        <f ca="1">+AD22/(S22/100)</f>
        <v>8.2576560582408615E-2</v>
      </c>
      <c r="AF22" s="346">
        <f ca="1">1-AE22</f>
        <v>0.91742343941759141</v>
      </c>
      <c r="AG22" s="347">
        <f ca="1">expenses/(AF22)</f>
        <v>3382243.2976001035</v>
      </c>
      <c r="AH22" s="348">
        <f ca="1">+AG22-Revenue</f>
        <v>383122.10602176469</v>
      </c>
      <c r="AI22" s="349">
        <f ca="1">+AH22/$J$49</f>
        <v>427800.34606178268</v>
      </c>
      <c r="AJ22" s="349">
        <f ca="1">+AI22*$J$47</f>
        <v>9450.2005911679116</v>
      </c>
      <c r="AK22" s="347">
        <f ca="1">ROUND(+AJ22+AG22,5)</f>
        <v>3391693.4981900002</v>
      </c>
    </row>
    <row r="23" spans="1:37" ht="15.75">
      <c r="A23" s="296"/>
      <c r="B23" s="388" t="s">
        <v>788</v>
      </c>
      <c r="C23" s="389"/>
      <c r="D23" s="389"/>
      <c r="E23" s="389"/>
      <c r="F23" s="351">
        <f t="shared" si="0"/>
        <v>17</v>
      </c>
      <c r="H23" s="312"/>
      <c r="I23" s="312"/>
      <c r="J23" s="312"/>
      <c r="K23" s="312"/>
      <c r="L23" s="312"/>
      <c r="M23" s="312"/>
      <c r="N23" s="312"/>
      <c r="O23" s="296"/>
      <c r="P23" s="296"/>
      <c r="R23" s="353">
        <v>3</v>
      </c>
      <c r="S23" s="344">
        <f ca="1">AK18/Investment*100</f>
        <v>214.40854568200979</v>
      </c>
      <c r="T23" s="345">
        <f ca="1">EXP(y_inter3-(slope*LN(S23)))</f>
        <v>8.1996482008446172</v>
      </c>
      <c r="U23" s="346">
        <f ca="1">(+S23*T23/100)/100</f>
        <v>0.17580746458472024</v>
      </c>
      <c r="V23" s="346">
        <f>regDebt_weighted</f>
        <v>3.5860000000000003E-2</v>
      </c>
      <c r="W23" s="346">
        <f ca="1">+U23-V23</f>
        <v>0.13994746458472024</v>
      </c>
      <c r="X23" s="346">
        <f ca="1">+((W23*(1-0.34))-Pfd_weighted)/Equity_percent</f>
        <v>0.25050967042417255</v>
      </c>
      <c r="Y23" s="346">
        <f>+Y22</f>
        <v>2.5000000000000001E-3</v>
      </c>
      <c r="Z23" s="346">
        <f ca="1">+X23+Y23</f>
        <v>0.25300967042417255</v>
      </c>
      <c r="AA23" s="346">
        <f ca="1">Z23*equityP</f>
        <v>0.12846179964607338</v>
      </c>
      <c r="AB23" s="346">
        <f ca="1">+AA23/(1-taxrate)</f>
        <v>0.16260987296971313</v>
      </c>
      <c r="AC23" s="346">
        <f>debtP*Debt_Rate</f>
        <v>1.4441329649252934E-2</v>
      </c>
      <c r="AD23" s="346">
        <f ca="1">+AC23+AB23</f>
        <v>0.17705120261896606</v>
      </c>
      <c r="AE23" s="346">
        <f ca="1">+AD23/(S23/100)</f>
        <v>8.2576560582408615E-2</v>
      </c>
      <c r="AF23" s="346">
        <f ca="1">1-AE23</f>
        <v>0.91742343941759141</v>
      </c>
      <c r="AG23" s="347">
        <f ca="1">expenses/(AF23)</f>
        <v>3382243.2976001035</v>
      </c>
      <c r="AH23" s="348">
        <f ca="1">+AG23-Revenue</f>
        <v>383122.10602176469</v>
      </c>
      <c r="AI23" s="349">
        <f ca="1">+AH23/$J$49</f>
        <v>427800.34606178268</v>
      </c>
      <c r="AJ23" s="349">
        <f ca="1">+AI23*$J$47</f>
        <v>9450.2005911679116</v>
      </c>
      <c r="AK23" s="347">
        <f ca="1">ROUND(+AJ23+AG23,5)</f>
        <v>3391693.4981900002</v>
      </c>
    </row>
    <row r="24" spans="1:37" ht="15.75">
      <c r="A24" s="296"/>
      <c r="B24" s="390" t="s">
        <v>789</v>
      </c>
      <c r="C24" s="389"/>
      <c r="D24" s="389"/>
      <c r="E24" s="389"/>
      <c r="F24" s="351">
        <f t="shared" si="0"/>
        <v>18</v>
      </c>
      <c r="H24" s="391" t="s">
        <v>790</v>
      </c>
      <c r="K24" s="392" t="s">
        <v>791</v>
      </c>
      <c r="L24" s="392"/>
      <c r="M24" s="392"/>
      <c r="N24" s="392"/>
      <c r="O24" s="296"/>
      <c r="P24" s="296"/>
      <c r="R24" s="356">
        <v>4</v>
      </c>
      <c r="S24" s="344">
        <f ca="1">AK19/Investment*100</f>
        <v>214.40854568200979</v>
      </c>
      <c r="T24" s="362">
        <f ca="1">EXP(y_inter4-(slope*LN(S24)))</f>
        <v>8.1996482008446172</v>
      </c>
      <c r="U24" s="346">
        <f ca="1">(+S24*T24/100)/100</f>
        <v>0.17580746458472024</v>
      </c>
      <c r="V24" s="346">
        <f>regDebt_weighted</f>
        <v>3.5860000000000003E-2</v>
      </c>
      <c r="W24" s="346">
        <f ca="1">+U24-V24</f>
        <v>0.13994746458472024</v>
      </c>
      <c r="X24" s="346">
        <f ca="1">+((W24*(1-0.34))-Pfd_weighted)/Equity_percent</f>
        <v>0.25050967042417255</v>
      </c>
      <c r="Y24" s="346">
        <f>+Y23</f>
        <v>2.5000000000000001E-3</v>
      </c>
      <c r="Z24" s="346">
        <f ca="1">+X24+Y24</f>
        <v>0.25300967042417255</v>
      </c>
      <c r="AA24" s="346">
        <f ca="1">Z24*equityP</f>
        <v>0.12846179964607338</v>
      </c>
      <c r="AB24" s="346">
        <f ca="1">+AA24/(1-taxrate)</f>
        <v>0.16260987296971313</v>
      </c>
      <c r="AC24" s="346">
        <f>debtP*Debt_Rate</f>
        <v>1.4441329649252934E-2</v>
      </c>
      <c r="AD24" s="346">
        <f ca="1">+AC24+AB24</f>
        <v>0.17705120261896606</v>
      </c>
      <c r="AE24" s="346">
        <f ca="1">+AD24/(S24/100)</f>
        <v>8.2576560582408615E-2</v>
      </c>
      <c r="AF24" s="346">
        <f ca="1">1-AE24</f>
        <v>0.91742343941759141</v>
      </c>
      <c r="AG24" s="347">
        <f ca="1">expenses/(AF24)</f>
        <v>3382243.2976001035</v>
      </c>
      <c r="AH24" s="348">
        <f ca="1">+AG24-Revenue</f>
        <v>383122.10602176469</v>
      </c>
      <c r="AI24" s="349">
        <f ca="1">+AH24/$J$49</f>
        <v>427800.34606178268</v>
      </c>
      <c r="AJ24" s="349">
        <f ca="1">+AI24*$J$47</f>
        <v>9450.2005911679116</v>
      </c>
      <c r="AK24" s="347">
        <f ca="1">ROUND(+AJ24+AG24,5)</f>
        <v>3391693.4981900002</v>
      </c>
    </row>
    <row r="25" spans="1:37" ht="15.75">
      <c r="A25" s="296"/>
      <c r="B25" s="390" t="s">
        <v>792</v>
      </c>
      <c r="C25" s="389"/>
      <c r="D25" s="389"/>
      <c r="E25" s="389"/>
      <c r="F25" s="351">
        <f t="shared" si="0"/>
        <v>19</v>
      </c>
      <c r="H25" s="393" t="s">
        <v>793</v>
      </c>
      <c r="I25" s="394" t="s">
        <v>794</v>
      </c>
      <c r="J25" s="395" t="s">
        <v>795</v>
      </c>
      <c r="K25" s="393" t="s">
        <v>796</v>
      </c>
      <c r="L25" s="395" t="s">
        <v>797</v>
      </c>
      <c r="M25" s="395" t="s">
        <v>795</v>
      </c>
      <c r="O25" s="296"/>
      <c r="P25" s="296"/>
      <c r="R25" s="315" t="s">
        <v>798</v>
      </c>
      <c r="W25" s="396"/>
      <c r="X25" s="397"/>
      <c r="Y25" s="397"/>
      <c r="Z25" s="397"/>
      <c r="AA25" s="345"/>
      <c r="AB25" s="345"/>
      <c r="AC25" s="397"/>
      <c r="AE25" s="397"/>
      <c r="AF25" s="397"/>
      <c r="AG25" s="345"/>
      <c r="AH25" s="396"/>
    </row>
    <row r="26" spans="1:37" ht="15.75">
      <c r="A26" s="296"/>
      <c r="B26" s="390" t="s">
        <v>799</v>
      </c>
      <c r="C26" s="389"/>
      <c r="D26" s="389"/>
      <c r="E26" s="389"/>
      <c r="F26" s="351">
        <f t="shared" si="0"/>
        <v>20</v>
      </c>
      <c r="H26" s="341" t="s">
        <v>751</v>
      </c>
      <c r="I26" s="398">
        <f>1-I27</f>
        <v>0.50773474164329857</v>
      </c>
      <c r="J26" s="399">
        <f>+I26*J28</f>
        <v>803177.45623114763</v>
      </c>
      <c r="K26" s="364">
        <f ca="1">+K34</f>
        <v>0.25224362499304437</v>
      </c>
      <c r="L26" s="398">
        <f ca="1">+K26*I26</f>
        <v>0.12807285176701247</v>
      </c>
      <c r="M26" s="342">
        <f ca="1">+J26*K26</f>
        <v>202596.39307243691</v>
      </c>
      <c r="O26" s="296"/>
      <c r="P26" s="296"/>
      <c r="R26" s="367">
        <v>1</v>
      </c>
      <c r="S26" s="368">
        <f ca="1">AK21/Investment*100</f>
        <v>214.40848578065109</v>
      </c>
      <c r="T26" s="335">
        <f ca="1">EXP(y_inter1-(slope*LN(+S26)))</f>
        <v>8.1996488915652108</v>
      </c>
      <c r="U26" s="336">
        <f ca="1">(+S26*T26/100)/100</f>
        <v>0.17580743027734907</v>
      </c>
      <c r="V26" s="336">
        <f>regDebt_weighted</f>
        <v>3.5860000000000003E-2</v>
      </c>
      <c r="W26" s="336">
        <f ca="1">+U26-V26</f>
        <v>0.13994743027734907</v>
      </c>
      <c r="X26" s="336">
        <f ca="1">+((W26*(1-0.34))-Pfd_weighted)/Equity_percent</f>
        <v>0.25050960460189065</v>
      </c>
      <c r="Y26" s="336">
        <f>+Y24</f>
        <v>2.5000000000000001E-3</v>
      </c>
      <c r="Z26" s="336">
        <f ca="1">+X26+Y26</f>
        <v>0.25300960460189065</v>
      </c>
      <c r="AA26" s="336">
        <f ca="1">Z26*equityP</f>
        <v>0.12846176622581407</v>
      </c>
      <c r="AB26" s="336">
        <f ca="1">+AA26/(1-taxrate)</f>
        <v>0.16260983066558743</v>
      </c>
      <c r="AC26" s="336">
        <f>debtP*Debt_Rate</f>
        <v>1.4441329649252934E-2</v>
      </c>
      <c r="AD26" s="336">
        <f ca="1">+AC26+AB26</f>
        <v>0.17705116031484036</v>
      </c>
      <c r="AE26" s="336">
        <f ca="1">+AD26/(S26/100)</f>
        <v>8.2576563921994736E-2</v>
      </c>
      <c r="AF26" s="336">
        <f ca="1">1-AE26</f>
        <v>0.91742343607800525</v>
      </c>
      <c r="AG26" s="369">
        <f ca="1">expenses/(AF26)</f>
        <v>3382243.3099120772</v>
      </c>
      <c r="AH26" s="370">
        <f ca="1">+AG26-Revenue</f>
        <v>383122.1183337383</v>
      </c>
      <c r="AI26" s="339">
        <f ca="1">+AH26/$J$49</f>
        <v>427800.35980953171</v>
      </c>
      <c r="AJ26" s="339">
        <f ca="1">+AI26*$J$47</f>
        <v>9450.2008948586099</v>
      </c>
      <c r="AK26" s="369">
        <f ca="1">ROUND(+AJ26+AG26,5)</f>
        <v>3391693.5108099999</v>
      </c>
    </row>
    <row r="27" spans="1:37" ht="15.75">
      <c r="A27" s="296"/>
      <c r="B27" s="390" t="s">
        <v>800</v>
      </c>
      <c r="C27" s="389"/>
      <c r="D27" s="389"/>
      <c r="E27" s="389"/>
      <c r="F27" s="351">
        <f t="shared" si="0"/>
        <v>21</v>
      </c>
      <c r="H27" s="341" t="s">
        <v>753</v>
      </c>
      <c r="I27" s="398">
        <f>IF(A64=TRUE,C8,0)</f>
        <v>0.49226525835670143</v>
      </c>
      <c r="J27" s="400">
        <f>+I27*J28</f>
        <v>778706.52837002405</v>
      </c>
      <c r="K27" s="364">
        <f>IF(A64=TRUE,C9,0)</f>
        <v>2.9336479477470194E-2</v>
      </c>
      <c r="L27" s="398">
        <f>+K27*I27</f>
        <v>1.4441329649252934E-2</v>
      </c>
      <c r="M27" s="342">
        <f>+K27*J27</f>
        <v>22844.508088499271</v>
      </c>
      <c r="O27" s="296"/>
      <c r="P27" s="296"/>
      <c r="R27" s="343">
        <v>2</v>
      </c>
      <c r="S27" s="344">
        <f ca="1">AK22/Investment*100</f>
        <v>214.40848578065109</v>
      </c>
      <c r="T27" s="359">
        <f ca="1">EXP(y_inter2-(slope*LN(+S27)))</f>
        <v>8.1996488915652108</v>
      </c>
      <c r="U27" s="346">
        <f ca="1">(+S27*T27/100)/100</f>
        <v>0.17580743027734907</v>
      </c>
      <c r="V27" s="346">
        <f>regDebt_weighted</f>
        <v>3.5860000000000003E-2</v>
      </c>
      <c r="W27" s="346">
        <f ca="1">+U27-V27</f>
        <v>0.13994743027734907</v>
      </c>
      <c r="X27" s="346">
        <f ca="1">+((W27*(1-0.34))-Pfd_weighted)/Equity_percent</f>
        <v>0.25050960460189065</v>
      </c>
      <c r="Y27" s="346">
        <f>+Y26</f>
        <v>2.5000000000000001E-3</v>
      </c>
      <c r="Z27" s="346">
        <f ca="1">+X27+Y27</f>
        <v>0.25300960460189065</v>
      </c>
      <c r="AA27" s="346">
        <f ca="1">Z27*equityP</f>
        <v>0.12846176622581407</v>
      </c>
      <c r="AB27" s="346">
        <f ca="1">+AA27/(1-taxrate)</f>
        <v>0.16260983066558743</v>
      </c>
      <c r="AC27" s="346">
        <f>debtP*Debt_Rate</f>
        <v>1.4441329649252934E-2</v>
      </c>
      <c r="AD27" s="346">
        <f ca="1">+AC27+AB27</f>
        <v>0.17705116031484036</v>
      </c>
      <c r="AE27" s="346">
        <f ca="1">+AD27/(S27/100)</f>
        <v>8.2576563921994736E-2</v>
      </c>
      <c r="AF27" s="346">
        <f ca="1">1-AE27</f>
        <v>0.91742343607800525</v>
      </c>
      <c r="AG27" s="347">
        <f ca="1">expenses/(AF27)</f>
        <v>3382243.3099120772</v>
      </c>
      <c r="AH27" s="348">
        <f ca="1">+AG27-Revenue</f>
        <v>383122.1183337383</v>
      </c>
      <c r="AI27" s="349">
        <f ca="1">+AH27/$J$49</f>
        <v>427800.35980953171</v>
      </c>
      <c r="AJ27" s="349">
        <f ca="1">+AI27*$J$47</f>
        <v>9450.2008948586099</v>
      </c>
      <c r="AK27" s="347">
        <f ca="1">ROUND(+AJ27+AG27,5)</f>
        <v>3391693.5108099999</v>
      </c>
    </row>
    <row r="28" spans="1:37" ht="16.5" thickBot="1">
      <c r="A28" s="296"/>
      <c r="B28" s="296"/>
      <c r="C28" s="296"/>
      <c r="D28" s="296"/>
      <c r="E28" s="296"/>
      <c r="F28" s="351">
        <f t="shared" si="0"/>
        <v>22</v>
      </c>
      <c r="H28" s="341" t="s">
        <v>13</v>
      </c>
      <c r="I28" s="398">
        <f>SUM(I26:I27)</f>
        <v>1</v>
      </c>
      <c r="J28" s="401">
        <f>IF(A64=TRUE,C7,0)</f>
        <v>1581883.9846011717</v>
      </c>
      <c r="K28" s="402"/>
      <c r="L28" s="403">
        <f ca="1">SUM(L26:L27)</f>
        <v>0.1425141814162654</v>
      </c>
      <c r="M28" s="401">
        <f ca="1">SUM(M26:M27)</f>
        <v>225440.90116093619</v>
      </c>
      <c r="O28" s="296"/>
      <c r="P28" s="296"/>
      <c r="R28" s="353">
        <v>3</v>
      </c>
      <c r="S28" s="344">
        <f ca="1">AK23/Investment*100</f>
        <v>214.40848578065109</v>
      </c>
      <c r="T28" s="345">
        <f ca="1">EXP(y_inter3-(slope*LN(S28)))</f>
        <v>8.1996488915652108</v>
      </c>
      <c r="U28" s="346">
        <f ca="1">(+S28*T28/100)/100</f>
        <v>0.17580743027734907</v>
      </c>
      <c r="V28" s="346">
        <f>regDebt_weighted</f>
        <v>3.5860000000000003E-2</v>
      </c>
      <c r="W28" s="346">
        <f ca="1">+U28-V28</f>
        <v>0.13994743027734907</v>
      </c>
      <c r="X28" s="346">
        <f ca="1">+((W28*(1-0.34))-Pfd_weighted)/Equity_percent</f>
        <v>0.25050960460189065</v>
      </c>
      <c r="Y28" s="346">
        <f>+Y27</f>
        <v>2.5000000000000001E-3</v>
      </c>
      <c r="Z28" s="346">
        <f ca="1">+X28+Y28</f>
        <v>0.25300960460189065</v>
      </c>
      <c r="AA28" s="346">
        <f ca="1">Z28*equityP</f>
        <v>0.12846176622581407</v>
      </c>
      <c r="AB28" s="346">
        <f ca="1">+AA28/(1-taxrate)</f>
        <v>0.16260983066558743</v>
      </c>
      <c r="AC28" s="346">
        <f>debtP*Debt_Rate</f>
        <v>1.4441329649252934E-2</v>
      </c>
      <c r="AD28" s="346">
        <f ca="1">+AC28+AB28</f>
        <v>0.17705116031484036</v>
      </c>
      <c r="AE28" s="346">
        <f ca="1">+AD28/(S28/100)</f>
        <v>8.2576563921994736E-2</v>
      </c>
      <c r="AF28" s="346">
        <f ca="1">1-AE28</f>
        <v>0.91742343607800525</v>
      </c>
      <c r="AG28" s="347">
        <f ca="1">expenses/(AF28)</f>
        <v>3382243.3099120772</v>
      </c>
      <c r="AH28" s="348">
        <f ca="1">+AG28-Revenue</f>
        <v>383122.1183337383</v>
      </c>
      <c r="AI28" s="349">
        <f ca="1">+AH28/$J$49</f>
        <v>427800.35980953171</v>
      </c>
      <c r="AJ28" s="349">
        <f ca="1">+AI28*$J$47</f>
        <v>9450.2008948586099</v>
      </c>
      <c r="AK28" s="347">
        <f ca="1">ROUND(+AJ28+AG28,5)</f>
        <v>3391693.5108099999</v>
      </c>
    </row>
    <row r="29" spans="1:37" ht="16.5" thickTop="1">
      <c r="A29" s="296"/>
      <c r="B29" s="296"/>
      <c r="C29" s="296"/>
      <c r="D29" s="296"/>
      <c r="E29" s="296"/>
      <c r="F29" s="351">
        <f t="shared" si="0"/>
        <v>23</v>
      </c>
      <c r="G29" s="312"/>
      <c r="H29" s="312"/>
      <c r="I29" s="312"/>
      <c r="J29" s="312"/>
      <c r="K29" s="312"/>
      <c r="L29" s="312"/>
      <c r="M29" s="312"/>
      <c r="N29" s="312"/>
      <c r="O29" s="296"/>
      <c r="P29" s="296"/>
      <c r="R29" s="356">
        <v>4</v>
      </c>
      <c r="S29" s="344">
        <f ca="1">AK24/Investment*100</f>
        <v>214.40848578065109</v>
      </c>
      <c r="T29" s="362">
        <f ca="1">EXP(y_inter4-(slope*LN(S29)))</f>
        <v>8.1996488915652108</v>
      </c>
      <c r="U29" s="346">
        <f ca="1">(+S29*T29/100)/100</f>
        <v>0.17580743027734907</v>
      </c>
      <c r="V29" s="346">
        <f>regDebt_weighted</f>
        <v>3.5860000000000003E-2</v>
      </c>
      <c r="W29" s="346">
        <f ca="1">+U29-V29</f>
        <v>0.13994743027734907</v>
      </c>
      <c r="X29" s="346">
        <f ca="1">+((W29*(1-0.34))-Pfd_weighted)/Equity_percent</f>
        <v>0.25050960460189065</v>
      </c>
      <c r="Y29" s="346">
        <f>+Y28</f>
        <v>2.5000000000000001E-3</v>
      </c>
      <c r="Z29" s="346">
        <f ca="1">+X29+Y29</f>
        <v>0.25300960460189065</v>
      </c>
      <c r="AA29" s="346">
        <f ca="1">Z29*equityP</f>
        <v>0.12846176622581407</v>
      </c>
      <c r="AB29" s="346">
        <f ca="1">+AA29/(1-taxrate)</f>
        <v>0.16260983066558743</v>
      </c>
      <c r="AC29" s="346">
        <f>debtP*Debt_Rate</f>
        <v>1.4441329649252934E-2</v>
      </c>
      <c r="AD29" s="346">
        <f ca="1">+AC29+AB29</f>
        <v>0.17705116031484036</v>
      </c>
      <c r="AE29" s="346">
        <f ca="1">+AD29/(S29/100)</f>
        <v>8.2576563921994736E-2</v>
      </c>
      <c r="AF29" s="346">
        <f ca="1">1-AE29</f>
        <v>0.91742343607800525</v>
      </c>
      <c r="AG29" s="347">
        <f ca="1">expenses/(AF29)</f>
        <v>3382243.3099120772</v>
      </c>
      <c r="AH29" s="348">
        <f ca="1">+AG29-Revenue</f>
        <v>383122.1183337383</v>
      </c>
      <c r="AI29" s="349">
        <f ca="1">+AH29/$J$49</f>
        <v>427800.35980953171</v>
      </c>
      <c r="AJ29" s="349">
        <f ca="1">+AI29*$J$47</f>
        <v>9450.2008948586099</v>
      </c>
      <c r="AK29" s="347">
        <f ca="1">ROUND(+AJ29+AG29,5)</f>
        <v>3391693.5108099999</v>
      </c>
    </row>
    <row r="30" spans="1:37" ht="15.75">
      <c r="A30" s="296"/>
      <c r="B30" s="296"/>
      <c r="C30" s="296"/>
      <c r="D30" s="404"/>
      <c r="E30" s="296"/>
      <c r="F30" s="351">
        <f t="shared" si="0"/>
        <v>24</v>
      </c>
      <c r="G30" s="312"/>
      <c r="H30" s="312"/>
      <c r="I30" s="312"/>
      <c r="J30" s="405" t="s">
        <v>801</v>
      </c>
      <c r="K30" s="405" t="s">
        <v>802</v>
      </c>
      <c r="L30" s="312"/>
      <c r="M30" s="312"/>
      <c r="N30" s="312"/>
      <c r="O30" s="296"/>
      <c r="P30" s="296"/>
      <c r="R30" s="315" t="s">
        <v>803</v>
      </c>
      <c r="W30" s="396"/>
      <c r="X30" s="397"/>
      <c r="Z30" s="397"/>
      <c r="AA30" s="345"/>
      <c r="AB30" s="345"/>
      <c r="AC30" s="397"/>
      <c r="AE30" s="397"/>
      <c r="AF30" s="397"/>
      <c r="AG30" s="345"/>
      <c r="AH30" s="396"/>
      <c r="AJ30" s="345"/>
    </row>
    <row r="31" spans="1:37" ht="15.75">
      <c r="A31" s="296"/>
      <c r="B31" s="296"/>
      <c r="C31" s="296"/>
      <c r="D31" s="404"/>
      <c r="E31" s="296"/>
      <c r="F31" s="351">
        <f t="shared" si="0"/>
        <v>25</v>
      </c>
      <c r="G31" s="312"/>
      <c r="H31" s="406" t="s">
        <v>804</v>
      </c>
      <c r="I31" s="407"/>
      <c r="J31" s="408" t="s">
        <v>805</v>
      </c>
      <c r="K31" s="408" t="s">
        <v>805</v>
      </c>
      <c r="L31" s="524"/>
      <c r="M31" s="524"/>
      <c r="N31" s="524"/>
      <c r="O31" s="296"/>
      <c r="P31" s="296"/>
      <c r="R31" s="367">
        <v>1</v>
      </c>
      <c r="S31" s="368">
        <f ca="1">AK26/Investment*100</f>
        <v>214.40848657843395</v>
      </c>
      <c r="T31" s="335">
        <f ca="1">EXP(y_inter1-(slope*LN(+S31)))</f>
        <v>8.1996488823660041</v>
      </c>
      <c r="U31" s="336">
        <f ca="1">(+S31*T31/100)/100</f>
        <v>0.17580743073426425</v>
      </c>
      <c r="V31" s="336">
        <f>regDebt_weighted</f>
        <v>3.5860000000000003E-2</v>
      </c>
      <c r="W31" s="336">
        <f ca="1">+U31-V31</f>
        <v>0.13994743073426424</v>
      </c>
      <c r="X31" s="336">
        <f ca="1">+((W31*(1-0.34))-Pfd_weighted)/Equity_percent</f>
        <v>0.25050960547853024</v>
      </c>
      <c r="Y31" s="336">
        <f>+Y29</f>
        <v>2.5000000000000001E-3</v>
      </c>
      <c r="Z31" s="336">
        <f ca="1">+X31+Y31</f>
        <v>0.25300960547853024</v>
      </c>
      <c r="AA31" s="336">
        <f ca="1">Z31*equityP</f>
        <v>0.12846176667091444</v>
      </c>
      <c r="AB31" s="336">
        <f ca="1">+AA31/(1-taxrate)</f>
        <v>0.1626098312290056</v>
      </c>
      <c r="AC31" s="336">
        <f>debtP*Debt_Rate</f>
        <v>1.4441329649252934E-2</v>
      </c>
      <c r="AD31" s="336">
        <f ca="1">+AC31+AB31</f>
        <v>0.17705116087825853</v>
      </c>
      <c r="AE31" s="336">
        <f ca="1">+AD31/(S31/100)</f>
        <v>8.2576563877517259E-2</v>
      </c>
      <c r="AF31" s="336">
        <f ca="1">1-AE31</f>
        <v>0.91742343612248278</v>
      </c>
      <c r="AG31" s="369">
        <f ca="1">expenses/(AF31)</f>
        <v>3382243.3097481029</v>
      </c>
      <c r="AH31" s="370">
        <f ca="1">+AG31-Revenue</f>
        <v>383122.11816976406</v>
      </c>
      <c r="AI31" s="339">
        <f ca="1">+AH31/$J$49</f>
        <v>427800.35962643544</v>
      </c>
      <c r="AJ31" s="339">
        <f ca="1">+AI31*$J$47</f>
        <v>9450.2008908139742</v>
      </c>
      <c r="AK31" s="369">
        <f ca="1">ROUND(+AJ31+AG31,5)</f>
        <v>3391693.51064</v>
      </c>
    </row>
    <row r="32" spans="1:37" ht="15.75">
      <c r="A32" s="296"/>
      <c r="B32" s="296"/>
      <c r="C32" s="296"/>
      <c r="D32" s="404"/>
      <c r="E32" s="296"/>
      <c r="F32" s="351">
        <f t="shared" si="0"/>
        <v>26</v>
      </c>
      <c r="G32" s="312"/>
      <c r="H32" s="323"/>
      <c r="I32" s="323"/>
      <c r="J32" s="323"/>
      <c r="K32" s="323"/>
      <c r="L32" s="312"/>
      <c r="M32" s="312"/>
      <c r="N32" s="312"/>
      <c r="O32" s="296"/>
      <c r="P32" s="296"/>
      <c r="R32" s="343">
        <v>2</v>
      </c>
      <c r="S32" s="344">
        <f ca="1">AK27/Investment*100</f>
        <v>214.40848657843395</v>
      </c>
      <c r="T32" s="359">
        <f ca="1">EXP(y_inter2-(slope*LN(+S32)))</f>
        <v>8.1996488823660041</v>
      </c>
      <c r="U32" s="346">
        <f ca="1">(+S32*T32/100)/100</f>
        <v>0.17580743073426425</v>
      </c>
      <c r="V32" s="346">
        <f>regDebt_weighted</f>
        <v>3.5860000000000003E-2</v>
      </c>
      <c r="W32" s="346">
        <f ca="1">+U32-V32</f>
        <v>0.13994743073426424</v>
      </c>
      <c r="X32" s="346">
        <f ca="1">+((W32*(1-0.34))-Pfd_weighted)/Equity_percent</f>
        <v>0.25050960547853024</v>
      </c>
      <c r="Y32" s="346">
        <f>+Y31</f>
        <v>2.5000000000000001E-3</v>
      </c>
      <c r="Z32" s="346">
        <f ca="1">+X32+Y32</f>
        <v>0.25300960547853024</v>
      </c>
      <c r="AA32" s="346">
        <f ca="1">Z32*equityP</f>
        <v>0.12846176667091444</v>
      </c>
      <c r="AB32" s="346">
        <f ca="1">+AA32/(1-taxrate)</f>
        <v>0.1626098312290056</v>
      </c>
      <c r="AC32" s="346">
        <f>debtP*Debt_Rate</f>
        <v>1.4441329649252934E-2</v>
      </c>
      <c r="AD32" s="346">
        <f ca="1">+AC32+AB32</f>
        <v>0.17705116087825853</v>
      </c>
      <c r="AE32" s="346">
        <f ca="1">+AD32/(S32/100)</f>
        <v>8.2576563877517259E-2</v>
      </c>
      <c r="AF32" s="346">
        <f ca="1">1-AE32</f>
        <v>0.91742343612248278</v>
      </c>
      <c r="AG32" s="347">
        <f ca="1">expenses/(AF32)</f>
        <v>3382243.3097481029</v>
      </c>
      <c r="AH32" s="348">
        <f ca="1">+AG32-Revenue</f>
        <v>383122.11816976406</v>
      </c>
      <c r="AI32" s="349">
        <f ca="1">+AH32/$J$49</f>
        <v>427800.35962643544</v>
      </c>
      <c r="AJ32" s="349">
        <f ca="1">+AI32*$J$47</f>
        <v>9450.2008908139742</v>
      </c>
      <c r="AK32" s="347">
        <f ca="1">ROUND(+AJ32+AG32,5)</f>
        <v>3391693.51064</v>
      </c>
    </row>
    <row r="33" spans="1:48" ht="15.75">
      <c r="A33" s="296"/>
      <c r="B33" s="296"/>
      <c r="C33" s="296"/>
      <c r="D33" s="296"/>
      <c r="E33" s="296"/>
      <c r="F33" s="351">
        <f t="shared" si="0"/>
        <v>27</v>
      </c>
      <c r="G33" s="312"/>
      <c r="H33" s="323" t="s">
        <v>806</v>
      </c>
      <c r="I33" s="323"/>
      <c r="J33" s="409">
        <f ca="1">+K9/J28</f>
        <v>0.17655886353154721</v>
      </c>
      <c r="K33" s="409">
        <f ca="1">+(M14+M11)/J28</f>
        <v>0.14251418141626543</v>
      </c>
      <c r="L33" s="341"/>
      <c r="M33" s="341"/>
      <c r="N33" s="342"/>
      <c r="O33" s="296"/>
      <c r="P33" s="296"/>
      <c r="R33" s="353">
        <v>3</v>
      </c>
      <c r="S33" s="344">
        <f ca="1">AK28/Investment*100</f>
        <v>214.40848657843395</v>
      </c>
      <c r="T33" s="345">
        <f ca="1">EXP(y_inter3-(slope*LN(S33)))</f>
        <v>8.1996488823660041</v>
      </c>
      <c r="U33" s="346">
        <f ca="1">(+S33*T33/100)/100</f>
        <v>0.17580743073426425</v>
      </c>
      <c r="V33" s="346">
        <f>regDebt_weighted</f>
        <v>3.5860000000000003E-2</v>
      </c>
      <c r="W33" s="346">
        <f ca="1">+U33-V33</f>
        <v>0.13994743073426424</v>
      </c>
      <c r="X33" s="346">
        <f ca="1">+((W33*(1-0.34))-Pfd_weighted)/Equity_percent</f>
        <v>0.25050960547853024</v>
      </c>
      <c r="Y33" s="346">
        <f>+Y32</f>
        <v>2.5000000000000001E-3</v>
      </c>
      <c r="Z33" s="346">
        <f ca="1">+X33+Y33</f>
        <v>0.25300960547853024</v>
      </c>
      <c r="AA33" s="346">
        <f ca="1">Z33*equityP</f>
        <v>0.12846176667091444</v>
      </c>
      <c r="AB33" s="346">
        <f ca="1">+AA33/(1-taxrate)</f>
        <v>0.1626098312290056</v>
      </c>
      <c r="AC33" s="346">
        <f>debtP*Debt_Rate</f>
        <v>1.4441329649252934E-2</v>
      </c>
      <c r="AD33" s="346">
        <f ca="1">+AC33+AB33</f>
        <v>0.17705116087825853</v>
      </c>
      <c r="AE33" s="346">
        <f ca="1">+AD33/(S33/100)</f>
        <v>8.2576563877517259E-2</v>
      </c>
      <c r="AF33" s="346">
        <f ca="1">1-AE33</f>
        <v>0.91742343612248278</v>
      </c>
      <c r="AG33" s="347">
        <f ca="1">expenses/(AF33)</f>
        <v>3382243.3097481029</v>
      </c>
      <c r="AH33" s="348">
        <f ca="1">+AG33-Revenue</f>
        <v>383122.11816976406</v>
      </c>
      <c r="AI33" s="349">
        <f ca="1">+AH33/$J$49</f>
        <v>427800.35962643544</v>
      </c>
      <c r="AJ33" s="349">
        <f ca="1">+AI33*$J$47</f>
        <v>9450.2008908139742</v>
      </c>
      <c r="AK33" s="347">
        <f ca="1">ROUND(+AJ33+AG33,5)</f>
        <v>3391693.51064</v>
      </c>
    </row>
    <row r="34" spans="1:48" ht="15.75">
      <c r="A34" s="296"/>
      <c r="B34" s="296"/>
      <c r="C34" s="296"/>
      <c r="D34" s="296"/>
      <c r="E34" s="296"/>
      <c r="F34" s="351">
        <f t="shared" si="0"/>
        <v>28</v>
      </c>
      <c r="G34" s="312"/>
      <c r="H34" s="323" t="s">
        <v>807</v>
      </c>
      <c r="I34" s="323"/>
      <c r="J34" s="409">
        <f ca="1">+(M9-M11)/J26</f>
        <v>0.31929572783929666</v>
      </c>
      <c r="K34" s="409">
        <f ca="1">+M14/J26</f>
        <v>0.25224362499304437</v>
      </c>
      <c r="L34" s="341"/>
      <c r="M34" s="341"/>
      <c r="N34" s="342"/>
      <c r="O34" s="410"/>
      <c r="P34" s="296"/>
      <c r="R34" s="356">
        <v>4</v>
      </c>
      <c r="S34" s="344">
        <f ca="1">AK29/Investment*100</f>
        <v>214.40848657843395</v>
      </c>
      <c r="T34" s="362">
        <f ca="1">EXP(y_inter4-(slope*LN(S34)))</f>
        <v>8.1996488823660041</v>
      </c>
      <c r="U34" s="346">
        <f ca="1">(+S34*T34/100)/100</f>
        <v>0.17580743073426425</v>
      </c>
      <c r="V34" s="346">
        <f>regDebt_weighted</f>
        <v>3.5860000000000003E-2</v>
      </c>
      <c r="W34" s="346">
        <f ca="1">+U34-V34</f>
        <v>0.13994743073426424</v>
      </c>
      <c r="X34" s="346">
        <f ca="1">+((W34*(1-0.34))-Pfd_weighted)/Equity_percent</f>
        <v>0.25050960547853024</v>
      </c>
      <c r="Y34" s="346">
        <f>+Y33</f>
        <v>2.5000000000000001E-3</v>
      </c>
      <c r="Z34" s="346">
        <f ca="1">+X34+Y34</f>
        <v>0.25300960547853024</v>
      </c>
      <c r="AA34" s="346">
        <f ca="1">Z34*equityP</f>
        <v>0.12846176667091444</v>
      </c>
      <c r="AB34" s="346">
        <f ca="1">+AA34/(1-taxrate)</f>
        <v>0.1626098312290056</v>
      </c>
      <c r="AC34" s="346">
        <f>debtP*Debt_Rate</f>
        <v>1.4441329649252934E-2</v>
      </c>
      <c r="AD34" s="346">
        <f ca="1">+AC34+AB34</f>
        <v>0.17705116087825853</v>
      </c>
      <c r="AE34" s="346">
        <f ca="1">+AD34/(S34/100)</f>
        <v>8.2576563877517259E-2</v>
      </c>
      <c r="AF34" s="346">
        <f ca="1">1-AE34</f>
        <v>0.91742343612248278</v>
      </c>
      <c r="AG34" s="347">
        <f ca="1">expenses/(AF34)</f>
        <v>3382243.3097481029</v>
      </c>
      <c r="AH34" s="348">
        <f ca="1">+AG34-Revenue</f>
        <v>383122.11816976406</v>
      </c>
      <c r="AI34" s="349">
        <f ca="1">+AH34/$J$49</f>
        <v>427800.35962643544</v>
      </c>
      <c r="AJ34" s="349">
        <f ca="1">+AI34*$J$47</f>
        <v>9450.2008908139742</v>
      </c>
      <c r="AK34" s="347">
        <f ca="1">ROUND(+AJ34+AG34,5)</f>
        <v>3391693.51064</v>
      </c>
    </row>
    <row r="35" spans="1:48" ht="15.75">
      <c r="A35" s="296"/>
      <c r="B35" s="296"/>
      <c r="C35" s="296"/>
      <c r="D35" s="296"/>
      <c r="E35" s="296"/>
      <c r="F35" s="351">
        <f t="shared" si="0"/>
        <v>29</v>
      </c>
      <c r="G35" s="312"/>
      <c r="H35" s="411" t="s">
        <v>755</v>
      </c>
      <c r="I35" s="323"/>
      <c r="J35" s="409">
        <f ca="1">+K8/K7</f>
        <v>0.9174230000000001</v>
      </c>
      <c r="K35" s="409">
        <f ca="1">+M8/M7</f>
        <v>0.91765308332929107</v>
      </c>
      <c r="L35" s="341"/>
      <c r="M35" s="341"/>
      <c r="N35" s="342"/>
      <c r="O35" s="296"/>
      <c r="P35" s="296"/>
      <c r="R35" s="315" t="s">
        <v>808</v>
      </c>
      <c r="X35" s="397"/>
      <c r="Y35" s="397"/>
      <c r="Z35" s="397"/>
      <c r="AA35" s="412"/>
      <c r="AB35" s="345"/>
      <c r="AC35" s="397"/>
      <c r="AE35" s="397"/>
      <c r="AF35" s="397"/>
      <c r="AG35" s="345"/>
      <c r="AH35" s="396"/>
      <c r="AJ35" s="345"/>
    </row>
    <row r="36" spans="1:48" ht="15.75">
      <c r="A36" s="296"/>
      <c r="B36" s="296"/>
      <c r="C36" s="296"/>
      <c r="D36" s="296"/>
      <c r="E36" s="296"/>
      <c r="F36" s="351">
        <f t="shared" si="0"/>
        <v>30</v>
      </c>
      <c r="G36" s="312"/>
      <c r="H36" s="323" t="s">
        <v>809</v>
      </c>
      <c r="I36" s="323"/>
      <c r="J36" s="409">
        <f ca="1">+K9/K7</f>
        <v>8.2576999999999956E-2</v>
      </c>
      <c r="K36" s="409">
        <f ca="1">+J36</f>
        <v>8.2576999999999956E-2</v>
      </c>
      <c r="L36" s="312"/>
      <c r="M36" s="312"/>
      <c r="N36" s="342"/>
      <c r="O36" s="296"/>
      <c r="P36" s="296"/>
      <c r="R36" s="367">
        <v>1</v>
      </c>
      <c r="S36" s="368">
        <f ca="1">AK31/Investment*100</f>
        <v>214.40848656768731</v>
      </c>
      <c r="T36" s="335">
        <f ca="1">EXP(y_inter1-(slope*LN(+S36)))</f>
        <v>8.1996488824899192</v>
      </c>
      <c r="U36" s="336">
        <f ca="1">(+S36*T36/100)/100</f>
        <v>0.17580743072810923</v>
      </c>
      <c r="V36" s="336">
        <f>regDebt_weighted</f>
        <v>3.5860000000000003E-2</v>
      </c>
      <c r="W36" s="336">
        <f ca="1">+U36-V36</f>
        <v>0.13994743072810922</v>
      </c>
      <c r="X36" s="336">
        <f ca="1">+((W36*(1-0.34))-Pfd_weighted)/Equity_percent</f>
        <v>0.25050960546672119</v>
      </c>
      <c r="Y36" s="336">
        <f>+Y34</f>
        <v>2.5000000000000001E-3</v>
      </c>
      <c r="Z36" s="336">
        <f ca="1">+X36+Y36</f>
        <v>0.25300960546672119</v>
      </c>
      <c r="AA36" s="336">
        <f ca="1">Z36*equityP</f>
        <v>0.1284617666649186</v>
      </c>
      <c r="AB36" s="336">
        <f ca="1">+AA36/(1-taxrate)</f>
        <v>0.16260983122141595</v>
      </c>
      <c r="AC36" s="336">
        <f>debtP*Debt_Rate</f>
        <v>1.4441329649252934E-2</v>
      </c>
      <c r="AD36" s="336">
        <f ca="1">+AC36+AB36</f>
        <v>0.17705116087066888</v>
      </c>
      <c r="AE36" s="336">
        <f ca="1">+AD36/(S36/100)</f>
        <v>8.2576563878116377E-2</v>
      </c>
      <c r="AF36" s="336">
        <f ca="1">1-AE36</f>
        <v>0.9174234361218836</v>
      </c>
      <c r="AG36" s="369">
        <f ca="1">expenses/(AF36)</f>
        <v>3382243.309750312</v>
      </c>
      <c r="AH36" s="370">
        <f ca="1">+AG36-Revenue</f>
        <v>383122.11817197315</v>
      </c>
      <c r="AI36" s="339">
        <f ca="1">+AH36/$J$49</f>
        <v>427800.35962890211</v>
      </c>
      <c r="AJ36" s="339">
        <f ca="1">+AI36*$J$47</f>
        <v>9450.2008908684638</v>
      </c>
      <c r="AK36" s="369">
        <f ca="1">ROUND(+AJ36+AG36,5)</f>
        <v>3391693.51064</v>
      </c>
    </row>
    <row r="37" spans="1:48" ht="15.75">
      <c r="A37" s="296"/>
      <c r="B37" s="296"/>
      <c r="C37" s="296"/>
      <c r="D37" s="326"/>
      <c r="E37" s="296"/>
      <c r="F37" s="351">
        <f t="shared" si="0"/>
        <v>31</v>
      </c>
      <c r="G37" s="312"/>
      <c r="H37" s="323" t="s">
        <v>810</v>
      </c>
      <c r="I37" s="413"/>
      <c r="J37" s="414">
        <f ca="1">+S39/100</f>
        <v>2.1440848656768732</v>
      </c>
      <c r="K37" s="414">
        <f ca="1">+J37</f>
        <v>2.1440848656768732</v>
      </c>
      <c r="L37" s="312"/>
      <c r="M37" s="312"/>
      <c r="N37" s="312"/>
      <c r="O37" s="296"/>
      <c r="P37" s="296"/>
      <c r="R37" s="343">
        <v>2</v>
      </c>
      <c r="S37" s="344">
        <f ca="1">AK32/Investment*100</f>
        <v>214.40848656768731</v>
      </c>
      <c r="T37" s="359">
        <f ca="1">EXP(y_inter2-(slope*LN(+S37)))</f>
        <v>8.1996488824899192</v>
      </c>
      <c r="U37" s="346">
        <f ca="1">(+S37*T37/100)/100</f>
        <v>0.17580743072810923</v>
      </c>
      <c r="V37" s="346">
        <f>regDebt_weighted</f>
        <v>3.5860000000000003E-2</v>
      </c>
      <c r="W37" s="346">
        <f ca="1">+U37-V37</f>
        <v>0.13994743072810922</v>
      </c>
      <c r="X37" s="346">
        <f ca="1">+((W37*(1-0.34))-Pfd_weighted)/Equity_percent</f>
        <v>0.25050960546672119</v>
      </c>
      <c r="Y37" s="346">
        <f>+Y36</f>
        <v>2.5000000000000001E-3</v>
      </c>
      <c r="Z37" s="346">
        <f ca="1">+X37+Y37</f>
        <v>0.25300960546672119</v>
      </c>
      <c r="AA37" s="346">
        <f ca="1">Z37*equityP</f>
        <v>0.1284617666649186</v>
      </c>
      <c r="AB37" s="346">
        <f ca="1">+AA37/(1-taxrate)</f>
        <v>0.16260983122141595</v>
      </c>
      <c r="AC37" s="346">
        <f>debtP*Debt_Rate</f>
        <v>1.4441329649252934E-2</v>
      </c>
      <c r="AD37" s="346">
        <f ca="1">+AC37+AB37</f>
        <v>0.17705116087066888</v>
      </c>
      <c r="AE37" s="346">
        <f ca="1">+AD37/(S37/100)</f>
        <v>8.2576563878116377E-2</v>
      </c>
      <c r="AF37" s="346">
        <f ca="1">1-AE37</f>
        <v>0.9174234361218836</v>
      </c>
      <c r="AG37" s="347">
        <f ca="1">expenses/(AF37)</f>
        <v>3382243.309750312</v>
      </c>
      <c r="AH37" s="348">
        <f ca="1">+AG37-Revenue</f>
        <v>383122.11817197315</v>
      </c>
      <c r="AI37" s="349">
        <f ca="1">+AH37/$J$49</f>
        <v>427800.35962890211</v>
      </c>
      <c r="AJ37" s="349">
        <f ca="1">+AI37*$J$47</f>
        <v>9450.2008908684638</v>
      </c>
      <c r="AK37" s="347">
        <f ca="1">ROUND(+AJ37+AG37,5)</f>
        <v>3391693.51064</v>
      </c>
    </row>
    <row r="38" spans="1:48" ht="15.75">
      <c r="A38" s="296"/>
      <c r="B38" s="296"/>
      <c r="C38" s="296"/>
      <c r="D38" s="326"/>
      <c r="E38" s="296"/>
      <c r="F38" s="351">
        <f t="shared" si="0"/>
        <v>32</v>
      </c>
      <c r="G38" s="312"/>
      <c r="H38" s="323" t="s">
        <v>811</v>
      </c>
      <c r="I38" s="312"/>
      <c r="J38" s="409">
        <f>+C10</f>
        <v>0.21</v>
      </c>
      <c r="K38" s="409">
        <f>+J38</f>
        <v>0.21</v>
      </c>
      <c r="L38" s="312"/>
      <c r="M38" s="312"/>
      <c r="N38" s="312"/>
      <c r="O38" s="296"/>
      <c r="P38" s="296"/>
      <c r="Q38" s="415"/>
      <c r="R38" s="353">
        <v>3</v>
      </c>
      <c r="S38" s="344">
        <f ca="1">AK33/Investment*100</f>
        <v>214.40848656768731</v>
      </c>
      <c r="T38" s="345">
        <f ca="1">EXP(y_inter3-(slope*LN(S38)))</f>
        <v>8.1996488824899192</v>
      </c>
      <c r="U38" s="346">
        <f ca="1">(+S38*T38/100)/100</f>
        <v>0.17580743072810923</v>
      </c>
      <c r="V38" s="346">
        <f>regDebt_weighted</f>
        <v>3.5860000000000003E-2</v>
      </c>
      <c r="W38" s="346">
        <f ca="1">+U38-V38</f>
        <v>0.13994743072810922</v>
      </c>
      <c r="X38" s="346">
        <f ca="1">+((W38*(1-0.34))-Pfd_weighted)/Equity_percent</f>
        <v>0.25050960546672119</v>
      </c>
      <c r="Y38" s="346">
        <f>+Y37</f>
        <v>2.5000000000000001E-3</v>
      </c>
      <c r="Z38" s="346">
        <f ca="1">+X38+Y38</f>
        <v>0.25300960546672119</v>
      </c>
      <c r="AA38" s="346">
        <f ca="1">Z38*equityP</f>
        <v>0.1284617666649186</v>
      </c>
      <c r="AB38" s="346">
        <f ca="1">+AA38/(1-taxrate)</f>
        <v>0.16260983122141595</v>
      </c>
      <c r="AC38" s="346">
        <f>debtP*Debt_Rate</f>
        <v>1.4441329649252934E-2</v>
      </c>
      <c r="AD38" s="346">
        <f ca="1">+AC38+AB38</f>
        <v>0.17705116087066888</v>
      </c>
      <c r="AE38" s="346">
        <f ca="1">+AD38/(S38/100)</f>
        <v>8.2576563878116377E-2</v>
      </c>
      <c r="AF38" s="346">
        <f ca="1">1-AE38</f>
        <v>0.9174234361218836</v>
      </c>
      <c r="AG38" s="347">
        <f ca="1">expenses/(AF38)</f>
        <v>3382243.309750312</v>
      </c>
      <c r="AH38" s="348">
        <f ca="1">+AG38-Revenue</f>
        <v>383122.11817197315</v>
      </c>
      <c r="AI38" s="349">
        <f ca="1">+AH38/$J$49</f>
        <v>427800.35962890211</v>
      </c>
      <c r="AJ38" s="349">
        <f ca="1">+AI38*$J$47</f>
        <v>9450.2008908684638</v>
      </c>
      <c r="AK38" s="347">
        <f ca="1">ROUND(+AJ38+AG38,5)</f>
        <v>3391693.51064</v>
      </c>
    </row>
    <row r="39" spans="1:48" ht="15.75">
      <c r="A39" s="296"/>
      <c r="B39" s="296"/>
      <c r="C39" s="296"/>
      <c r="D39" s="404"/>
      <c r="E39" s="296"/>
      <c r="F39" s="351">
        <f t="shared" si="0"/>
        <v>33</v>
      </c>
      <c r="G39" s="312"/>
      <c r="H39" s="312"/>
      <c r="I39" s="312"/>
      <c r="J39" s="312"/>
      <c r="K39" s="312"/>
      <c r="L39" s="312"/>
      <c r="M39" s="312"/>
      <c r="N39" s="312"/>
      <c r="O39" s="296"/>
      <c r="P39" s="296"/>
      <c r="R39" s="356">
        <v>4</v>
      </c>
      <c r="S39" s="344">
        <f ca="1">AK34/Investment*100</f>
        <v>214.40848656768731</v>
      </c>
      <c r="T39" s="362">
        <f ca="1">EXP(y_inter4-(slope*LN(S39)))</f>
        <v>8.1996488824899192</v>
      </c>
      <c r="U39" s="346">
        <f ca="1">(+S39*T39/100)/100</f>
        <v>0.17580743072810923</v>
      </c>
      <c r="V39" s="346">
        <f>regDebt_weighted</f>
        <v>3.5860000000000003E-2</v>
      </c>
      <c r="W39" s="346">
        <f ca="1">+U39-V39</f>
        <v>0.13994743072810922</v>
      </c>
      <c r="X39" s="346">
        <f ca="1">+((W39*(1-0.34))-Pfd_weighted)/Equity_percent</f>
        <v>0.25050960546672119</v>
      </c>
      <c r="Y39" s="346">
        <f>+Y38</f>
        <v>2.5000000000000001E-3</v>
      </c>
      <c r="Z39" s="346">
        <f ca="1">+X39+Y39</f>
        <v>0.25300960546672119</v>
      </c>
      <c r="AA39" s="346">
        <f ca="1">Z39*equityP</f>
        <v>0.1284617666649186</v>
      </c>
      <c r="AB39" s="346">
        <f ca="1">+AA39/(1-taxrate)</f>
        <v>0.16260983122141595</v>
      </c>
      <c r="AC39" s="346">
        <f>debtP*Debt_Rate</f>
        <v>1.4441329649252934E-2</v>
      </c>
      <c r="AD39" s="346">
        <f ca="1">+AC39+AB39</f>
        <v>0.17705116087066888</v>
      </c>
      <c r="AE39" s="346">
        <f ca="1">+AD39/(S39/100)</f>
        <v>8.2576563878116377E-2</v>
      </c>
      <c r="AF39" s="346">
        <f ca="1">1-AE39</f>
        <v>0.9174234361218836</v>
      </c>
      <c r="AG39" s="347">
        <f ca="1">expenses/(AF39)</f>
        <v>3382243.309750312</v>
      </c>
      <c r="AH39" s="348">
        <f ca="1">+AG39-Revenue</f>
        <v>383122.11817197315</v>
      </c>
      <c r="AI39" s="349">
        <f ca="1">+AH39/$J$49</f>
        <v>427800.35962890211</v>
      </c>
      <c r="AJ39" s="349">
        <f ca="1">+AI39*$J$47</f>
        <v>9450.2008908684638</v>
      </c>
      <c r="AK39" s="347">
        <f ca="1">ROUND(+AJ39+AG39,5)</f>
        <v>3391693.51064</v>
      </c>
    </row>
    <row r="40" spans="1:48" ht="15.75">
      <c r="A40" s="296"/>
      <c r="B40" s="296"/>
      <c r="C40" s="296"/>
      <c r="D40" s="296"/>
      <c r="E40" s="296"/>
      <c r="F40" s="351">
        <f t="shared" si="0"/>
        <v>34</v>
      </c>
      <c r="G40" s="413"/>
      <c r="H40" s="312"/>
      <c r="I40" s="312"/>
      <c r="J40" s="312"/>
      <c r="K40" s="312"/>
      <c r="L40" s="312"/>
      <c r="M40" s="312"/>
      <c r="N40" s="312"/>
      <c r="O40" s="296"/>
      <c r="P40" s="296"/>
      <c r="X40" s="397"/>
      <c r="Y40" s="397"/>
      <c r="Z40" s="397"/>
      <c r="AA40" s="412"/>
      <c r="AB40" s="345"/>
      <c r="AC40" s="397"/>
      <c r="AE40" s="397"/>
      <c r="AF40" s="397"/>
      <c r="AG40" s="345"/>
      <c r="AH40" s="396"/>
      <c r="AJ40" s="345"/>
    </row>
    <row r="41" spans="1:48" ht="15.75">
      <c r="A41" s="296"/>
      <c r="B41" s="296"/>
      <c r="C41" s="296"/>
      <c r="D41" s="296"/>
      <c r="E41" s="296"/>
      <c r="F41" s="351">
        <f t="shared" si="0"/>
        <v>35</v>
      </c>
      <c r="G41" s="312"/>
      <c r="H41" s="406" t="s">
        <v>812</v>
      </c>
      <c r="I41" s="416"/>
      <c r="J41" s="312"/>
      <c r="K41" s="312"/>
      <c r="L41" s="312"/>
      <c r="M41" s="312"/>
      <c r="N41" s="312"/>
      <c r="O41" s="296"/>
      <c r="P41" s="296"/>
      <c r="R41" s="417" t="s">
        <v>813</v>
      </c>
      <c r="S41" s="418"/>
      <c r="T41" s="374"/>
      <c r="U41" s="374"/>
      <c r="V41" s="375"/>
      <c r="X41" s="419"/>
      <c r="Y41" s="419"/>
      <c r="Z41" s="419"/>
      <c r="AA41" s="412"/>
      <c r="AB41" s="345"/>
      <c r="AC41" s="397"/>
      <c r="AE41" s="397"/>
      <c r="AF41" s="397"/>
      <c r="AG41" s="345"/>
      <c r="AH41" s="396"/>
      <c r="AJ41" s="345"/>
    </row>
    <row r="42" spans="1:48" ht="15.75">
      <c r="A42" s="296"/>
      <c r="B42" s="296"/>
      <c r="C42" s="296"/>
      <c r="D42" s="296"/>
      <c r="E42" s="296"/>
      <c r="F42" s="351">
        <f t="shared" si="0"/>
        <v>36</v>
      </c>
      <c r="G42" s="312"/>
      <c r="H42" s="312"/>
      <c r="I42" s="312"/>
      <c r="J42" s="420" t="s">
        <v>814</v>
      </c>
      <c r="K42" s="421" t="s">
        <v>756</v>
      </c>
      <c r="L42" s="312"/>
      <c r="M42" s="312"/>
      <c r="N42" s="312"/>
      <c r="O42" s="296"/>
      <c r="P42" s="296"/>
      <c r="R42" s="422" t="s">
        <v>815</v>
      </c>
      <c r="S42" s="423"/>
      <c r="V42" s="424"/>
      <c r="X42" s="397"/>
      <c r="Y42" s="397"/>
      <c r="Z42" s="397"/>
      <c r="AA42" s="412"/>
      <c r="AB42" s="345"/>
      <c r="AC42" s="397"/>
      <c r="AE42" s="397"/>
      <c r="AF42" s="397"/>
      <c r="AG42" s="345"/>
      <c r="AJ42" s="345"/>
    </row>
    <row r="43" spans="1:48" ht="15.75">
      <c r="A43" s="296"/>
      <c r="B43" s="296"/>
      <c r="C43" s="296"/>
      <c r="D43" s="296"/>
      <c r="E43" s="296"/>
      <c r="F43" s="351">
        <f t="shared" si="0"/>
        <v>37</v>
      </c>
      <c r="G43" s="312"/>
      <c r="H43" s="323" t="s">
        <v>816</v>
      </c>
      <c r="I43" s="425"/>
      <c r="J43" s="426">
        <f>IF(A64=TRUE,C11,0)</f>
        <v>1.4999999999999999E-2</v>
      </c>
      <c r="K43" s="427">
        <f ca="1">+J43*($J$7/$J$49)</f>
        <v>6417.0323245530508</v>
      </c>
      <c r="L43" s="312"/>
      <c r="M43" s="312"/>
      <c r="N43" s="312"/>
      <c r="O43" s="296"/>
      <c r="P43" s="296"/>
      <c r="R43" s="353">
        <v>0</v>
      </c>
      <c r="S43" s="428">
        <v>1</v>
      </c>
      <c r="U43" s="429" t="s">
        <v>809</v>
      </c>
      <c r="V43" s="430">
        <f ca="1">VLOOKUP(R48,R36:AG39,14)</f>
        <v>8.2576563878116377E-2</v>
      </c>
      <c r="AC43" s="397"/>
      <c r="AE43" s="397"/>
      <c r="AJ43" s="345"/>
      <c r="AN43" s="397"/>
      <c r="AO43" s="397"/>
      <c r="AP43" s="397"/>
      <c r="AQ43" s="397"/>
      <c r="AR43" s="397"/>
      <c r="AS43" s="397"/>
      <c r="AT43" s="397"/>
      <c r="AU43" s="397"/>
      <c r="AV43" s="397"/>
    </row>
    <row r="44" spans="1:48" ht="15.75">
      <c r="A44" s="296"/>
      <c r="B44" s="296"/>
      <c r="C44" s="296"/>
      <c r="D44" s="296"/>
      <c r="E44" s="296"/>
      <c r="F44" s="351">
        <f t="shared" si="0"/>
        <v>38</v>
      </c>
      <c r="G44" s="312"/>
      <c r="H44" s="323" t="s">
        <v>817</v>
      </c>
      <c r="I44" s="425"/>
      <c r="J44" s="426">
        <f>IF(A64=TRUE,C12,0)</f>
        <v>5.1000000000000004E-3</v>
      </c>
      <c r="K44" s="427">
        <f ca="1">+J44*($J$7/$J$49)</f>
        <v>2181.7909903480377</v>
      </c>
      <c r="L44" s="312"/>
      <c r="M44" s="312"/>
      <c r="N44" s="312"/>
      <c r="O44" s="296"/>
      <c r="P44" s="296"/>
      <c r="R44" s="353">
        <v>50</v>
      </c>
      <c r="S44" s="428">
        <v>2</v>
      </c>
      <c r="U44" s="429" t="s">
        <v>755</v>
      </c>
      <c r="V44" s="430">
        <f ca="1">ROUND(1-V43,6)</f>
        <v>0.91742299999999999</v>
      </c>
      <c r="AA44" s="431"/>
      <c r="AB44" s="315"/>
      <c r="AC44" s="315"/>
      <c r="AE44" s="397"/>
      <c r="AH44" s="396"/>
      <c r="AJ44" s="345"/>
      <c r="AN44" s="397"/>
      <c r="AO44" s="397"/>
      <c r="AP44" s="397"/>
      <c r="AQ44" s="397"/>
      <c r="AR44" s="397"/>
      <c r="AS44" s="397"/>
      <c r="AT44" s="397"/>
      <c r="AU44" s="397"/>
      <c r="AV44" s="397"/>
    </row>
    <row r="45" spans="1:48" ht="15.75">
      <c r="A45" s="296"/>
      <c r="B45" s="296"/>
      <c r="C45" s="296"/>
      <c r="D45" s="296"/>
      <c r="E45" s="296"/>
      <c r="F45" s="351">
        <f t="shared" si="0"/>
        <v>39</v>
      </c>
      <c r="G45" s="312"/>
      <c r="H45" s="323" t="s">
        <v>818</v>
      </c>
      <c r="I45" s="425"/>
      <c r="J45" s="426">
        <f>IF(A64=TRUE,C13,0)</f>
        <v>0</v>
      </c>
      <c r="K45" s="427">
        <f ca="1">+J45*($J$7/$J$49)</f>
        <v>0</v>
      </c>
      <c r="L45" s="312"/>
      <c r="M45" s="312"/>
      <c r="N45" s="312"/>
      <c r="O45" s="296"/>
      <c r="P45" s="296"/>
      <c r="R45" s="353">
        <v>125</v>
      </c>
      <c r="S45" s="428">
        <v>3</v>
      </c>
      <c r="U45" s="306" t="s">
        <v>819</v>
      </c>
      <c r="V45" s="432">
        <f ca="1">+M7/Revenue-1</f>
        <v>0.13089633312107796</v>
      </c>
      <c r="W45" s="349"/>
      <c r="X45" s="397"/>
      <c r="Y45" s="397"/>
      <c r="Z45" s="397"/>
      <c r="AA45" s="431"/>
      <c r="AB45" s="345"/>
      <c r="AC45" s="397"/>
      <c r="AE45" s="397"/>
      <c r="AF45" s="397"/>
      <c r="AG45" s="345"/>
      <c r="AH45" s="396"/>
      <c r="AJ45" s="345"/>
      <c r="AN45" s="397"/>
      <c r="AO45" s="397"/>
      <c r="AP45" s="397"/>
      <c r="AQ45" s="397"/>
      <c r="AR45" s="397"/>
      <c r="AS45" s="397"/>
      <c r="AT45" s="397"/>
      <c r="AU45" s="397"/>
      <c r="AV45" s="397"/>
    </row>
    <row r="46" spans="1:48" ht="15.75">
      <c r="A46" s="296"/>
      <c r="B46" s="296"/>
      <c r="C46" s="296"/>
      <c r="D46" s="296"/>
      <c r="E46" s="296"/>
      <c r="F46" s="351">
        <f t="shared" si="0"/>
        <v>40</v>
      </c>
      <c r="G46" s="312"/>
      <c r="H46" s="323" t="s">
        <v>820</v>
      </c>
      <c r="I46" s="425"/>
      <c r="J46" s="426">
        <f>IF(A64=TRUE,C14,0)</f>
        <v>1.9902125913734531E-3</v>
      </c>
      <c r="K46" s="427">
        <f ca="1">+J46*($J$7/$J$49)</f>
        <v>851.41723543839612</v>
      </c>
      <c r="L46" s="312"/>
      <c r="M46" s="312"/>
      <c r="N46" s="312"/>
      <c r="O46" s="296"/>
      <c r="P46" s="296"/>
      <c r="R46" s="356">
        <v>401</v>
      </c>
      <c r="S46" s="433">
        <v>4</v>
      </c>
      <c r="T46" s="384"/>
      <c r="U46" s="384"/>
      <c r="V46" s="387"/>
      <c r="X46" s="397"/>
      <c r="Y46" s="397"/>
      <c r="Z46" s="397"/>
      <c r="AA46" s="412"/>
      <c r="AB46" s="345"/>
      <c r="AC46" s="397"/>
      <c r="AE46" s="397"/>
      <c r="AF46" s="397"/>
      <c r="AG46" s="345"/>
      <c r="AH46" s="396"/>
      <c r="AJ46" s="345"/>
      <c r="AN46" s="397"/>
      <c r="AO46" s="397"/>
      <c r="AP46" s="397"/>
      <c r="AQ46" s="397"/>
      <c r="AR46" s="397"/>
      <c r="AS46" s="397"/>
      <c r="AT46" s="397"/>
      <c r="AU46" s="397"/>
      <c r="AV46" s="397"/>
    </row>
    <row r="47" spans="1:48" ht="16.5" thickBot="1">
      <c r="A47" s="296"/>
      <c r="B47" s="296"/>
      <c r="C47" s="296"/>
      <c r="D47" s="296"/>
      <c r="E47" s="296"/>
      <c r="F47" s="351">
        <f t="shared" si="0"/>
        <v>41</v>
      </c>
      <c r="G47" s="312"/>
      <c r="H47" s="323" t="s">
        <v>821</v>
      </c>
      <c r="I47" s="413"/>
      <c r="J47" s="434">
        <f>SUM(J43:J46)</f>
        <v>2.2090212591373452E-2</v>
      </c>
      <c r="K47" s="401">
        <f ca="1">+K43+K44+K45+K46</f>
        <v>9450.2405503394839</v>
      </c>
      <c r="L47" s="312"/>
      <c r="M47" s="312"/>
      <c r="N47" s="312"/>
      <c r="O47" s="296"/>
      <c r="P47" s="296"/>
      <c r="R47" s="368">
        <f ca="1">VLOOKUP(R48,R36:S39,2)</f>
        <v>214.40848656768731</v>
      </c>
      <c r="S47" s="435" t="s">
        <v>822</v>
      </c>
      <c r="T47" s="375"/>
      <c r="X47" s="306" t="s">
        <v>823</v>
      </c>
      <c r="AE47" s="397"/>
      <c r="AH47" s="396"/>
      <c r="AJ47" s="345"/>
    </row>
    <row r="48" spans="1:48" ht="16.5" thickTop="1">
      <c r="A48" s="296"/>
      <c r="B48" s="296"/>
      <c r="C48" s="296"/>
      <c r="D48" s="296"/>
      <c r="E48" s="296"/>
      <c r="F48" s="351">
        <f t="shared" si="0"/>
        <v>42</v>
      </c>
      <c r="G48" s="312"/>
      <c r="H48" s="312"/>
      <c r="I48" s="312"/>
      <c r="J48" s="436"/>
      <c r="K48" s="312"/>
      <c r="L48" s="312"/>
      <c r="M48" s="312"/>
      <c r="N48" s="312"/>
      <c r="O48" s="296"/>
      <c r="P48" s="296"/>
      <c r="R48" s="353">
        <f ca="1">VLOOKUP(S36,R43:S46,2)</f>
        <v>3</v>
      </c>
      <c r="S48" s="437" t="s">
        <v>824</v>
      </c>
      <c r="T48" s="424"/>
      <c r="X48" s="306" t="s">
        <v>825</v>
      </c>
      <c r="AC48" s="315"/>
      <c r="AE48" s="397"/>
      <c r="AJ48" s="345"/>
    </row>
    <row r="49" spans="1:48" ht="15.75">
      <c r="A49" s="296"/>
      <c r="B49" s="296"/>
      <c r="C49" s="296"/>
      <c r="D49" s="296"/>
      <c r="E49" s="296"/>
      <c r="F49" s="351">
        <f t="shared" si="0"/>
        <v>43</v>
      </c>
      <c r="G49" s="318"/>
      <c r="H49" s="323" t="s">
        <v>826</v>
      </c>
      <c r="I49" s="312"/>
      <c r="J49" s="409">
        <f ca="1">((K35)-J47)</f>
        <v>0.89556287073791763</v>
      </c>
      <c r="K49" s="312"/>
      <c r="L49" s="312"/>
      <c r="M49" s="312"/>
      <c r="N49" s="312"/>
      <c r="O49" s="296"/>
      <c r="P49" s="296"/>
      <c r="R49" s="353"/>
      <c r="S49" s="437"/>
      <c r="T49" s="424"/>
      <c r="X49" s="306" t="s">
        <v>827</v>
      </c>
      <c r="AC49" s="397"/>
      <c r="AE49" s="397"/>
      <c r="AF49" s="397"/>
      <c r="AG49" s="345"/>
      <c r="AJ49" s="345"/>
    </row>
    <row r="50" spans="1:48">
      <c r="A50" s="296"/>
      <c r="B50" s="296"/>
      <c r="C50" s="296"/>
      <c r="D50" s="296"/>
      <c r="E50" s="296"/>
      <c r="F50" s="296"/>
      <c r="G50" s="296"/>
      <c r="H50" s="296"/>
      <c r="I50" s="296"/>
      <c r="J50" s="296"/>
      <c r="K50" s="438"/>
      <c r="L50" s="296"/>
      <c r="M50" s="296"/>
      <c r="N50" s="439"/>
      <c r="O50" s="296"/>
      <c r="P50" s="296"/>
      <c r="R50" s="440">
        <f ca="1">+V44</f>
        <v>0.91742299999999999</v>
      </c>
      <c r="S50" s="441" t="s">
        <v>755</v>
      </c>
      <c r="T50" s="442"/>
      <c r="X50" s="306" t="s">
        <v>828</v>
      </c>
      <c r="AC50" s="397"/>
      <c r="AE50" s="397"/>
      <c r="AF50" s="397"/>
      <c r="AG50" s="345"/>
      <c r="AH50" s="397"/>
      <c r="AJ50" s="345"/>
      <c r="AN50" s="397"/>
      <c r="AO50" s="397"/>
      <c r="AP50" s="397"/>
      <c r="AQ50" s="397"/>
      <c r="AR50" s="397"/>
      <c r="AS50" s="397"/>
      <c r="AT50" s="397"/>
      <c r="AU50" s="397"/>
      <c r="AV50" s="397"/>
    </row>
    <row r="51" spans="1:48">
      <c r="A51" s="296"/>
      <c r="B51" s="296"/>
      <c r="C51" s="296"/>
      <c r="D51" s="296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R51" s="306"/>
      <c r="AB51" s="345"/>
      <c r="AC51" s="397"/>
      <c r="AE51" s="397"/>
      <c r="AF51" s="397"/>
      <c r="AG51" s="345"/>
      <c r="AH51" s="396"/>
      <c r="AJ51" s="345"/>
      <c r="AN51" s="397"/>
      <c r="AO51" s="397"/>
      <c r="AP51" s="397"/>
      <c r="AQ51" s="397"/>
      <c r="AR51" s="397"/>
      <c r="AS51" s="397"/>
      <c r="AT51" s="397"/>
      <c r="AU51" s="397"/>
      <c r="AV51" s="397"/>
    </row>
    <row r="52" spans="1:48">
      <c r="A52" s="296"/>
      <c r="B52" s="296"/>
      <c r="C52" s="296"/>
      <c r="D52" s="296"/>
      <c r="E52" s="296"/>
      <c r="F52" s="296"/>
      <c r="G52" s="296"/>
      <c r="H52" s="296"/>
      <c r="I52" s="296"/>
      <c r="J52" s="443"/>
      <c r="K52" s="443"/>
      <c r="L52" s="443"/>
      <c r="M52" s="443"/>
      <c r="N52" s="296"/>
      <c r="O52" s="296"/>
      <c r="P52" s="296"/>
      <c r="R52" s="306"/>
      <c r="AB52" s="345"/>
      <c r="AC52" s="397"/>
      <c r="AE52" s="397"/>
      <c r="AF52" s="397"/>
      <c r="AG52" s="345"/>
      <c r="AH52" s="396"/>
      <c r="AJ52" s="345"/>
      <c r="AN52" s="397"/>
      <c r="AO52" s="397"/>
      <c r="AP52" s="397"/>
      <c r="AQ52" s="397"/>
      <c r="AR52" s="397"/>
      <c r="AS52" s="397"/>
      <c r="AT52" s="397"/>
      <c r="AU52" s="397"/>
      <c r="AV52" s="397"/>
    </row>
    <row r="53" spans="1:48" ht="15.75">
      <c r="A53" s="296"/>
      <c r="B53" s="296"/>
      <c r="C53" s="296"/>
      <c r="D53" s="296"/>
      <c r="E53" s="296"/>
      <c r="F53" s="296"/>
      <c r="G53" s="296"/>
      <c r="H53" s="296"/>
      <c r="I53" s="296"/>
      <c r="J53" s="296"/>
      <c r="K53" s="443"/>
      <c r="L53" s="443"/>
      <c r="M53" s="443"/>
      <c r="N53" s="296"/>
      <c r="O53" s="296"/>
      <c r="P53" s="296"/>
      <c r="R53" s="306"/>
      <c r="S53" s="306" t="s">
        <v>829</v>
      </c>
      <c r="T53" s="397"/>
      <c r="U53" s="444"/>
      <c r="W53" s="445" t="s">
        <v>830</v>
      </c>
      <c r="X53" s="446"/>
      <c r="Y53" s="446"/>
      <c r="Z53" s="446"/>
      <c r="AA53" s="446"/>
      <c r="AB53" s="446"/>
      <c r="AE53" s="397"/>
      <c r="AH53" s="396"/>
      <c r="AJ53" s="345"/>
      <c r="AN53" s="397"/>
      <c r="AO53" s="397"/>
      <c r="AP53" s="397"/>
      <c r="AQ53" s="397"/>
      <c r="AR53" s="397"/>
      <c r="AS53" s="397"/>
      <c r="AT53" s="397"/>
      <c r="AU53" s="397"/>
      <c r="AV53" s="397"/>
    </row>
    <row r="54" spans="1:48">
      <c r="A54" s="296"/>
      <c r="B54" s="296"/>
      <c r="C54" s="296"/>
      <c r="D54" s="296"/>
      <c r="E54" s="296"/>
      <c r="F54" s="296"/>
      <c r="G54" s="296"/>
      <c r="H54" s="296"/>
      <c r="I54" s="296"/>
      <c r="J54" s="296"/>
      <c r="K54" s="296"/>
      <c r="L54" s="447"/>
      <c r="M54" s="447"/>
      <c r="N54" s="296"/>
      <c r="O54" s="296"/>
      <c r="P54" s="296"/>
      <c r="R54" s="448"/>
      <c r="S54" s="449" t="s">
        <v>794</v>
      </c>
      <c r="T54" s="449" t="s">
        <v>831</v>
      </c>
      <c r="U54" s="450" t="s">
        <v>797</v>
      </c>
      <c r="W54" s="451" t="s">
        <v>832</v>
      </c>
      <c r="X54" s="452">
        <v>3.7226020000000002</v>
      </c>
      <c r="Y54" s="453" t="s">
        <v>833</v>
      </c>
      <c r="Z54" s="454">
        <v>3.7226020000000002</v>
      </c>
      <c r="AC54" s="315"/>
      <c r="AE54" s="397"/>
      <c r="AJ54" s="345"/>
    </row>
    <row r="55" spans="1:48">
      <c r="A55" s="296"/>
      <c r="B55" s="296"/>
      <c r="C55" s="296"/>
      <c r="D55" s="296"/>
      <c r="E55" s="296"/>
      <c r="F55" s="296"/>
      <c r="G55" s="296"/>
      <c r="H55" s="296"/>
      <c r="I55" s="296"/>
      <c r="J55" s="447"/>
      <c r="K55" s="296"/>
      <c r="L55" s="447"/>
      <c r="M55" s="447"/>
      <c r="N55" s="296"/>
      <c r="O55" s="296"/>
      <c r="P55" s="296"/>
      <c r="R55" s="307" t="s">
        <v>753</v>
      </c>
      <c r="S55" s="431">
        <v>0.56200000000000006</v>
      </c>
      <c r="T55" s="431">
        <v>6.3799999999999996E-2</v>
      </c>
      <c r="U55" s="455">
        <f>ROUND(+S55*T55,5)</f>
        <v>3.5860000000000003E-2</v>
      </c>
      <c r="W55" s="456" t="s">
        <v>834</v>
      </c>
      <c r="X55" s="457">
        <v>3.7226020000000002</v>
      </c>
      <c r="Y55" s="458" t="s">
        <v>835</v>
      </c>
      <c r="Z55" s="459">
        <v>3.7226020000000002</v>
      </c>
      <c r="AC55" s="397"/>
      <c r="AE55" s="397"/>
      <c r="AF55" s="397"/>
      <c r="AG55" s="345"/>
      <c r="AJ55" s="345"/>
    </row>
    <row r="56" spans="1:48">
      <c r="A56" s="296"/>
      <c r="B56" s="296"/>
      <c r="C56" s="296"/>
      <c r="D56" s="296"/>
      <c r="E56" s="443"/>
      <c r="F56" s="296"/>
      <c r="G56" s="296"/>
      <c r="H56" s="296"/>
      <c r="I56" s="296"/>
      <c r="J56" s="447"/>
      <c r="K56" s="296"/>
      <c r="L56" s="447"/>
      <c r="M56" s="447"/>
      <c r="N56" s="296"/>
      <c r="O56" s="296"/>
      <c r="P56" s="296"/>
      <c r="R56" s="307" t="s">
        <v>836</v>
      </c>
      <c r="S56" s="431">
        <v>9.4E-2</v>
      </c>
      <c r="T56" s="431">
        <v>6.59E-2</v>
      </c>
      <c r="U56" s="455">
        <f>ROUND(+S56*T56,5)</f>
        <v>6.1900000000000002E-3</v>
      </c>
      <c r="W56" s="307"/>
      <c r="Y56" s="460"/>
      <c r="Z56" s="461"/>
      <c r="AC56" s="397"/>
      <c r="AE56" s="397"/>
      <c r="AF56" s="397"/>
      <c r="AG56" s="345"/>
      <c r="AH56" s="396"/>
      <c r="AJ56" s="345"/>
      <c r="AN56" s="397"/>
    </row>
    <row r="57" spans="1:48" ht="15.75">
      <c r="A57" s="296"/>
      <c r="B57" s="296"/>
      <c r="C57" s="296"/>
      <c r="D57" s="296"/>
      <c r="E57" s="443"/>
      <c r="F57" s="443"/>
      <c r="G57" s="443"/>
      <c r="H57" s="462"/>
      <c r="I57" s="443"/>
      <c r="J57" s="447"/>
      <c r="K57" s="296"/>
      <c r="L57" s="296"/>
      <c r="M57" s="296"/>
      <c r="N57" s="296"/>
      <c r="O57" s="296"/>
      <c r="P57" s="296"/>
      <c r="R57" s="307" t="s">
        <v>751</v>
      </c>
      <c r="S57" s="463">
        <v>0.34399999999999997</v>
      </c>
      <c r="T57" s="464"/>
      <c r="U57" s="465"/>
      <c r="W57" s="383"/>
      <c r="X57" s="466" t="s">
        <v>837</v>
      </c>
      <c r="Y57" s="467">
        <v>0.30151749999999999</v>
      </c>
      <c r="Z57" s="468"/>
      <c r="AC57" s="397"/>
      <c r="AE57" s="397"/>
      <c r="AF57" s="397"/>
      <c r="AG57" s="345"/>
      <c r="AH57" s="396"/>
      <c r="AJ57" s="345"/>
    </row>
    <row r="58" spans="1:48" ht="15.75">
      <c r="A58" s="296"/>
      <c r="B58" s="296"/>
      <c r="C58" s="296"/>
      <c r="D58" s="296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R58" s="383"/>
      <c r="S58" s="463">
        <f>SUM(S55:S57)</f>
        <v>1</v>
      </c>
      <c r="T58" s="469"/>
      <c r="U58" s="470"/>
      <c r="X58" s="397"/>
      <c r="Y58" s="397"/>
      <c r="Z58" s="397"/>
      <c r="AA58" s="412"/>
      <c r="AB58" s="345"/>
      <c r="AC58" s="397"/>
      <c r="AE58" s="397"/>
      <c r="AF58" s="397"/>
      <c r="AG58" s="345"/>
      <c r="AH58" s="396"/>
      <c r="AJ58" s="345"/>
    </row>
    <row r="59" spans="1:48">
      <c r="A59" s="296"/>
      <c r="B59" s="296"/>
      <c r="C59" s="296"/>
      <c r="D59" s="296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X59" s="471"/>
      <c r="Y59" s="471"/>
      <c r="Z59" s="471"/>
      <c r="AE59" s="397"/>
      <c r="AH59" s="396"/>
      <c r="AJ59" s="345"/>
      <c r="AN59" s="396"/>
      <c r="AO59" s="396"/>
      <c r="AP59" s="396"/>
      <c r="AQ59" s="396"/>
      <c r="AR59" s="396"/>
      <c r="AS59" s="396"/>
      <c r="AT59" s="396"/>
      <c r="AU59" s="396"/>
      <c r="AV59" s="396"/>
    </row>
    <row r="60" spans="1:48">
      <c r="A60" s="296"/>
      <c r="B60" s="296"/>
      <c r="C60" s="296"/>
      <c r="D60" s="296"/>
      <c r="E60" s="443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R60" s="306"/>
      <c r="S60" s="472"/>
      <c r="W60" s="448"/>
      <c r="X60" s="473" t="s">
        <v>804</v>
      </c>
      <c r="Y60" s="473" t="s">
        <v>838</v>
      </c>
      <c r="Z60" s="474" t="s">
        <v>732</v>
      </c>
      <c r="AE60" s="397"/>
      <c r="AJ60" s="345"/>
      <c r="AN60" s="396"/>
      <c r="AO60" s="396"/>
      <c r="AP60" s="396"/>
      <c r="AQ60" s="396"/>
      <c r="AR60" s="396"/>
      <c r="AS60" s="396"/>
      <c r="AT60" s="396"/>
      <c r="AU60" s="396"/>
      <c r="AV60" s="396"/>
    </row>
    <row r="61" spans="1:48">
      <c r="A61" s="296"/>
      <c r="B61" s="296"/>
      <c r="C61" s="296"/>
      <c r="D61" s="296"/>
      <c r="E61" s="296"/>
      <c r="F61" s="443"/>
      <c r="G61" s="443"/>
      <c r="H61" s="443"/>
      <c r="I61" s="443"/>
      <c r="J61" s="443"/>
      <c r="K61" s="443"/>
      <c r="L61" s="443"/>
      <c r="M61" s="443"/>
      <c r="N61" s="443"/>
      <c r="O61" s="296"/>
      <c r="P61" s="296"/>
      <c r="R61" s="306"/>
      <c r="W61" s="307"/>
      <c r="X61" s="475"/>
      <c r="Y61" s="475"/>
      <c r="Z61" s="476"/>
      <c r="AE61" s="397"/>
      <c r="AF61" s="397"/>
      <c r="AG61" s="345"/>
      <c r="AJ61" s="345"/>
      <c r="AN61" s="396"/>
      <c r="AO61" s="396"/>
      <c r="AP61" s="396"/>
      <c r="AQ61" s="396"/>
      <c r="AR61" s="396"/>
      <c r="AS61" s="396"/>
      <c r="AT61" s="396"/>
      <c r="AU61" s="396"/>
      <c r="AV61" s="396"/>
    </row>
    <row r="62" spans="1:48">
      <c r="A62" s="296"/>
      <c r="B62" s="296"/>
      <c r="C62" s="296"/>
      <c r="D62" s="296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R62" s="306"/>
      <c r="S62" s="472"/>
      <c r="W62" s="307"/>
      <c r="X62" s="429" t="s">
        <v>806</v>
      </c>
      <c r="Y62" s="430">
        <f t="shared" ref="Y62:Z67" ca="1" si="1">+J33</f>
        <v>0.17655886353154721</v>
      </c>
      <c r="Z62" s="430">
        <f t="shared" ca="1" si="1"/>
        <v>0.14251418141626543</v>
      </c>
      <c r="AE62" s="397"/>
      <c r="AF62" s="397"/>
      <c r="AG62" s="345"/>
      <c r="AH62" s="396"/>
      <c r="AJ62" s="345"/>
      <c r="AN62" s="396"/>
      <c r="AO62" s="396"/>
      <c r="AP62" s="396"/>
      <c r="AQ62" s="396"/>
      <c r="AR62" s="396"/>
      <c r="AS62" s="396"/>
      <c r="AT62" s="396"/>
      <c r="AU62" s="396"/>
      <c r="AV62" s="396"/>
    </row>
    <row r="63" spans="1:48">
      <c r="A63" s="296"/>
      <c r="B63" s="296"/>
      <c r="C63" s="296"/>
      <c r="D63" s="296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R63" s="306"/>
      <c r="W63" s="307"/>
      <c r="X63" s="429" t="s">
        <v>807</v>
      </c>
      <c r="Y63" s="430">
        <f t="shared" ca="1" si="1"/>
        <v>0.31929572783929666</v>
      </c>
      <c r="Z63" s="430">
        <f t="shared" ca="1" si="1"/>
        <v>0.25224362499304437</v>
      </c>
      <c r="AE63" s="397"/>
      <c r="AF63" s="397"/>
      <c r="AG63" s="345"/>
      <c r="AH63" s="396"/>
      <c r="AJ63" s="345"/>
    </row>
    <row r="64" spans="1:48">
      <c r="A64" s="306" t="b">
        <v>1</v>
      </c>
      <c r="B64" s="296"/>
      <c r="C64" s="296"/>
      <c r="F64" s="296"/>
      <c r="G64" s="296"/>
      <c r="H64" s="296"/>
      <c r="I64" s="296"/>
      <c r="J64" s="296"/>
      <c r="K64" s="296"/>
      <c r="L64" s="296"/>
      <c r="M64" s="296"/>
      <c r="N64" s="296"/>
      <c r="R64" s="306"/>
      <c r="S64" s="472"/>
      <c r="W64" s="307"/>
      <c r="X64" s="429" t="s">
        <v>755</v>
      </c>
      <c r="Y64" s="430">
        <f t="shared" ca="1" si="1"/>
        <v>0.9174230000000001</v>
      </c>
      <c r="Z64" s="430">
        <f t="shared" ca="1" si="1"/>
        <v>0.91765308332929107</v>
      </c>
      <c r="AE64" s="397"/>
      <c r="AF64" s="397"/>
      <c r="AG64" s="345"/>
      <c r="AH64" s="396"/>
      <c r="AJ64" s="345"/>
    </row>
    <row r="65" spans="8:40">
      <c r="H65" s="396"/>
      <c r="I65" s="396"/>
      <c r="J65" s="396"/>
      <c r="K65" s="396"/>
      <c r="L65" s="396"/>
      <c r="M65" s="396"/>
      <c r="N65" s="396"/>
      <c r="O65" s="396"/>
      <c r="R65" s="306"/>
      <c r="W65" s="307"/>
      <c r="X65" s="429" t="s">
        <v>809</v>
      </c>
      <c r="Y65" s="430">
        <f t="shared" ca="1" si="1"/>
        <v>8.2576999999999956E-2</v>
      </c>
      <c r="Z65" s="430">
        <f t="shared" ca="1" si="1"/>
        <v>8.2576999999999956E-2</v>
      </c>
      <c r="AE65" s="397"/>
      <c r="AH65" s="396"/>
      <c r="AJ65" s="345"/>
      <c r="AN65" s="396"/>
    </row>
    <row r="66" spans="8:40">
      <c r="H66" s="396"/>
      <c r="I66" s="396"/>
      <c r="J66" s="396"/>
      <c r="K66" s="396"/>
      <c r="L66" s="396"/>
      <c r="M66" s="396"/>
      <c r="N66" s="396"/>
      <c r="O66" s="396"/>
      <c r="R66" s="306"/>
      <c r="S66" s="472"/>
      <c r="W66" s="307"/>
      <c r="X66" s="429" t="s">
        <v>810</v>
      </c>
      <c r="Y66" s="430">
        <f t="shared" ca="1" si="1"/>
        <v>2.1440848656768732</v>
      </c>
      <c r="Z66" s="430">
        <f t="shared" ca="1" si="1"/>
        <v>2.1440848656768732</v>
      </c>
      <c r="AE66" s="397"/>
      <c r="AJ66" s="345"/>
    </row>
    <row r="67" spans="8:40">
      <c r="O67" s="396"/>
      <c r="W67" s="383"/>
      <c r="X67" s="478" t="s">
        <v>811</v>
      </c>
      <c r="Y67" s="479">
        <f t="shared" si="1"/>
        <v>0.21</v>
      </c>
      <c r="Z67" s="479">
        <f t="shared" si="1"/>
        <v>0.21</v>
      </c>
      <c r="AE67" s="397"/>
      <c r="AF67" s="397"/>
      <c r="AG67" s="345"/>
      <c r="AJ67" s="345"/>
    </row>
    <row r="68" spans="8:40">
      <c r="O68" s="396"/>
      <c r="W68" s="429"/>
      <c r="AE68" s="397"/>
      <c r="AF68" s="397"/>
      <c r="AG68" s="345"/>
      <c r="AH68" s="396"/>
      <c r="AJ68" s="345"/>
    </row>
    <row r="69" spans="8:40">
      <c r="O69" s="396"/>
      <c r="X69" s="397"/>
      <c r="Y69" s="397"/>
      <c r="Z69" s="397"/>
      <c r="AA69" s="412"/>
      <c r="AB69" s="345"/>
      <c r="AC69" s="397"/>
      <c r="AE69" s="397"/>
      <c r="AF69" s="397"/>
      <c r="AG69" s="345"/>
      <c r="AH69" s="396"/>
      <c r="AJ69" s="345"/>
    </row>
    <row r="70" spans="8:40">
      <c r="X70" s="397"/>
      <c r="Y70" s="397"/>
      <c r="Z70" s="397"/>
      <c r="AA70" s="412"/>
      <c r="AB70" s="345"/>
      <c r="AC70" s="397"/>
      <c r="AE70" s="397"/>
      <c r="AF70" s="397"/>
      <c r="AG70" s="345"/>
      <c r="AH70" s="396"/>
      <c r="AJ70" s="345"/>
    </row>
    <row r="71" spans="8:40">
      <c r="AE71" s="397"/>
      <c r="AH71" s="396"/>
      <c r="AJ71" s="345"/>
    </row>
    <row r="72" spans="8:40">
      <c r="AA72" s="315"/>
      <c r="AB72" s="315"/>
      <c r="AC72" s="315"/>
      <c r="AE72" s="397"/>
      <c r="AJ72" s="345"/>
    </row>
    <row r="73" spans="8:40">
      <c r="X73" s="397"/>
      <c r="Y73" s="397"/>
      <c r="Z73" s="397"/>
      <c r="AA73" s="412"/>
      <c r="AB73" s="345"/>
      <c r="AC73" s="397"/>
      <c r="AE73" s="397"/>
      <c r="AF73" s="397"/>
      <c r="AG73" s="345"/>
      <c r="AJ73" s="345"/>
    </row>
    <row r="74" spans="8:40">
      <c r="X74" s="397"/>
      <c r="Y74" s="397"/>
      <c r="Z74" s="397"/>
      <c r="AA74" s="412"/>
      <c r="AB74" s="345"/>
      <c r="AC74" s="397"/>
      <c r="AE74" s="397"/>
      <c r="AF74" s="397"/>
      <c r="AG74" s="345"/>
      <c r="AH74" s="396"/>
      <c r="AJ74" s="345"/>
    </row>
    <row r="75" spans="8:40">
      <c r="X75" s="397"/>
      <c r="Y75" s="397"/>
      <c r="Z75" s="397"/>
      <c r="AA75" s="412"/>
      <c r="AB75" s="345"/>
      <c r="AC75" s="397"/>
      <c r="AE75" s="397"/>
      <c r="AF75" s="397"/>
      <c r="AG75" s="345"/>
      <c r="AH75" s="396"/>
      <c r="AJ75" s="345"/>
    </row>
    <row r="76" spans="8:40">
      <c r="X76" s="397"/>
      <c r="Y76" s="397"/>
      <c r="Z76" s="397"/>
      <c r="AA76" s="412"/>
      <c r="AB76" s="345"/>
      <c r="AC76" s="397"/>
      <c r="AE76" s="397"/>
      <c r="AF76" s="397"/>
      <c r="AG76" s="345"/>
      <c r="AH76" s="396"/>
      <c r="AJ76" s="345"/>
    </row>
    <row r="77" spans="8:40">
      <c r="AE77" s="397"/>
      <c r="AH77" s="396"/>
      <c r="AJ77" s="345"/>
    </row>
    <row r="79" spans="8:40">
      <c r="X79" s="397"/>
      <c r="Y79" s="397"/>
      <c r="Z79" s="397"/>
      <c r="AA79" s="412"/>
      <c r="AB79" s="345"/>
      <c r="AC79" s="397"/>
      <c r="AF79" s="397"/>
      <c r="AG79" s="345"/>
    </row>
    <row r="80" spans="8:40">
      <c r="X80" s="397"/>
      <c r="Y80" s="397"/>
      <c r="Z80" s="397"/>
      <c r="AA80" s="412"/>
      <c r="AB80" s="345"/>
      <c r="AC80" s="397"/>
      <c r="AF80" s="397"/>
      <c r="AG80" s="345"/>
      <c r="AH80" s="396"/>
    </row>
    <row r="81" spans="24:34">
      <c r="X81" s="397"/>
      <c r="Y81" s="397"/>
      <c r="Z81" s="397"/>
      <c r="AA81" s="412"/>
      <c r="AB81" s="345"/>
      <c r="AC81" s="397"/>
      <c r="AF81" s="397"/>
      <c r="AG81" s="345"/>
      <c r="AH81" s="396"/>
    </row>
    <row r="82" spans="24:34">
      <c r="X82" s="397"/>
      <c r="Y82" s="397"/>
      <c r="Z82" s="397"/>
      <c r="AA82" s="412"/>
      <c r="AB82" s="345"/>
      <c r="AC82" s="397"/>
      <c r="AF82" s="397"/>
      <c r="AG82" s="345"/>
      <c r="AH82" s="396"/>
    </row>
    <row r="83" spans="24:34">
      <c r="AH83" s="396"/>
    </row>
    <row r="85" spans="24:34">
      <c r="X85" s="397"/>
      <c r="Y85" s="397"/>
      <c r="Z85" s="397"/>
      <c r="AA85" s="412"/>
      <c r="AB85" s="345"/>
      <c r="AC85" s="397"/>
      <c r="AF85" s="397"/>
      <c r="AG85" s="345"/>
    </row>
    <row r="86" spans="24:34">
      <c r="X86" s="397"/>
      <c r="Y86" s="397"/>
      <c r="Z86" s="397"/>
      <c r="AA86" s="412"/>
      <c r="AB86" s="345"/>
      <c r="AC86" s="397"/>
      <c r="AF86" s="397"/>
      <c r="AG86" s="345"/>
      <c r="AH86" s="396"/>
    </row>
    <row r="87" spans="24:34">
      <c r="X87" s="397"/>
      <c r="Y87" s="397"/>
      <c r="Z87" s="397"/>
      <c r="AA87" s="412"/>
      <c r="AB87" s="345"/>
      <c r="AC87" s="397"/>
      <c r="AF87" s="397"/>
      <c r="AG87" s="345"/>
      <c r="AH87" s="396"/>
    </row>
    <row r="88" spans="24:34">
      <c r="X88" s="397"/>
      <c r="Y88" s="397"/>
      <c r="Z88" s="397"/>
      <c r="AA88" s="412"/>
      <c r="AB88" s="345"/>
      <c r="AC88" s="397"/>
      <c r="AF88" s="397"/>
      <c r="AG88" s="345"/>
      <c r="AH88" s="396"/>
    </row>
    <row r="89" spans="24:34">
      <c r="AH89" s="396"/>
    </row>
    <row r="91" spans="24:34">
      <c r="X91" s="397"/>
      <c r="Y91" s="397"/>
      <c r="Z91" s="397"/>
      <c r="AA91" s="412"/>
      <c r="AB91" s="345"/>
      <c r="AC91" s="397"/>
      <c r="AF91" s="397"/>
      <c r="AG91" s="345"/>
    </row>
    <row r="92" spans="24:34">
      <c r="X92" s="397"/>
      <c r="Y92" s="397"/>
      <c r="Z92" s="397"/>
      <c r="AA92" s="412"/>
      <c r="AB92" s="345"/>
      <c r="AC92" s="397"/>
      <c r="AF92" s="397"/>
      <c r="AG92" s="345"/>
      <c r="AH92" s="396"/>
    </row>
    <row r="93" spans="24:34">
      <c r="X93" s="397"/>
      <c r="Y93" s="397"/>
      <c r="Z93" s="397"/>
      <c r="AA93" s="412"/>
      <c r="AB93" s="345"/>
      <c r="AC93" s="397"/>
      <c r="AF93" s="397"/>
      <c r="AG93" s="345"/>
      <c r="AH93" s="396"/>
    </row>
    <row r="94" spans="24:34">
      <c r="X94" s="397"/>
      <c r="Y94" s="397"/>
      <c r="Z94" s="397"/>
      <c r="AA94" s="412"/>
      <c r="AB94" s="345"/>
      <c r="AC94" s="397"/>
      <c r="AF94" s="397"/>
      <c r="AG94" s="345"/>
      <c r="AH94" s="396"/>
    </row>
    <row r="95" spans="24:34">
      <c r="AH95" s="396"/>
    </row>
    <row r="97" spans="24:34">
      <c r="X97" s="397"/>
      <c r="Y97" s="397"/>
      <c r="Z97" s="397"/>
      <c r="AA97" s="412"/>
      <c r="AB97" s="345"/>
      <c r="AC97" s="397"/>
      <c r="AF97" s="397"/>
      <c r="AG97" s="345"/>
    </row>
    <row r="98" spans="24:34">
      <c r="X98" s="397"/>
      <c r="Y98" s="397"/>
      <c r="Z98" s="397"/>
      <c r="AA98" s="412"/>
      <c r="AB98" s="345"/>
      <c r="AC98" s="397"/>
      <c r="AF98" s="397"/>
      <c r="AG98" s="345"/>
      <c r="AH98" s="396"/>
    </row>
    <row r="99" spans="24:34">
      <c r="X99" s="397"/>
      <c r="Y99" s="397"/>
      <c r="Z99" s="397"/>
      <c r="AA99" s="412"/>
      <c r="AB99" s="345"/>
      <c r="AC99" s="397"/>
      <c r="AF99" s="397"/>
      <c r="AG99" s="345"/>
      <c r="AH99" s="396"/>
    </row>
    <row r="100" spans="24:34">
      <c r="X100" s="397"/>
      <c r="Y100" s="397"/>
      <c r="Z100" s="397"/>
      <c r="AA100" s="412"/>
      <c r="AB100" s="345"/>
      <c r="AC100" s="397"/>
      <c r="AF100" s="397"/>
      <c r="AG100" s="345"/>
      <c r="AH100" s="396"/>
    </row>
    <row r="101" spans="24:34">
      <c r="AH101" s="396"/>
    </row>
    <row r="103" spans="24:34">
      <c r="X103" s="397"/>
      <c r="Y103" s="397"/>
      <c r="Z103" s="397"/>
      <c r="AA103" s="412"/>
      <c r="AB103" s="345"/>
      <c r="AC103" s="397"/>
      <c r="AF103" s="397"/>
      <c r="AG103" s="345"/>
    </row>
    <row r="104" spans="24:34">
      <c r="X104" s="397"/>
      <c r="Y104" s="397"/>
      <c r="Z104" s="397"/>
      <c r="AA104" s="412"/>
      <c r="AB104" s="345"/>
      <c r="AC104" s="397"/>
      <c r="AF104" s="397"/>
      <c r="AG104" s="345"/>
      <c r="AH104" s="396"/>
    </row>
    <row r="105" spans="24:34">
      <c r="X105" s="397"/>
      <c r="Y105" s="397"/>
      <c r="Z105" s="397"/>
      <c r="AA105" s="412"/>
      <c r="AB105" s="345"/>
      <c r="AC105" s="397"/>
      <c r="AF105" s="397"/>
      <c r="AG105" s="345"/>
      <c r="AH105" s="396"/>
    </row>
    <row r="106" spans="24:34">
      <c r="X106" s="397"/>
      <c r="Y106" s="397"/>
      <c r="Z106" s="397"/>
      <c r="AA106" s="412"/>
      <c r="AB106" s="345"/>
      <c r="AC106" s="397"/>
      <c r="AF106" s="397"/>
      <c r="AG106" s="345"/>
      <c r="AH106" s="396"/>
    </row>
    <row r="107" spans="24:34">
      <c r="AH107" s="396"/>
    </row>
    <row r="109" spans="24:34">
      <c r="X109" s="397"/>
      <c r="Y109" s="397"/>
      <c r="Z109" s="397"/>
      <c r="AA109" s="412"/>
      <c r="AB109" s="345"/>
      <c r="AC109" s="397"/>
      <c r="AF109" s="397"/>
      <c r="AG109" s="345"/>
    </row>
    <row r="110" spans="24:34">
      <c r="X110" s="397"/>
      <c r="Y110" s="397"/>
      <c r="Z110" s="397"/>
      <c r="AA110" s="412"/>
      <c r="AB110" s="345"/>
      <c r="AC110" s="397"/>
      <c r="AF110" s="397"/>
      <c r="AG110" s="345"/>
    </row>
    <row r="111" spans="24:34">
      <c r="X111" s="397"/>
      <c r="Y111" s="397"/>
      <c r="Z111" s="397"/>
      <c r="AA111" s="412"/>
      <c r="AB111" s="345"/>
      <c r="AC111" s="397"/>
      <c r="AF111" s="397"/>
      <c r="AG111" s="345"/>
    </row>
    <row r="112" spans="24:34">
      <c r="X112" s="397"/>
      <c r="Y112" s="397"/>
      <c r="Z112" s="397"/>
      <c r="AA112" s="412"/>
      <c r="AB112" s="345"/>
      <c r="AC112" s="397"/>
      <c r="AF112" s="397"/>
      <c r="AG112" s="345"/>
    </row>
  </sheetData>
  <mergeCells count="5">
    <mergeCell ref="B2:C2"/>
    <mergeCell ref="AH2:AK2"/>
    <mergeCell ref="B18:C18"/>
    <mergeCell ref="B19:C19"/>
    <mergeCell ref="L31:N31"/>
  </mergeCells>
  <pageMargins left="0.25" right="0.25" top="0.27" bottom="0.4" header="0.18" footer="0.25"/>
  <pageSetup scale="70" orientation="landscape" errors="blank" r:id="rId1"/>
  <headerFooter alignWithMargins="0">
    <oddFooter>&amp;L&amp;F - &amp;A&amp;CPrinted &amp;D - &amp;T&amp;RPage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6909-DDDA-49E6-98E1-13C5181ADF9B}">
  <sheetPr>
    <tabColor theme="8" tint="0.59999389629810485"/>
  </sheetPr>
  <dimension ref="A1:AV112"/>
  <sheetViews>
    <sheetView workbookViewId="0">
      <selection activeCell="C88" sqref="C88"/>
    </sheetView>
  </sheetViews>
  <sheetFormatPr defaultColWidth="16.7109375" defaultRowHeight="15"/>
  <cols>
    <col min="1" max="1" width="4.85546875" style="306" customWidth="1"/>
    <col min="2" max="2" width="33.5703125" style="477" bestFit="1" customWidth="1"/>
    <col min="3" max="3" width="21.28515625" style="477" customWidth="1"/>
    <col min="4" max="4" width="21.28515625" style="477" hidden="1" customWidth="1"/>
    <col min="5" max="5" width="12.85546875" style="477" bestFit="1" customWidth="1"/>
    <col min="6" max="6" width="5.7109375" style="306" customWidth="1"/>
    <col min="7" max="7" width="8.5703125" style="306" customWidth="1"/>
    <col min="8" max="8" width="15" style="306" customWidth="1"/>
    <col min="9" max="9" width="17.7109375" style="306" customWidth="1"/>
    <col min="10" max="10" width="17.28515625" style="306" bestFit="1" customWidth="1"/>
    <col min="11" max="11" width="15.140625" style="306" bestFit="1" customWidth="1"/>
    <col min="12" max="13" width="20.28515625" style="306" customWidth="1"/>
    <col min="14" max="14" width="2.42578125" style="306" customWidth="1"/>
    <col min="15" max="15" width="6.28515625" style="477" customWidth="1"/>
    <col min="16" max="16" width="40.42578125" style="477" customWidth="1"/>
    <col min="17" max="17" width="16.7109375" style="307"/>
    <col min="18" max="18" width="13.85546875" style="315" customWidth="1"/>
    <col min="19" max="19" width="16.7109375" style="306"/>
    <col min="20" max="20" width="13.42578125" style="306" customWidth="1"/>
    <col min="21" max="21" width="15.7109375" style="306" customWidth="1"/>
    <col min="22" max="22" width="16.7109375" style="306"/>
    <col min="23" max="26" width="17.7109375" style="306" customWidth="1"/>
    <col min="27" max="27" width="16" style="306" customWidth="1"/>
    <col min="28" max="28" width="16.7109375" style="306"/>
    <col min="29" max="29" width="15.85546875" style="306" customWidth="1"/>
    <col min="30" max="31" width="16.7109375" style="306"/>
    <col min="32" max="32" width="16.42578125" style="306" customWidth="1"/>
    <col min="33" max="33" width="17.28515625" style="306" customWidth="1"/>
    <col min="34" max="34" width="20.7109375" style="306" customWidth="1"/>
    <col min="35" max="35" width="18.140625" style="306" customWidth="1"/>
    <col min="36" max="36" width="16.42578125" style="306" customWidth="1"/>
    <col min="37" max="37" width="16.7109375" style="306"/>
    <col min="38" max="38" width="13.85546875" style="306" customWidth="1"/>
    <col min="39" max="39" width="16.42578125" style="306" customWidth="1"/>
    <col min="40" max="51" width="15.140625" style="306" customWidth="1"/>
    <col min="52" max="16384" width="16.7109375" style="306"/>
  </cols>
  <sheetData>
    <row r="1" spans="1:37" s="301" customFormat="1" ht="15.75" thickBot="1">
      <c r="A1" s="296"/>
      <c r="B1" s="297"/>
      <c r="C1" s="297"/>
      <c r="D1" s="297"/>
      <c r="E1" s="297"/>
      <c r="F1" s="297"/>
      <c r="G1" s="297"/>
      <c r="H1" s="297"/>
      <c r="I1" s="298"/>
      <c r="J1" s="298"/>
      <c r="K1" s="298"/>
      <c r="L1" s="298"/>
      <c r="M1" s="298"/>
      <c r="N1" s="298"/>
      <c r="O1" s="297"/>
      <c r="P1" s="297"/>
      <c r="Q1" s="299"/>
      <c r="R1" s="300"/>
    </row>
    <row r="2" spans="1:37" ht="19.5" thickBot="1">
      <c r="A2" s="296"/>
      <c r="B2" s="518" t="s">
        <v>711</v>
      </c>
      <c r="C2" s="518"/>
      <c r="D2" s="296"/>
      <c r="E2" s="296"/>
      <c r="F2" s="302" t="s">
        <v>712</v>
      </c>
      <c r="G2" s="303"/>
      <c r="H2" s="303"/>
      <c r="I2" s="304" t="s">
        <v>713</v>
      </c>
      <c r="J2" s="303"/>
      <c r="K2" s="303"/>
      <c r="L2" s="303"/>
      <c r="M2" s="305" t="s">
        <v>712</v>
      </c>
      <c r="O2" s="296"/>
      <c r="P2" s="297"/>
      <c r="R2" s="493" t="s">
        <v>714</v>
      </c>
      <c r="S2" s="481"/>
      <c r="T2" s="482"/>
      <c r="AH2" s="519" t="s">
        <v>715</v>
      </c>
      <c r="AI2" s="520"/>
      <c r="AJ2" s="520"/>
      <c r="AK2" s="521"/>
    </row>
    <row r="3" spans="1:37" ht="16.5" thickBot="1">
      <c r="A3" s="296"/>
      <c r="B3" s="296"/>
      <c r="C3" s="296"/>
      <c r="D3" s="296"/>
      <c r="E3" s="296"/>
      <c r="F3" s="311"/>
      <c r="G3" s="312"/>
      <c r="H3" s="313"/>
      <c r="I3" s="313"/>
      <c r="J3" s="313"/>
      <c r="K3" s="314" t="s">
        <v>716</v>
      </c>
      <c r="L3" s="313"/>
      <c r="M3" s="314" t="s">
        <v>717</v>
      </c>
      <c r="O3" s="296"/>
      <c r="P3" s="297"/>
      <c r="R3" s="306"/>
      <c r="T3" s="306" t="s">
        <v>718</v>
      </c>
      <c r="V3" s="315" t="s">
        <v>718</v>
      </c>
      <c r="W3" s="315" t="s">
        <v>718</v>
      </c>
      <c r="X3" s="315" t="s">
        <v>718</v>
      </c>
      <c r="Y3" s="315"/>
      <c r="Z3" s="315" t="s">
        <v>719</v>
      </c>
      <c r="AA3" s="315" t="s">
        <v>720</v>
      </c>
      <c r="AB3" s="315" t="s">
        <v>720</v>
      </c>
      <c r="AC3" s="315" t="s">
        <v>720</v>
      </c>
      <c r="AD3" s="315" t="s">
        <v>720</v>
      </c>
      <c r="AE3" s="315" t="s">
        <v>720</v>
      </c>
      <c r="AF3" s="315" t="s">
        <v>720</v>
      </c>
      <c r="AG3" s="315" t="s">
        <v>721</v>
      </c>
      <c r="AH3" s="315" t="s">
        <v>25</v>
      </c>
      <c r="AI3" s="315" t="s">
        <v>722</v>
      </c>
      <c r="AJ3" s="315"/>
    </row>
    <row r="4" spans="1:37" ht="19.5" thickBot="1">
      <c r="A4" s="296"/>
      <c r="B4" s="316" t="s">
        <v>723</v>
      </c>
      <c r="C4" s="304"/>
      <c r="D4" s="317"/>
      <c r="E4" s="296"/>
      <c r="F4" s="318"/>
      <c r="G4" s="312"/>
      <c r="H4" s="313" t="s">
        <v>724</v>
      </c>
      <c r="I4" s="313" t="s">
        <v>725</v>
      </c>
      <c r="J4" s="313" t="s">
        <v>726</v>
      </c>
      <c r="K4" s="313" t="s">
        <v>727</v>
      </c>
      <c r="L4" s="313" t="s">
        <v>728</v>
      </c>
      <c r="M4" s="313" t="s">
        <v>729</v>
      </c>
      <c r="O4" s="319"/>
      <c r="P4" s="297"/>
      <c r="R4" s="306"/>
      <c r="T4" s="315" t="s">
        <v>730</v>
      </c>
      <c r="V4" s="315" t="s">
        <v>731</v>
      </c>
      <c r="W4" s="315" t="s">
        <v>719</v>
      </c>
      <c r="X4" s="315" t="s">
        <v>732</v>
      </c>
      <c r="Y4" s="315" t="s">
        <v>733</v>
      </c>
      <c r="Z4" s="315" t="s">
        <v>732</v>
      </c>
      <c r="AA4" s="315" t="s">
        <v>734</v>
      </c>
      <c r="AB4" s="315" t="s">
        <v>734</v>
      </c>
      <c r="AC4" s="315" t="s">
        <v>734</v>
      </c>
      <c r="AD4" s="315" t="s">
        <v>719</v>
      </c>
      <c r="AE4" s="315" t="s">
        <v>730</v>
      </c>
      <c r="AF4" s="315" t="s">
        <v>730</v>
      </c>
      <c r="AG4" s="315" t="s">
        <v>735</v>
      </c>
      <c r="AH4" s="315" t="s">
        <v>736</v>
      </c>
      <c r="AI4" s="315" t="s">
        <v>737</v>
      </c>
      <c r="AJ4" s="315" t="s">
        <v>738</v>
      </c>
      <c r="AK4" s="315" t="s">
        <v>739</v>
      </c>
    </row>
    <row r="5" spans="1:37" ht="15.75">
      <c r="A5" s="296"/>
      <c r="B5" s="320" t="s">
        <v>740</v>
      </c>
      <c r="C5" s="321">
        <v>1770322.7060014545</v>
      </c>
      <c r="D5" s="317"/>
      <c r="E5" s="326"/>
      <c r="F5" s="322" t="s">
        <v>741</v>
      </c>
      <c r="G5" s="323"/>
      <c r="H5" s="323"/>
      <c r="I5" s="313" t="s">
        <v>742</v>
      </c>
      <c r="J5" s="313" t="s">
        <v>25</v>
      </c>
      <c r="K5" s="324" t="s">
        <v>743</v>
      </c>
      <c r="L5" s="325" t="s">
        <v>744</v>
      </c>
      <c r="M5" s="324" t="s">
        <v>25</v>
      </c>
      <c r="O5" s="326"/>
      <c r="P5" s="297"/>
      <c r="R5" s="327"/>
      <c r="T5" s="315" t="s">
        <v>745</v>
      </c>
      <c r="U5" s="315" t="s">
        <v>746</v>
      </c>
      <c r="V5" s="315" t="s">
        <v>747</v>
      </c>
      <c r="W5" s="315" t="s">
        <v>748</v>
      </c>
      <c r="X5" s="315" t="s">
        <v>749</v>
      </c>
      <c r="Y5" s="315" t="s">
        <v>750</v>
      </c>
      <c r="Z5" s="315" t="s">
        <v>749</v>
      </c>
      <c r="AA5" s="315" t="s">
        <v>751</v>
      </c>
      <c r="AB5" s="315" t="s">
        <v>752</v>
      </c>
      <c r="AC5" s="315" t="s">
        <v>753</v>
      </c>
      <c r="AD5" s="315" t="s">
        <v>754</v>
      </c>
      <c r="AE5" s="315" t="s">
        <v>745</v>
      </c>
      <c r="AF5" s="315" t="s">
        <v>755</v>
      </c>
      <c r="AG5" s="315" t="s">
        <v>756</v>
      </c>
      <c r="AH5" s="315" t="s">
        <v>757</v>
      </c>
      <c r="AI5" s="315" t="s">
        <v>757</v>
      </c>
      <c r="AJ5" s="315" t="s">
        <v>756</v>
      </c>
      <c r="AK5" s="315" t="s">
        <v>721</v>
      </c>
    </row>
    <row r="6" spans="1:37" ht="15.75">
      <c r="A6" s="296"/>
      <c r="B6" s="320" t="s">
        <v>758</v>
      </c>
      <c r="C6" s="483">
        <v>1878106.0652475196</v>
      </c>
      <c r="D6" s="317"/>
      <c r="E6" s="326"/>
      <c r="F6" s="329" t="s">
        <v>759</v>
      </c>
      <c r="G6" s="323"/>
      <c r="H6" s="323"/>
      <c r="I6" s="330"/>
      <c r="J6" s="331" t="s">
        <v>760</v>
      </c>
      <c r="K6" s="332"/>
      <c r="L6" s="331" t="s">
        <v>761</v>
      </c>
      <c r="M6" s="331" t="s">
        <v>762</v>
      </c>
      <c r="O6" s="326"/>
      <c r="P6" s="297"/>
      <c r="R6" s="367">
        <v>1</v>
      </c>
      <c r="S6" s="368">
        <f>Revenue/Investment*100</f>
        <v>612.38685350301398</v>
      </c>
      <c r="T6" s="335">
        <f>EXP(y_inter1-(slope*LN(+S6)))</f>
        <v>5.9754200160374644</v>
      </c>
      <c r="U6" s="336">
        <f>(+S6*T6/100)/100</f>
        <v>0.36592686619801124</v>
      </c>
      <c r="V6" s="336">
        <f>regDebt_weighted</f>
        <v>3.5860000000000003E-2</v>
      </c>
      <c r="W6" s="336">
        <f>+U6-V6</f>
        <v>0.33006686619801123</v>
      </c>
      <c r="X6" s="336">
        <f>+((W6*(1-0.34))-Pfd_weighted)/Equity_percent</f>
        <v>0.61527363863571916</v>
      </c>
      <c r="Y6" s="336">
        <f>+C15</f>
        <v>2.5000000000000001E-3</v>
      </c>
      <c r="Z6" s="336">
        <f>+X6+Y6</f>
        <v>0.6177736386357191</v>
      </c>
      <c r="AA6" s="336">
        <f>Z6*equityP</f>
        <v>0.31366513880674735</v>
      </c>
      <c r="AB6" s="336">
        <f>+AA6/(1-taxrate)</f>
        <v>0.39704447950221183</v>
      </c>
      <c r="AC6" s="336">
        <f>debtP*Debt_Rate</f>
        <v>1.4441329649252934E-2</v>
      </c>
      <c r="AD6" s="336">
        <f>AC6+AB6</f>
        <v>0.41148580915146477</v>
      </c>
      <c r="AE6" s="336">
        <f>AD6/(S6/100)</f>
        <v>6.7193769232252065E-2</v>
      </c>
      <c r="AF6" s="336">
        <f>1-AE6</f>
        <v>0.93280623076774793</v>
      </c>
      <c r="AG6" s="369">
        <f>expenses/(AF6)</f>
        <v>2013393.5680315308</v>
      </c>
      <c r="AH6" s="370">
        <f>+AG6-Revenue</f>
        <v>243070.86203007633</v>
      </c>
      <c r="AI6" s="339">
        <f ca="1">+AH6/$J$49</f>
        <v>266252.5130600108</v>
      </c>
      <c r="AJ6" s="339">
        <f ca="1">+AI6*$J$47</f>
        <v>5881.5746164830753</v>
      </c>
      <c r="AK6" s="369">
        <f ca="1">ROUND(+AJ6+AG6,5)</f>
        <v>2019275.1426500001</v>
      </c>
    </row>
    <row r="7" spans="1:37" ht="15.75">
      <c r="A7" s="296"/>
      <c r="B7" s="320" t="s">
        <v>763</v>
      </c>
      <c r="C7" s="483">
        <v>289085.68103229889</v>
      </c>
      <c r="D7" s="317"/>
      <c r="E7" s="326"/>
      <c r="F7" s="484">
        <v>1</v>
      </c>
      <c r="G7" s="323"/>
      <c r="H7" s="341" t="s">
        <v>740</v>
      </c>
      <c r="I7" s="342">
        <f>IF(A64=TRUE,C5,0)</f>
        <v>1770322.7060014545</v>
      </c>
      <c r="J7" s="342">
        <f ca="1">(+$I8/($R50))-I7</f>
        <v>238697.11804008391</v>
      </c>
      <c r="K7" s="342">
        <f ca="1">+I7+J7</f>
        <v>2009019.8240415384</v>
      </c>
      <c r="L7" s="342">
        <f ca="1">((+J7/J49*K35)-J7)</f>
        <v>5775.7433316647657</v>
      </c>
      <c r="M7" s="342">
        <f ca="1">IFERROR(+K7+L7,0.00001)</f>
        <v>2014795.5673732031</v>
      </c>
      <c r="O7" s="326"/>
      <c r="P7" s="297"/>
      <c r="R7" s="343">
        <v>2</v>
      </c>
      <c r="S7" s="344">
        <f>Revenue/Investment*100</f>
        <v>612.38685350301398</v>
      </c>
      <c r="T7" s="345">
        <f>EXP(y_inter1-(slope*LN(+S7)))</f>
        <v>5.9754200160374644</v>
      </c>
      <c r="U7" s="346">
        <f>(+S7*T7/100)/100</f>
        <v>0.36592686619801124</v>
      </c>
      <c r="V7" s="346">
        <f>regDebt_weighted</f>
        <v>3.5860000000000003E-2</v>
      </c>
      <c r="W7" s="346">
        <f>+U7-V7</f>
        <v>0.33006686619801123</v>
      </c>
      <c r="X7" s="346">
        <f>+((W7*(1-0.34))-Pfd_weighted)/Equity_percent</f>
        <v>0.61527363863571916</v>
      </c>
      <c r="Y7" s="346">
        <f>+Y6</f>
        <v>2.5000000000000001E-3</v>
      </c>
      <c r="Z7" s="346">
        <f>+X7+Y7</f>
        <v>0.6177736386357191</v>
      </c>
      <c r="AA7" s="346">
        <f>Z7*equityP</f>
        <v>0.31366513880674735</v>
      </c>
      <c r="AB7" s="346">
        <f>+AA7/(1-taxrate)</f>
        <v>0.39704447950221183</v>
      </c>
      <c r="AC7" s="346">
        <f>debtP*Debt_Rate</f>
        <v>1.4441329649252934E-2</v>
      </c>
      <c r="AD7" s="346">
        <f>AC7+AB7</f>
        <v>0.41148580915146477</v>
      </c>
      <c r="AE7" s="346">
        <f>AD7/(S7/100)</f>
        <v>6.7193769232252065E-2</v>
      </c>
      <c r="AF7" s="346">
        <f>1-AE7</f>
        <v>0.93280623076774793</v>
      </c>
      <c r="AG7" s="347">
        <f>expenses/(AF7)</f>
        <v>2013393.5680315308</v>
      </c>
      <c r="AH7" s="348">
        <f>+AG7-Revenue</f>
        <v>243070.86203007633</v>
      </c>
      <c r="AI7" s="349">
        <f ca="1">+AH7/$J$49</f>
        <v>266252.5130600108</v>
      </c>
      <c r="AJ7" s="349">
        <f ca="1">+AI7*$J$47</f>
        <v>5881.5746164830753</v>
      </c>
      <c r="AK7" s="347">
        <f ca="1">ROUND(+AJ7+AG7,5)</f>
        <v>2019275.1426500001</v>
      </c>
    </row>
    <row r="8" spans="1:37" ht="15.75">
      <c r="A8" s="296"/>
      <c r="B8" s="320" t="s">
        <v>764</v>
      </c>
      <c r="C8" s="363">
        <v>0.49226525835670143</v>
      </c>
      <c r="D8" s="317"/>
      <c r="E8" s="296"/>
      <c r="F8" s="351">
        <f>+F7+1</f>
        <v>2</v>
      </c>
      <c r="G8" s="323"/>
      <c r="H8" s="341" t="s">
        <v>758</v>
      </c>
      <c r="I8" s="342">
        <f>IF(A64=TRUE,C6,0)</f>
        <v>1878106.0652475196</v>
      </c>
      <c r="J8" s="352"/>
      <c r="K8" s="342">
        <f>+I8</f>
        <v>1878106.0652475196</v>
      </c>
      <c r="L8" s="342">
        <f ca="1">+L7</f>
        <v>5775.7433316647657</v>
      </c>
      <c r="M8" s="342">
        <f ca="1">IFERROR(+K8+L8,0.00001)</f>
        <v>1883881.8085791843</v>
      </c>
      <c r="O8" s="326"/>
      <c r="P8" s="297"/>
      <c r="R8" s="353">
        <v>3</v>
      </c>
      <c r="S8" s="344">
        <f>Revenue/Investment*100</f>
        <v>612.38685350301398</v>
      </c>
      <c r="T8" s="345">
        <f>EXP(y_inter1-(slope*LN(+S8)))</f>
        <v>5.9754200160374644</v>
      </c>
      <c r="U8" s="346">
        <f>(+S8*T8/100)/100</f>
        <v>0.36592686619801124</v>
      </c>
      <c r="V8" s="346">
        <f>regDebt_weighted</f>
        <v>3.5860000000000003E-2</v>
      </c>
      <c r="W8" s="346">
        <f>+U8-V8</f>
        <v>0.33006686619801123</v>
      </c>
      <c r="X8" s="346">
        <f>+((W8*(1-0.34))-Pfd_weighted)/Equity_percent</f>
        <v>0.61527363863571916</v>
      </c>
      <c r="Y8" s="346">
        <f>+Y7</f>
        <v>2.5000000000000001E-3</v>
      </c>
      <c r="Z8" s="346">
        <f>+X8+Y8</f>
        <v>0.6177736386357191</v>
      </c>
      <c r="AA8" s="346">
        <f>Z8*equityP</f>
        <v>0.31366513880674735</v>
      </c>
      <c r="AB8" s="346">
        <f>+AA8/(1-taxrate)</f>
        <v>0.39704447950221183</v>
      </c>
      <c r="AC8" s="346">
        <f>debtP*Debt_Rate</f>
        <v>1.4441329649252934E-2</v>
      </c>
      <c r="AD8" s="346">
        <f>AC8+AB8</f>
        <v>0.41148580915146477</v>
      </c>
      <c r="AE8" s="346">
        <f>AD8/(S8/100)</f>
        <v>6.7193769232252065E-2</v>
      </c>
      <c r="AF8" s="346">
        <f>1-AE8</f>
        <v>0.93280623076774793</v>
      </c>
      <c r="AG8" s="347">
        <f>expenses/(AF8)</f>
        <v>2013393.5680315308</v>
      </c>
      <c r="AH8" s="348">
        <f>+AG8-Revenue</f>
        <v>243070.86203007633</v>
      </c>
      <c r="AI8" s="349">
        <f ca="1">+AH8/$J$49</f>
        <v>266252.5130600108</v>
      </c>
      <c r="AJ8" s="349">
        <f ca="1">+AI8*$J$47</f>
        <v>5881.5746164830753</v>
      </c>
      <c r="AK8" s="347">
        <f ca="1">ROUND(+AJ8+AG8,5)</f>
        <v>2019275.1426500001</v>
      </c>
    </row>
    <row r="9" spans="1:37" ht="15.75">
      <c r="A9" s="296"/>
      <c r="B9" s="320" t="s">
        <v>765</v>
      </c>
      <c r="C9" s="363">
        <v>2.9336479477470194E-2</v>
      </c>
      <c r="D9" s="317"/>
      <c r="E9" s="296"/>
      <c r="F9" s="351">
        <f t="shared" ref="F9:F49" si="0">+F8+1</f>
        <v>3</v>
      </c>
      <c r="G9" s="323"/>
      <c r="H9" s="341" t="s">
        <v>766</v>
      </c>
      <c r="I9" s="485">
        <f>+I7-I8</f>
        <v>-107783.35924606514</v>
      </c>
      <c r="J9" s="312"/>
      <c r="K9" s="485">
        <f ca="1">+K7-K8</f>
        <v>130913.75879401877</v>
      </c>
      <c r="L9" s="323"/>
      <c r="M9" s="486">
        <f ca="1">+M7-M8</f>
        <v>130913.75879401877</v>
      </c>
      <c r="O9" s="326"/>
      <c r="P9" s="297"/>
      <c r="R9" s="356">
        <v>4</v>
      </c>
      <c r="S9" s="344">
        <f>Revenue/Investment*100</f>
        <v>612.38685350301398</v>
      </c>
      <c r="T9" s="345">
        <f>EXP(y_inter1-(slope*LN(+S9)))</f>
        <v>5.9754200160374644</v>
      </c>
      <c r="U9" s="346">
        <f>(+S9*T9/100)/100</f>
        <v>0.36592686619801124</v>
      </c>
      <c r="V9" s="346">
        <f>regDebt_weighted</f>
        <v>3.5860000000000003E-2</v>
      </c>
      <c r="W9" s="346">
        <f>+U9-V9</f>
        <v>0.33006686619801123</v>
      </c>
      <c r="X9" s="346">
        <f>+((W9*(1-0.34))-Pfd_weighted)/Equity_percent</f>
        <v>0.61527363863571916</v>
      </c>
      <c r="Y9" s="346">
        <f>+Y8</f>
        <v>2.5000000000000001E-3</v>
      </c>
      <c r="Z9" s="346">
        <f>+X9+Y9</f>
        <v>0.6177736386357191</v>
      </c>
      <c r="AA9" s="346">
        <f>Z9*equityP</f>
        <v>0.31366513880674735</v>
      </c>
      <c r="AB9" s="346">
        <f>+AA9/(1-taxrate)</f>
        <v>0.39704447950221183</v>
      </c>
      <c r="AC9" s="346">
        <f>debtP*Debt_Rate</f>
        <v>1.4441329649252934E-2</v>
      </c>
      <c r="AD9" s="346">
        <f>AC9+AB9</f>
        <v>0.41148580915146477</v>
      </c>
      <c r="AE9" s="346">
        <f>AD9/(S9/100)</f>
        <v>6.7193769232252065E-2</v>
      </c>
      <c r="AF9" s="346">
        <f>1-AE9</f>
        <v>0.93280623076774793</v>
      </c>
      <c r="AG9" s="347">
        <f>expenses/(AF9)</f>
        <v>2013393.5680315308</v>
      </c>
      <c r="AH9" s="348">
        <f>+AG9-Revenue</f>
        <v>243070.86203007633</v>
      </c>
      <c r="AI9" s="349">
        <f ca="1">+AH9/$J$49</f>
        <v>266252.5130600108</v>
      </c>
      <c r="AJ9" s="349">
        <f ca="1">+AI9*$J$47</f>
        <v>5881.5746164830753</v>
      </c>
      <c r="AK9" s="347">
        <f ca="1">ROUND(+AJ9+AG9,5)</f>
        <v>2019275.1426500001</v>
      </c>
    </row>
    <row r="10" spans="1:37" ht="15.75">
      <c r="A10" s="296"/>
      <c r="B10" s="357" t="s">
        <v>767</v>
      </c>
      <c r="C10" s="363">
        <v>0.21</v>
      </c>
      <c r="D10" s="317"/>
      <c r="E10" s="296"/>
      <c r="F10" s="351">
        <f t="shared" si="0"/>
        <v>4</v>
      </c>
      <c r="G10" s="323"/>
      <c r="H10" s="323"/>
      <c r="I10" s="312"/>
      <c r="J10" s="312"/>
      <c r="K10" s="342"/>
      <c r="L10" s="323"/>
      <c r="M10" s="323"/>
      <c r="O10" s="326"/>
      <c r="P10" s="296"/>
      <c r="R10" s="315" t="s">
        <v>768</v>
      </c>
    </row>
    <row r="11" spans="1:37" ht="15.75">
      <c r="A11" s="296"/>
      <c r="B11" s="320" t="s">
        <v>769</v>
      </c>
      <c r="C11" s="487">
        <v>1.4999999999999999E-2</v>
      </c>
      <c r="D11" s="317"/>
      <c r="E11" s="296"/>
      <c r="F11" s="351">
        <f t="shared" si="0"/>
        <v>5</v>
      </c>
      <c r="G11" s="323"/>
      <c r="H11" s="341" t="s">
        <v>770</v>
      </c>
      <c r="I11" s="342">
        <f>+K11</f>
        <v>4174.7816166662142</v>
      </c>
      <c r="J11" s="312"/>
      <c r="K11" s="342">
        <f>+M27</f>
        <v>4174.7816166662142</v>
      </c>
      <c r="L11" s="323"/>
      <c r="M11" s="342">
        <f>+K11</f>
        <v>4174.7816166662142</v>
      </c>
      <c r="O11" s="326"/>
      <c r="P11" s="296"/>
      <c r="R11" s="367">
        <v>1</v>
      </c>
      <c r="S11" s="368">
        <f ca="1">IF((AK6/Investment*100)&gt;0,(AK6/Investment*100),0)</f>
        <v>698.50403362745283</v>
      </c>
      <c r="T11" s="335">
        <f ca="1">EXP(y_inter1-(slope*LN(S11)))</f>
        <v>5.7429998518719385</v>
      </c>
      <c r="U11" s="336">
        <f ca="1">(+S11*T11/100)/100</f>
        <v>0.40115085616544127</v>
      </c>
      <c r="V11" s="336">
        <f>regDebt_weighted</f>
        <v>3.5860000000000003E-2</v>
      </c>
      <c r="W11" s="336">
        <f ca="1">+U11-V11</f>
        <v>0.36529085616544127</v>
      </c>
      <c r="X11" s="336">
        <f ca="1">+((W11*(1-0.34))-Pfd_weighted)/Equity_percent</f>
        <v>0.6828545496197419</v>
      </c>
      <c r="Y11" s="336">
        <f>+Y9</f>
        <v>2.5000000000000001E-3</v>
      </c>
      <c r="Z11" s="336">
        <f ca="1">+X11+Y11</f>
        <v>0.68535454961974185</v>
      </c>
      <c r="AA11" s="336">
        <f ca="1">Z11*equityP</f>
        <v>0.34797831518523886</v>
      </c>
      <c r="AB11" s="336">
        <f ca="1">+AA11/(1-taxrate)</f>
        <v>0.44047887998131502</v>
      </c>
      <c r="AC11" s="336">
        <f>debtP*Debt_Rate</f>
        <v>1.4441329649252934E-2</v>
      </c>
      <c r="AD11" s="336">
        <f ca="1">+AC11+AB11</f>
        <v>0.45492020963056795</v>
      </c>
      <c r="AE11" s="336">
        <f ca="1">+AD11/(S11/100)</f>
        <v>6.5127785628965984E-2</v>
      </c>
      <c r="AF11" s="336">
        <f ca="1">1-AE11</f>
        <v>0.93487221437103396</v>
      </c>
      <c r="AG11" s="369">
        <f ca="1">expenses/(AF11)</f>
        <v>2008944.1491328066</v>
      </c>
      <c r="AH11" s="370">
        <f ca="1">+AG11-Revenue</f>
        <v>238621.44313135208</v>
      </c>
      <c r="AI11" s="339">
        <f ca="1">+AH11/$J$49</f>
        <v>261378.75339359939</v>
      </c>
      <c r="AJ11" s="339">
        <f ca="1">+AI11*$J$47</f>
        <v>5773.9122293327855</v>
      </c>
      <c r="AK11" s="369">
        <f ca="1">ROUND(+AJ11+AG11,5)</f>
        <v>2014718.0613599999</v>
      </c>
    </row>
    <row r="12" spans="1:37" ht="15.75">
      <c r="A12" s="296"/>
      <c r="B12" s="320" t="s">
        <v>771</v>
      </c>
      <c r="C12" s="487">
        <v>5.1000000000000004E-3</v>
      </c>
      <c r="D12" s="317"/>
      <c r="E12" s="296"/>
      <c r="F12" s="351">
        <f t="shared" si="0"/>
        <v>6</v>
      </c>
      <c r="G12" s="323"/>
      <c r="H12" s="341" t="s">
        <v>772</v>
      </c>
      <c r="I12" s="342" t="e">
        <f ca="1">IF(I14&lt;0,0,+J38*I14)</f>
        <v>#REF!</v>
      </c>
      <c r="J12" s="342" t="e">
        <f ca="1">+K12-I12</f>
        <v>#REF!</v>
      </c>
      <c r="K12" s="342">
        <f ca="1">+(K9-K11)*taxrate</f>
        <v>26615.185207244034</v>
      </c>
      <c r="L12" s="323"/>
      <c r="M12" s="342">
        <f ca="1">+K12</f>
        <v>26615.185207244034</v>
      </c>
      <c r="O12" s="326"/>
      <c r="P12" s="296"/>
      <c r="R12" s="343">
        <v>2</v>
      </c>
      <c r="S12" s="344">
        <f ca="1">IF((AK7/Investment*100)&gt;0,(AK7/Investment*100),0)</f>
        <v>698.50403362745283</v>
      </c>
      <c r="T12" s="359">
        <f ca="1">EXP(y_inter2-(slope*LN(+S12)))</f>
        <v>5.7429998518719385</v>
      </c>
      <c r="U12" s="346">
        <f ca="1">(+S12*T12/100)/100</f>
        <v>0.40115085616544127</v>
      </c>
      <c r="V12" s="346">
        <f>regDebt_weighted</f>
        <v>3.5860000000000003E-2</v>
      </c>
      <c r="W12" s="346">
        <f ca="1">+U12-V12</f>
        <v>0.36529085616544127</v>
      </c>
      <c r="X12" s="346">
        <f ca="1">+((W12*(1-0.34))-Pfd_weighted)/Equity_percent</f>
        <v>0.6828545496197419</v>
      </c>
      <c r="Y12" s="346">
        <f>+Y11</f>
        <v>2.5000000000000001E-3</v>
      </c>
      <c r="Z12" s="346">
        <f ca="1">+X12+Y12</f>
        <v>0.68535454961974185</v>
      </c>
      <c r="AA12" s="346">
        <f ca="1">Z12*equityP</f>
        <v>0.34797831518523886</v>
      </c>
      <c r="AB12" s="346">
        <f ca="1">+AA12/(1-taxrate)</f>
        <v>0.44047887998131502</v>
      </c>
      <c r="AC12" s="346">
        <f>debtP*Debt_Rate</f>
        <v>1.4441329649252934E-2</v>
      </c>
      <c r="AD12" s="346">
        <f ca="1">+AC12+AB12</f>
        <v>0.45492020963056795</v>
      </c>
      <c r="AE12" s="346">
        <f ca="1">+AD12/(S12/100)</f>
        <v>6.5127785628965984E-2</v>
      </c>
      <c r="AF12" s="346">
        <f ca="1">1-AE12</f>
        <v>0.93487221437103396</v>
      </c>
      <c r="AG12" s="347">
        <f ca="1">expenses/(AF12)</f>
        <v>2008944.1491328066</v>
      </c>
      <c r="AH12" s="348">
        <f ca="1">+AG12-Revenue</f>
        <v>238621.44313135208</v>
      </c>
      <c r="AI12" s="349">
        <f ca="1">+AH12/$J$49</f>
        <v>261378.75339359939</v>
      </c>
      <c r="AJ12" s="349">
        <f ca="1">+AI12*$J$47</f>
        <v>5773.9122293327855</v>
      </c>
      <c r="AK12" s="347">
        <f ca="1">ROUND(+AJ12+AG12,5)</f>
        <v>2014718.0613599999</v>
      </c>
    </row>
    <row r="13" spans="1:37" ht="15.75">
      <c r="A13" s="296"/>
      <c r="B13" s="320" t="s">
        <v>773</v>
      </c>
      <c r="C13" s="487">
        <v>0</v>
      </c>
      <c r="D13" s="317"/>
      <c r="E13" s="296"/>
      <c r="F13" s="351">
        <f t="shared" si="0"/>
        <v>7</v>
      </c>
      <c r="G13" s="323"/>
      <c r="H13" s="323"/>
      <c r="I13" s="312"/>
      <c r="J13" s="312"/>
      <c r="K13" s="342"/>
      <c r="L13" s="323"/>
      <c r="M13" s="323"/>
      <c r="O13" s="326"/>
      <c r="P13" s="296"/>
      <c r="R13" s="353">
        <v>3</v>
      </c>
      <c r="S13" s="344">
        <f ca="1">IF((AK8/Investment*100)&gt;0,(AK8/Investment*100),0)</f>
        <v>698.50403362745283</v>
      </c>
      <c r="T13" s="345">
        <f ca="1">EXP(y_inter3-(slope*LN(S13)))</f>
        <v>5.7429998518719385</v>
      </c>
      <c r="U13" s="346">
        <f ca="1">(+S13*T13/100)/100</f>
        <v>0.40115085616544127</v>
      </c>
      <c r="V13" s="346">
        <f>regDebt_weighted</f>
        <v>3.5860000000000003E-2</v>
      </c>
      <c r="W13" s="346">
        <f ca="1">+U13-V13</f>
        <v>0.36529085616544127</v>
      </c>
      <c r="X13" s="346">
        <f ca="1">+((W13*(1-0.34))-Pfd_weighted)/Equity_percent</f>
        <v>0.6828545496197419</v>
      </c>
      <c r="Y13" s="346">
        <f>+Y12</f>
        <v>2.5000000000000001E-3</v>
      </c>
      <c r="Z13" s="346">
        <f ca="1">+X13+Y13</f>
        <v>0.68535454961974185</v>
      </c>
      <c r="AA13" s="346">
        <f ca="1">Z13*equityP</f>
        <v>0.34797831518523886</v>
      </c>
      <c r="AB13" s="346">
        <f ca="1">+AA13/(1-taxrate)</f>
        <v>0.44047887998131502</v>
      </c>
      <c r="AC13" s="346">
        <f>debtP*Debt_Rate</f>
        <v>1.4441329649252934E-2</v>
      </c>
      <c r="AD13" s="346">
        <f ca="1">+AC13+AB13</f>
        <v>0.45492020963056795</v>
      </c>
      <c r="AE13" s="346">
        <f ca="1">+AD13/(S13/100)</f>
        <v>6.5127785628965984E-2</v>
      </c>
      <c r="AF13" s="346">
        <f ca="1">1-AE13</f>
        <v>0.93487221437103396</v>
      </c>
      <c r="AG13" s="347">
        <f ca="1">expenses/(AF13)</f>
        <v>2008944.1491328066</v>
      </c>
      <c r="AH13" s="348">
        <f ca="1">+AG13-Revenue</f>
        <v>238621.44313135208</v>
      </c>
      <c r="AI13" s="349">
        <f ca="1">+AH13/$J$49</f>
        <v>261378.75339359939</v>
      </c>
      <c r="AJ13" s="349">
        <f ca="1">+AI13*$J$47</f>
        <v>5773.9122293327855</v>
      </c>
      <c r="AK13" s="347">
        <f ca="1">ROUND(+AJ13+AG13,5)</f>
        <v>2014718.0613599999</v>
      </c>
    </row>
    <row r="14" spans="1:37" ht="16.5" thickBot="1">
      <c r="A14" s="296"/>
      <c r="B14" s="360" t="s">
        <v>774</v>
      </c>
      <c r="C14" s="487">
        <v>1.9902125913734531E-3</v>
      </c>
      <c r="D14" s="317"/>
      <c r="E14" s="296"/>
      <c r="F14" s="351">
        <f t="shared" si="0"/>
        <v>8</v>
      </c>
      <c r="G14" s="323"/>
      <c r="H14" s="323" t="s">
        <v>775</v>
      </c>
      <c r="I14" s="488" t="e">
        <f ca="1">+I9-SUM(I11:I13)</f>
        <v>#REF!</v>
      </c>
      <c r="J14" s="312"/>
      <c r="K14" s="488">
        <f ca="1">+K9-SUM(K11:K13)</f>
        <v>100123.79197010852</v>
      </c>
      <c r="L14" s="323"/>
      <c r="M14" s="488">
        <f ca="1">+M9-SUM(M11:M13)</f>
        <v>100123.79197010852</v>
      </c>
      <c r="O14" s="326"/>
      <c r="P14" s="296"/>
      <c r="R14" s="356">
        <v>4</v>
      </c>
      <c r="S14" s="344">
        <f ca="1">IF((AK9/Investment*100)&gt;0,(AK9/Investment*100),0)</f>
        <v>698.50403362745283</v>
      </c>
      <c r="T14" s="362">
        <f ca="1">EXP(y_inter4-(slope*LN(S14)))</f>
        <v>5.7429998518719385</v>
      </c>
      <c r="U14" s="346">
        <f ca="1">(+S14*T14/100)/100</f>
        <v>0.40115085616544127</v>
      </c>
      <c r="V14" s="346">
        <f>regDebt_weighted</f>
        <v>3.5860000000000003E-2</v>
      </c>
      <c r="W14" s="346">
        <f ca="1">+U14-V14</f>
        <v>0.36529085616544127</v>
      </c>
      <c r="X14" s="346">
        <f ca="1">+((W14*(1-0.34))-Pfd_weighted)/Equity_percent</f>
        <v>0.6828545496197419</v>
      </c>
      <c r="Y14" s="346">
        <f>+Y13</f>
        <v>2.5000000000000001E-3</v>
      </c>
      <c r="Z14" s="346">
        <f ca="1">+X14+Y14</f>
        <v>0.68535454961974185</v>
      </c>
      <c r="AA14" s="346">
        <f ca="1">Z14*equityP</f>
        <v>0.34797831518523886</v>
      </c>
      <c r="AB14" s="346">
        <f ca="1">+AA14/(1-taxrate)</f>
        <v>0.44047887998131502</v>
      </c>
      <c r="AC14" s="346">
        <f>debtP*Debt_Rate</f>
        <v>1.4441329649252934E-2</v>
      </c>
      <c r="AD14" s="346">
        <f ca="1">+AC14+AB14</f>
        <v>0.45492020963056795</v>
      </c>
      <c r="AE14" s="346">
        <f ca="1">+AD14/(S14/100)</f>
        <v>6.5127785628965984E-2</v>
      </c>
      <c r="AF14" s="346">
        <f ca="1">1-AE14</f>
        <v>0.93487221437103396</v>
      </c>
      <c r="AG14" s="347">
        <f ca="1">expenses/(AF14)</f>
        <v>2008944.1491328066</v>
      </c>
      <c r="AH14" s="348">
        <f ca="1">+AG14-Revenue</f>
        <v>238621.44313135208</v>
      </c>
      <c r="AI14" s="349">
        <f ca="1">+AH14/$J$49</f>
        <v>261378.75339359939</v>
      </c>
      <c r="AJ14" s="349">
        <f ca="1">+AI14*$J$47</f>
        <v>5773.9122293327855</v>
      </c>
      <c r="AK14" s="347">
        <f ca="1">ROUND(+AJ14+AG14,5)</f>
        <v>2014718.0613599999</v>
      </c>
    </row>
    <row r="15" spans="1:37" ht="16.5" thickTop="1">
      <c r="A15" s="296"/>
      <c r="B15" s="360" t="s">
        <v>776</v>
      </c>
      <c r="C15" s="363">
        <v>2.5000000000000001E-3</v>
      </c>
      <c r="D15" s="296"/>
      <c r="E15" s="296"/>
      <c r="F15" s="351">
        <f t="shared" si="0"/>
        <v>9</v>
      </c>
      <c r="G15" s="312"/>
      <c r="H15" s="312"/>
      <c r="I15" s="312"/>
      <c r="J15" s="312"/>
      <c r="K15" s="352"/>
      <c r="L15" s="312"/>
      <c r="M15" s="312"/>
      <c r="O15" s="326"/>
      <c r="P15" s="296"/>
      <c r="R15" s="315" t="s">
        <v>777</v>
      </c>
    </row>
    <row r="16" spans="1:37" ht="15.75">
      <c r="A16" s="296"/>
      <c r="B16" s="296"/>
      <c r="C16" s="296"/>
      <c r="D16" s="317" t="s">
        <v>778</v>
      </c>
      <c r="E16" s="296"/>
      <c r="F16" s="351">
        <f t="shared" si="0"/>
        <v>10</v>
      </c>
      <c r="G16" s="312"/>
      <c r="H16" s="341" t="s">
        <v>779</v>
      </c>
      <c r="I16" s="364">
        <f>+I8/I7</f>
        <v>1.0608834529889244</v>
      </c>
      <c r="J16" s="365"/>
      <c r="K16" s="364">
        <f ca="1">+K8/K7</f>
        <v>0.93483700000000003</v>
      </c>
      <c r="L16" s="366"/>
      <c r="M16" s="364">
        <f ca="1">+M8/M7</f>
        <v>0.93502380047187716</v>
      </c>
      <c r="O16" s="326"/>
      <c r="P16" s="296"/>
      <c r="R16" s="367">
        <v>1</v>
      </c>
      <c r="S16" s="368">
        <f ca="1">AK11/Investment*100</f>
        <v>696.92765624558911</v>
      </c>
      <c r="T16" s="335">
        <f ca="1">EXP(y_inter1-(slope*LN(+S16)))</f>
        <v>5.7469134935311468</v>
      </c>
      <c r="U16" s="336">
        <f ca="1">(+S16*T16/100)/100</f>
        <v>0.40051829516928128</v>
      </c>
      <c r="V16" s="336">
        <f>regDebt_weighted</f>
        <v>3.5860000000000003E-2</v>
      </c>
      <c r="W16" s="336">
        <f ca="1">+U16-V16</f>
        <v>0.36465829516928128</v>
      </c>
      <c r="X16" s="336">
        <f ca="1">+((W16*(1-0.34))-Pfd_weighted)/Equity_percent</f>
        <v>0.68164091515036518</v>
      </c>
      <c r="Y16" s="336">
        <f>+Y14</f>
        <v>2.5000000000000001E-3</v>
      </c>
      <c r="Z16" s="336">
        <f ca="1">+X16+Y16</f>
        <v>0.68414091515036513</v>
      </c>
      <c r="AA16" s="336">
        <f ca="1">Z16*equityP</f>
        <v>0.34736211080148049</v>
      </c>
      <c r="AB16" s="336">
        <f ca="1">+AA16/(1-taxrate)</f>
        <v>0.43969887443225375</v>
      </c>
      <c r="AC16" s="336">
        <f>debtP*Debt_Rate</f>
        <v>1.4441329649252934E-2</v>
      </c>
      <c r="AD16" s="336">
        <f ca="1">+AC16+AB16</f>
        <v>0.45414020408150668</v>
      </c>
      <c r="AE16" s="336">
        <f ca="1">+AD16/(S16/100)</f>
        <v>6.516317726979011E-2</v>
      </c>
      <c r="AF16" s="336">
        <f ca="1">1-AE16</f>
        <v>0.93483682273020985</v>
      </c>
      <c r="AG16" s="369">
        <f ca="1">expenses/(AF16)</f>
        <v>2009020.2050048402</v>
      </c>
      <c r="AH16" s="370">
        <f ca="1">+AG16-Revenue</f>
        <v>238697.49900338566</v>
      </c>
      <c r="AI16" s="339">
        <f ca="1">+AH16/$J$49</f>
        <v>261462.06270880398</v>
      </c>
      <c r="AJ16" s="339">
        <f ca="1">+AI16*$J$47</f>
        <v>5775.7525498164969</v>
      </c>
      <c r="AK16" s="369">
        <f ca="1">ROUND(+AJ16+AG16,5)</f>
        <v>2014795.9575499999</v>
      </c>
    </row>
    <row r="17" spans="1:37" ht="15.75">
      <c r="A17" s="296"/>
      <c r="B17" s="489" t="s">
        <v>780</v>
      </c>
      <c r="C17" s="372"/>
      <c r="D17" s="296" t="s">
        <v>781</v>
      </c>
      <c r="E17" s="296"/>
      <c r="F17" s="351">
        <f t="shared" si="0"/>
        <v>11</v>
      </c>
      <c r="G17" s="312"/>
      <c r="H17" s="312"/>
      <c r="I17" s="312"/>
      <c r="K17" s="312"/>
      <c r="L17" s="341"/>
      <c r="M17" s="341"/>
      <c r="N17" s="364"/>
      <c r="O17" s="296"/>
      <c r="P17" s="296"/>
      <c r="R17" s="343">
        <v>2</v>
      </c>
      <c r="S17" s="344">
        <f ca="1">AK12/Investment*100</f>
        <v>696.92765624558911</v>
      </c>
      <c r="T17" s="359">
        <f ca="1">EXP(y_inter2-(slope*LN(+S17)))</f>
        <v>5.7469134935311468</v>
      </c>
      <c r="U17" s="346">
        <f ca="1">(+S17*T17/100)/100</f>
        <v>0.40051829516928128</v>
      </c>
      <c r="V17" s="346">
        <f>regDebt_weighted</f>
        <v>3.5860000000000003E-2</v>
      </c>
      <c r="W17" s="346">
        <f ca="1">+U17-V17</f>
        <v>0.36465829516928128</v>
      </c>
      <c r="X17" s="346">
        <f ca="1">+((W17*(1-0.34))-Pfd_weighted)/Equity_percent</f>
        <v>0.68164091515036518</v>
      </c>
      <c r="Y17" s="346">
        <f>+Y16</f>
        <v>2.5000000000000001E-3</v>
      </c>
      <c r="Z17" s="346">
        <f ca="1">+X17+Y17</f>
        <v>0.68414091515036513</v>
      </c>
      <c r="AA17" s="346">
        <f ca="1">Z17*equityP</f>
        <v>0.34736211080148049</v>
      </c>
      <c r="AB17" s="346">
        <f ca="1">+AA17/(1-taxrate)</f>
        <v>0.43969887443225375</v>
      </c>
      <c r="AC17" s="346">
        <f>debtP*Debt_Rate</f>
        <v>1.4441329649252934E-2</v>
      </c>
      <c r="AD17" s="346">
        <f ca="1">+AC17+AB17</f>
        <v>0.45414020408150668</v>
      </c>
      <c r="AE17" s="346">
        <f ca="1">+AD17/(S17/100)</f>
        <v>6.516317726979011E-2</v>
      </c>
      <c r="AF17" s="346">
        <f ca="1">1-AE17</f>
        <v>0.93483682273020985</v>
      </c>
      <c r="AG17" s="347">
        <f ca="1">expenses/(AF17)</f>
        <v>2009020.2050048402</v>
      </c>
      <c r="AH17" s="348">
        <f ca="1">+AG17-Revenue</f>
        <v>238697.49900338566</v>
      </c>
      <c r="AI17" s="349">
        <f ca="1">+AH17/$J$49</f>
        <v>261462.06270880398</v>
      </c>
      <c r="AJ17" s="349">
        <f ca="1">+AI17*$J$47</f>
        <v>5775.7525498164969</v>
      </c>
      <c r="AK17" s="347">
        <f ca="1">ROUND(+AJ17+AG17,5)</f>
        <v>2014795.9575499999</v>
      </c>
    </row>
    <row r="18" spans="1:37" ht="15.75">
      <c r="A18" s="296"/>
      <c r="B18" s="522"/>
      <c r="C18" s="522"/>
      <c r="D18" s="296"/>
      <c r="E18" s="296"/>
      <c r="F18" s="351">
        <f t="shared" si="0"/>
        <v>12</v>
      </c>
      <c r="G18" s="312"/>
      <c r="H18" s="373" t="s">
        <v>461</v>
      </c>
      <c r="I18" s="374"/>
      <c r="J18" s="374"/>
      <c r="K18" s="374"/>
      <c r="L18" s="374"/>
      <c r="M18" s="375"/>
      <c r="O18" s="296"/>
      <c r="P18" s="296"/>
      <c r="R18" s="353">
        <v>3</v>
      </c>
      <c r="S18" s="344">
        <f ca="1">AK13/Investment*100</f>
        <v>696.92765624558911</v>
      </c>
      <c r="T18" s="345">
        <f ca="1">EXP(y_inter3-(slope*LN(S18)))</f>
        <v>5.7469134935311468</v>
      </c>
      <c r="U18" s="346">
        <f ca="1">(+S18*T18/100)/100</f>
        <v>0.40051829516928128</v>
      </c>
      <c r="V18" s="346">
        <f>regDebt_weighted</f>
        <v>3.5860000000000003E-2</v>
      </c>
      <c r="W18" s="346">
        <f ca="1">+U18-V18</f>
        <v>0.36465829516928128</v>
      </c>
      <c r="X18" s="346">
        <f ca="1">+((W18*(1-0.34))-Pfd_weighted)/Equity_percent</f>
        <v>0.68164091515036518</v>
      </c>
      <c r="Y18" s="346">
        <f>+Y17</f>
        <v>2.5000000000000001E-3</v>
      </c>
      <c r="Z18" s="346">
        <f ca="1">+X18+Y18</f>
        <v>0.68414091515036513</v>
      </c>
      <c r="AA18" s="346">
        <f ca="1">Z18*equityP</f>
        <v>0.34736211080148049</v>
      </c>
      <c r="AB18" s="346">
        <f ca="1">+AA18/(1-taxrate)</f>
        <v>0.43969887443225375</v>
      </c>
      <c r="AC18" s="346">
        <f>debtP*Debt_Rate</f>
        <v>1.4441329649252934E-2</v>
      </c>
      <c r="AD18" s="346">
        <f ca="1">+AC18+AB18</f>
        <v>0.45414020408150668</v>
      </c>
      <c r="AE18" s="346">
        <f ca="1">+AD18/(S18/100)</f>
        <v>6.516317726979011E-2</v>
      </c>
      <c r="AF18" s="346">
        <f ca="1">1-AE18</f>
        <v>0.93483682273020985</v>
      </c>
      <c r="AG18" s="347">
        <f ca="1">expenses/(AF18)</f>
        <v>2009020.2050048402</v>
      </c>
      <c r="AH18" s="348">
        <f ca="1">+AG18-Revenue</f>
        <v>238697.49900338566</v>
      </c>
      <c r="AI18" s="349">
        <f ca="1">+AH18/$J$49</f>
        <v>261462.06270880398</v>
      </c>
      <c r="AJ18" s="349">
        <f ca="1">+AI18*$J$47</f>
        <v>5775.7525498164969</v>
      </c>
      <c r="AK18" s="347">
        <f ca="1">ROUND(+AJ18+AG18,5)</f>
        <v>2014795.9575499999</v>
      </c>
    </row>
    <row r="19" spans="1:37" ht="15.75">
      <c r="A19" s="296"/>
      <c r="B19" s="523" t="s">
        <v>782</v>
      </c>
      <c r="C19" s="523"/>
      <c r="D19" s="296"/>
      <c r="E19" s="296"/>
      <c r="F19" s="351">
        <f t="shared" si="0"/>
        <v>13</v>
      </c>
      <c r="G19" s="312"/>
      <c r="H19" s="318"/>
      <c r="I19" s="341" t="s">
        <v>783</v>
      </c>
      <c r="J19" s="342">
        <f>+Revenue</f>
        <v>1770322.7060014545</v>
      </c>
      <c r="K19" s="376"/>
      <c r="L19" s="341" t="s">
        <v>784</v>
      </c>
      <c r="M19" s="377">
        <f ca="1">+J7</f>
        <v>238697.11804008391</v>
      </c>
      <c r="O19" s="296"/>
      <c r="P19" s="296"/>
      <c r="R19" s="356">
        <v>4</v>
      </c>
      <c r="S19" s="344">
        <f ca="1">AK14/Investment*100</f>
        <v>696.92765624558911</v>
      </c>
      <c r="T19" s="362">
        <f ca="1">EXP(y_inter4-(slope*LN(S19)))</f>
        <v>5.7469134935311468</v>
      </c>
      <c r="U19" s="346">
        <f ca="1">(+S19*T19/100)/100</f>
        <v>0.40051829516928128</v>
      </c>
      <c r="V19" s="346">
        <f>regDebt_weighted</f>
        <v>3.5860000000000003E-2</v>
      </c>
      <c r="W19" s="346">
        <f ca="1">+U19-V19</f>
        <v>0.36465829516928128</v>
      </c>
      <c r="X19" s="346">
        <f ca="1">+((W19*(1-0.34))-Pfd_weighted)/Equity_percent</f>
        <v>0.68164091515036518</v>
      </c>
      <c r="Y19" s="346">
        <f>+Y18</f>
        <v>2.5000000000000001E-3</v>
      </c>
      <c r="Z19" s="346">
        <f ca="1">+X19+Y19</f>
        <v>0.68414091515036513</v>
      </c>
      <c r="AA19" s="346">
        <f ca="1">Z19*equityP</f>
        <v>0.34736211080148049</v>
      </c>
      <c r="AB19" s="346">
        <f ca="1">+AA19/(1-taxrate)</f>
        <v>0.43969887443225375</v>
      </c>
      <c r="AC19" s="346">
        <f>debtP*Debt_Rate</f>
        <v>1.4441329649252934E-2</v>
      </c>
      <c r="AD19" s="346">
        <f ca="1">+AC19+AB19</f>
        <v>0.45414020408150668</v>
      </c>
      <c r="AE19" s="346">
        <f ca="1">+AD19/(S19/100)</f>
        <v>6.516317726979011E-2</v>
      </c>
      <c r="AF19" s="346">
        <f ca="1">1-AE19</f>
        <v>0.93483682273020985</v>
      </c>
      <c r="AG19" s="347">
        <f ca="1">expenses/(AF19)</f>
        <v>2009020.2050048402</v>
      </c>
      <c r="AH19" s="348">
        <f ca="1">+AG19-Revenue</f>
        <v>238697.49900338566</v>
      </c>
      <c r="AI19" s="349">
        <f ca="1">+AH19/$J$49</f>
        <v>261462.06270880398</v>
      </c>
      <c r="AJ19" s="349">
        <f ca="1">+AI19*$J$47</f>
        <v>5775.7525498164969</v>
      </c>
      <c r="AK19" s="347">
        <f ca="1">ROUND(+AJ19+AG19,5)</f>
        <v>2014795.9575499999</v>
      </c>
    </row>
    <row r="20" spans="1:37" ht="15.75">
      <c r="A20" s="296"/>
      <c r="B20" s="372"/>
      <c r="C20" s="296"/>
      <c r="D20" s="296"/>
      <c r="E20" s="296"/>
      <c r="F20" s="351">
        <f t="shared" si="0"/>
        <v>14</v>
      </c>
      <c r="G20" s="312"/>
      <c r="H20" s="318"/>
      <c r="I20" s="341" t="s">
        <v>472</v>
      </c>
      <c r="J20" s="342">
        <f ca="1">+J21-J19</f>
        <v>244472.86137174862</v>
      </c>
      <c r="K20" s="378"/>
      <c r="L20" s="341" t="s">
        <v>785</v>
      </c>
      <c r="M20" s="377">
        <f ca="1">+L8</f>
        <v>5775.7433316647657</v>
      </c>
      <c r="O20" s="296"/>
      <c r="P20" s="296"/>
      <c r="R20" s="315" t="s">
        <v>786</v>
      </c>
    </row>
    <row r="21" spans="1:37" ht="16.5" thickBot="1">
      <c r="A21" s="296"/>
      <c r="B21" s="372"/>
      <c r="C21" s="372"/>
      <c r="D21" s="296"/>
      <c r="E21" s="296"/>
      <c r="F21" s="351">
        <f t="shared" si="0"/>
        <v>15</v>
      </c>
      <c r="G21" s="312"/>
      <c r="H21" s="318"/>
      <c r="I21" s="379" t="s">
        <v>461</v>
      </c>
      <c r="J21" s="380">
        <f ca="1">+M7</f>
        <v>2014795.5673732031</v>
      </c>
      <c r="L21" s="379" t="s">
        <v>472</v>
      </c>
      <c r="M21" s="381">
        <f ca="1">+M19+M20</f>
        <v>244472.86137174867</v>
      </c>
      <c r="O21" s="296"/>
      <c r="P21" s="382"/>
      <c r="R21" s="367">
        <v>1</v>
      </c>
      <c r="S21" s="368">
        <f ca="1">AK16/Investment*100</f>
        <v>696.95460195584417</v>
      </c>
      <c r="T21" s="335">
        <f ca="1">EXP(y_inter1-(slope*LN(+S21)))</f>
        <v>5.7468464991788029</v>
      </c>
      <c r="U21" s="336">
        <f ca="1">(+S21*T21/100)/100</f>
        <v>0.40052911143364989</v>
      </c>
      <c r="V21" s="336">
        <f>regDebt_weighted</f>
        <v>3.5860000000000003E-2</v>
      </c>
      <c r="W21" s="336">
        <f ca="1">+U21-V21</f>
        <v>0.36466911143364988</v>
      </c>
      <c r="X21" s="336">
        <f ca="1">+((W21*(1-0.34))-Pfd_weighted)/Equity_percent</f>
        <v>0.68166166728549105</v>
      </c>
      <c r="Y21" s="336">
        <f>+Y19</f>
        <v>2.5000000000000001E-3</v>
      </c>
      <c r="Z21" s="336">
        <f ca="1">+X21+Y21</f>
        <v>0.68416166728549099</v>
      </c>
      <c r="AA21" s="336">
        <f ca="1">Z21*equityP</f>
        <v>0.34737264738144719</v>
      </c>
      <c r="AB21" s="336">
        <f ca="1">+AA21/(1-taxrate)</f>
        <v>0.43971221187524956</v>
      </c>
      <c r="AC21" s="336">
        <f>debtP*Debt_Rate</f>
        <v>1.4441329649252934E-2</v>
      </c>
      <c r="AD21" s="336">
        <f ca="1">+AC21+AB21</f>
        <v>0.45415354152450249</v>
      </c>
      <c r="AE21" s="336">
        <f ca="1">+AD21/(S21/100)</f>
        <v>6.5162571600793529E-2</v>
      </c>
      <c r="AF21" s="336">
        <f ca="1">1-AE21</f>
        <v>0.93483742839920647</v>
      </c>
      <c r="AG21" s="369">
        <f ca="1">expenses/(AF21)</f>
        <v>2009018.9033868103</v>
      </c>
      <c r="AH21" s="370">
        <f ca="1">+AG21-Revenue</f>
        <v>238696.19738535583</v>
      </c>
      <c r="AI21" s="339">
        <f ca="1">+AH21/$J$49</f>
        <v>261460.6369555541</v>
      </c>
      <c r="AJ21" s="339">
        <f ca="1">+AI21*$J$47</f>
        <v>5775.721054624104</v>
      </c>
      <c r="AK21" s="369">
        <f ca="1">ROUND(+AJ21+AG21,5)</f>
        <v>2014794.6244399999</v>
      </c>
    </row>
    <row r="22" spans="1:37" ht="21" customHeight="1" thickTop="1">
      <c r="A22" s="296"/>
      <c r="B22" s="372"/>
      <c r="C22" s="296"/>
      <c r="D22" s="296"/>
      <c r="E22" s="296"/>
      <c r="F22" s="351">
        <f t="shared" si="0"/>
        <v>16</v>
      </c>
      <c r="G22" s="312"/>
      <c r="H22" s="383"/>
      <c r="I22" s="384"/>
      <c r="J22" s="385" t="s">
        <v>787</v>
      </c>
      <c r="K22" s="386">
        <f ca="1">+(J21/J19)-1</f>
        <v>0.13809508319753072</v>
      </c>
      <c r="L22" s="384"/>
      <c r="M22" s="387"/>
      <c r="O22" s="296"/>
      <c r="P22" s="296"/>
      <c r="R22" s="343">
        <v>2</v>
      </c>
      <c r="S22" s="344">
        <f ca="1">AK17/Investment*100</f>
        <v>696.95460195584417</v>
      </c>
      <c r="T22" s="359">
        <f ca="1">EXP(y_inter2-(slope*LN(+S22)))</f>
        <v>5.7468464991788029</v>
      </c>
      <c r="U22" s="346">
        <f ca="1">(+S22*T22/100)/100</f>
        <v>0.40052911143364989</v>
      </c>
      <c r="V22" s="346">
        <f>regDebt_weighted</f>
        <v>3.5860000000000003E-2</v>
      </c>
      <c r="W22" s="346">
        <f ca="1">+U22-V22</f>
        <v>0.36466911143364988</v>
      </c>
      <c r="X22" s="346">
        <f ca="1">+((W22*(1-0.34))-Pfd_weighted)/Equity_percent</f>
        <v>0.68166166728549105</v>
      </c>
      <c r="Y22" s="346">
        <f>+Y21</f>
        <v>2.5000000000000001E-3</v>
      </c>
      <c r="Z22" s="346">
        <f ca="1">+X22+Y22</f>
        <v>0.68416166728549099</v>
      </c>
      <c r="AA22" s="346">
        <f ca="1">Z22*equityP</f>
        <v>0.34737264738144719</v>
      </c>
      <c r="AB22" s="346">
        <f ca="1">+AA22/(1-taxrate)</f>
        <v>0.43971221187524956</v>
      </c>
      <c r="AC22" s="346">
        <f>debtP*Debt_Rate</f>
        <v>1.4441329649252934E-2</v>
      </c>
      <c r="AD22" s="346">
        <f ca="1">+AC22+AB22</f>
        <v>0.45415354152450249</v>
      </c>
      <c r="AE22" s="346">
        <f ca="1">+AD22/(S22/100)</f>
        <v>6.5162571600793529E-2</v>
      </c>
      <c r="AF22" s="346">
        <f ca="1">1-AE22</f>
        <v>0.93483742839920647</v>
      </c>
      <c r="AG22" s="347">
        <f ca="1">expenses/(AF22)</f>
        <v>2009018.9033868103</v>
      </c>
      <c r="AH22" s="348">
        <f ca="1">+AG22-Revenue</f>
        <v>238696.19738535583</v>
      </c>
      <c r="AI22" s="349">
        <f ca="1">+AH22/$J$49</f>
        <v>261460.6369555541</v>
      </c>
      <c r="AJ22" s="349">
        <f ca="1">+AI22*$J$47</f>
        <v>5775.721054624104</v>
      </c>
      <c r="AK22" s="347">
        <f ca="1">ROUND(+AJ22+AG22,5)</f>
        <v>2014794.6244399999</v>
      </c>
    </row>
    <row r="23" spans="1:37" ht="15.75">
      <c r="A23" s="296"/>
      <c r="B23" s="388" t="s">
        <v>788</v>
      </c>
      <c r="C23" s="389"/>
      <c r="D23" s="389"/>
      <c r="E23" s="389"/>
      <c r="F23" s="351">
        <f t="shared" si="0"/>
        <v>17</v>
      </c>
      <c r="H23" s="312"/>
      <c r="I23" s="312"/>
      <c r="J23" s="312"/>
      <c r="K23" s="312"/>
      <c r="L23" s="312"/>
      <c r="M23" s="312"/>
      <c r="N23" s="312"/>
      <c r="O23" s="296"/>
      <c r="P23" s="296"/>
      <c r="R23" s="353">
        <v>3</v>
      </c>
      <c r="S23" s="344">
        <f ca="1">AK18/Investment*100</f>
        <v>696.95460195584417</v>
      </c>
      <c r="T23" s="345">
        <f ca="1">EXP(y_inter3-(slope*LN(S23)))</f>
        <v>5.7468464991788029</v>
      </c>
      <c r="U23" s="346">
        <f ca="1">(+S23*T23/100)/100</f>
        <v>0.40052911143364989</v>
      </c>
      <c r="V23" s="346">
        <f>regDebt_weighted</f>
        <v>3.5860000000000003E-2</v>
      </c>
      <c r="W23" s="346">
        <f ca="1">+U23-V23</f>
        <v>0.36466911143364988</v>
      </c>
      <c r="X23" s="346">
        <f ca="1">+((W23*(1-0.34))-Pfd_weighted)/Equity_percent</f>
        <v>0.68166166728549105</v>
      </c>
      <c r="Y23" s="346">
        <f>+Y22</f>
        <v>2.5000000000000001E-3</v>
      </c>
      <c r="Z23" s="346">
        <f ca="1">+X23+Y23</f>
        <v>0.68416166728549099</v>
      </c>
      <c r="AA23" s="346">
        <f ca="1">Z23*equityP</f>
        <v>0.34737264738144719</v>
      </c>
      <c r="AB23" s="346">
        <f ca="1">+AA23/(1-taxrate)</f>
        <v>0.43971221187524956</v>
      </c>
      <c r="AC23" s="346">
        <f>debtP*Debt_Rate</f>
        <v>1.4441329649252934E-2</v>
      </c>
      <c r="AD23" s="346">
        <f ca="1">+AC23+AB23</f>
        <v>0.45415354152450249</v>
      </c>
      <c r="AE23" s="346">
        <f ca="1">+AD23/(S23/100)</f>
        <v>6.5162571600793529E-2</v>
      </c>
      <c r="AF23" s="346">
        <f ca="1">1-AE23</f>
        <v>0.93483742839920647</v>
      </c>
      <c r="AG23" s="347">
        <f ca="1">expenses/(AF23)</f>
        <v>2009018.9033868103</v>
      </c>
      <c r="AH23" s="348">
        <f ca="1">+AG23-Revenue</f>
        <v>238696.19738535583</v>
      </c>
      <c r="AI23" s="349">
        <f ca="1">+AH23/$J$49</f>
        <v>261460.6369555541</v>
      </c>
      <c r="AJ23" s="349">
        <f ca="1">+AI23*$J$47</f>
        <v>5775.721054624104</v>
      </c>
      <c r="AK23" s="347">
        <f ca="1">ROUND(+AJ23+AG23,5)</f>
        <v>2014794.6244399999</v>
      </c>
    </row>
    <row r="24" spans="1:37" ht="15.75">
      <c r="A24" s="296"/>
      <c r="B24" s="390" t="s">
        <v>789</v>
      </c>
      <c r="C24" s="389"/>
      <c r="D24" s="389"/>
      <c r="E24" s="389"/>
      <c r="F24" s="351">
        <f t="shared" si="0"/>
        <v>18</v>
      </c>
      <c r="H24" s="391" t="s">
        <v>790</v>
      </c>
      <c r="K24" s="392" t="s">
        <v>791</v>
      </c>
      <c r="L24" s="392"/>
      <c r="M24" s="392"/>
      <c r="N24" s="392"/>
      <c r="O24" s="296"/>
      <c r="P24" s="296"/>
      <c r="R24" s="356">
        <v>4</v>
      </c>
      <c r="S24" s="344">
        <f ca="1">AK19/Investment*100</f>
        <v>696.95460195584417</v>
      </c>
      <c r="T24" s="362">
        <f ca="1">EXP(y_inter4-(slope*LN(S24)))</f>
        <v>5.7468464991788029</v>
      </c>
      <c r="U24" s="346">
        <f ca="1">(+S24*T24/100)/100</f>
        <v>0.40052911143364989</v>
      </c>
      <c r="V24" s="346">
        <f>regDebt_weighted</f>
        <v>3.5860000000000003E-2</v>
      </c>
      <c r="W24" s="346">
        <f ca="1">+U24-V24</f>
        <v>0.36466911143364988</v>
      </c>
      <c r="X24" s="346">
        <f ca="1">+((W24*(1-0.34))-Pfd_weighted)/Equity_percent</f>
        <v>0.68166166728549105</v>
      </c>
      <c r="Y24" s="346">
        <f>+Y23</f>
        <v>2.5000000000000001E-3</v>
      </c>
      <c r="Z24" s="346">
        <f ca="1">+X24+Y24</f>
        <v>0.68416166728549099</v>
      </c>
      <c r="AA24" s="346">
        <f ca="1">Z24*equityP</f>
        <v>0.34737264738144719</v>
      </c>
      <c r="AB24" s="346">
        <f ca="1">+AA24/(1-taxrate)</f>
        <v>0.43971221187524956</v>
      </c>
      <c r="AC24" s="346">
        <f>debtP*Debt_Rate</f>
        <v>1.4441329649252934E-2</v>
      </c>
      <c r="AD24" s="346">
        <f ca="1">+AC24+AB24</f>
        <v>0.45415354152450249</v>
      </c>
      <c r="AE24" s="346">
        <f ca="1">+AD24/(S24/100)</f>
        <v>6.5162571600793529E-2</v>
      </c>
      <c r="AF24" s="346">
        <f ca="1">1-AE24</f>
        <v>0.93483742839920647</v>
      </c>
      <c r="AG24" s="347">
        <f ca="1">expenses/(AF24)</f>
        <v>2009018.9033868103</v>
      </c>
      <c r="AH24" s="348">
        <f ca="1">+AG24-Revenue</f>
        <v>238696.19738535583</v>
      </c>
      <c r="AI24" s="349">
        <f ca="1">+AH24/$J$49</f>
        <v>261460.6369555541</v>
      </c>
      <c r="AJ24" s="349">
        <f ca="1">+AI24*$J$47</f>
        <v>5775.721054624104</v>
      </c>
      <c r="AK24" s="347">
        <f ca="1">ROUND(+AJ24+AG24,5)</f>
        <v>2014794.6244399999</v>
      </c>
    </row>
    <row r="25" spans="1:37" ht="15.75">
      <c r="A25" s="296"/>
      <c r="B25" s="390" t="s">
        <v>792</v>
      </c>
      <c r="C25" s="389"/>
      <c r="D25" s="389"/>
      <c r="E25" s="389"/>
      <c r="F25" s="351">
        <f t="shared" si="0"/>
        <v>19</v>
      </c>
      <c r="H25" s="393" t="s">
        <v>793</v>
      </c>
      <c r="I25" s="394" t="s">
        <v>794</v>
      </c>
      <c r="J25" s="395" t="s">
        <v>795</v>
      </c>
      <c r="K25" s="393" t="s">
        <v>796</v>
      </c>
      <c r="L25" s="395" t="s">
        <v>797</v>
      </c>
      <c r="M25" s="395" t="s">
        <v>795</v>
      </c>
      <c r="O25" s="296"/>
      <c r="P25" s="296"/>
      <c r="R25" s="315" t="s">
        <v>798</v>
      </c>
      <c r="W25" s="396"/>
      <c r="X25" s="397"/>
      <c r="Y25" s="397"/>
      <c r="Z25" s="397"/>
      <c r="AA25" s="345"/>
      <c r="AB25" s="345"/>
      <c r="AC25" s="397"/>
      <c r="AE25" s="397"/>
      <c r="AF25" s="397"/>
      <c r="AG25" s="345"/>
      <c r="AH25" s="396"/>
    </row>
    <row r="26" spans="1:37" ht="15.75">
      <c r="A26" s="296"/>
      <c r="B26" s="390" t="s">
        <v>799</v>
      </c>
      <c r="C26" s="389"/>
      <c r="D26" s="389"/>
      <c r="E26" s="389"/>
      <c r="F26" s="351">
        <f t="shared" si="0"/>
        <v>20</v>
      </c>
      <c r="H26" s="341" t="s">
        <v>751</v>
      </c>
      <c r="I26" s="398">
        <f>1-I27</f>
        <v>0.50773474164329857</v>
      </c>
      <c r="J26" s="399">
        <f>+I26*J28</f>
        <v>146778.8435717113</v>
      </c>
      <c r="K26" s="364">
        <f ca="1">+K34</f>
        <v>0.68214048791841952</v>
      </c>
      <c r="L26" s="398">
        <f ca="1">+K26*I26</f>
        <v>0.34634642439769237</v>
      </c>
      <c r="M26" s="342">
        <f ca="1">+J26*K26</f>
        <v>100123.79197010852</v>
      </c>
      <c r="O26" s="296"/>
      <c r="P26" s="296"/>
      <c r="R26" s="367">
        <v>1</v>
      </c>
      <c r="S26" s="368">
        <f ca="1">AK21/Investment*100</f>
        <v>696.95414080882529</v>
      </c>
      <c r="T26" s="335">
        <f ca="1">EXP(y_inter1-(slope*LN(+S26)))</f>
        <v>5.7468476456871551</v>
      </c>
      <c r="U26" s="336">
        <f ca="1">(+S26*T26/100)/100</f>
        <v>0.40052892632591119</v>
      </c>
      <c r="V26" s="336">
        <f>regDebt_weighted</f>
        <v>3.5860000000000003E-2</v>
      </c>
      <c r="W26" s="336">
        <f ca="1">+U26-V26</f>
        <v>0.36466892632591119</v>
      </c>
      <c r="X26" s="336">
        <f ca="1">+((W26*(1-0.34))-Pfd_weighted)/Equity_percent</f>
        <v>0.6816613121369226</v>
      </c>
      <c r="Y26" s="336">
        <f>+Y24</f>
        <v>2.5000000000000001E-3</v>
      </c>
      <c r="Z26" s="336">
        <f ca="1">+X26+Y26</f>
        <v>0.68416131213692255</v>
      </c>
      <c r="AA26" s="336">
        <f ca="1">Z26*equityP</f>
        <v>0.34737246706018055</v>
      </c>
      <c r="AB26" s="336">
        <f ca="1">+AA26/(1-taxrate)</f>
        <v>0.43971198362048169</v>
      </c>
      <c r="AC26" s="336">
        <f>debtP*Debt_Rate</f>
        <v>1.4441329649252934E-2</v>
      </c>
      <c r="AD26" s="336">
        <f ca="1">+AC26+AB26</f>
        <v>0.45415331326973463</v>
      </c>
      <c r="AE26" s="336">
        <f ca="1">+AD26/(S26/100)</f>
        <v>6.5162581965964528E-2</v>
      </c>
      <c r="AF26" s="336">
        <f ca="1">1-AE26</f>
        <v>0.93483741803403553</v>
      </c>
      <c r="AG26" s="369">
        <f ca="1">expenses/(AF26)</f>
        <v>2009018.9256621536</v>
      </c>
      <c r="AH26" s="370">
        <f ca="1">+AG26-Revenue</f>
        <v>238696.21966069913</v>
      </c>
      <c r="AI26" s="339">
        <f ca="1">+AH26/$J$49</f>
        <v>261460.66135529533</v>
      </c>
      <c r="AJ26" s="339">
        <f ca="1">+AI26*$J$47</f>
        <v>5775.7215936195753</v>
      </c>
      <c r="AK26" s="369">
        <f ca="1">ROUND(+AJ26+AG26,5)</f>
        <v>2014794.64726</v>
      </c>
    </row>
    <row r="27" spans="1:37" ht="15.75">
      <c r="A27" s="296"/>
      <c r="B27" s="390" t="s">
        <v>800</v>
      </c>
      <c r="C27" s="389"/>
      <c r="D27" s="389"/>
      <c r="E27" s="389"/>
      <c r="F27" s="351">
        <f t="shared" si="0"/>
        <v>21</v>
      </c>
      <c r="H27" s="341" t="s">
        <v>753</v>
      </c>
      <c r="I27" s="398">
        <f>IF(A64=TRUE,C8,0)</f>
        <v>0.49226525835670143</v>
      </c>
      <c r="J27" s="400">
        <f>+I27*J28</f>
        <v>142306.83746058759</v>
      </c>
      <c r="K27" s="364">
        <f>IF(A64=TRUE,C9,0)</f>
        <v>2.9336479477470194E-2</v>
      </c>
      <c r="L27" s="398">
        <f>+K27*I27</f>
        <v>1.4441329649252934E-2</v>
      </c>
      <c r="M27" s="342">
        <f>+K27*J27</f>
        <v>4174.7816166662142</v>
      </c>
      <c r="O27" s="296"/>
      <c r="P27" s="296"/>
      <c r="R27" s="343">
        <v>2</v>
      </c>
      <c r="S27" s="344">
        <f ca="1">AK22/Investment*100</f>
        <v>696.95414080882529</v>
      </c>
      <c r="T27" s="359">
        <f ca="1">EXP(y_inter2-(slope*LN(+S27)))</f>
        <v>5.7468476456871551</v>
      </c>
      <c r="U27" s="346">
        <f ca="1">(+S27*T27/100)/100</f>
        <v>0.40052892632591119</v>
      </c>
      <c r="V27" s="346">
        <f>regDebt_weighted</f>
        <v>3.5860000000000003E-2</v>
      </c>
      <c r="W27" s="346">
        <f ca="1">+U27-V27</f>
        <v>0.36466892632591119</v>
      </c>
      <c r="X27" s="346">
        <f ca="1">+((W27*(1-0.34))-Pfd_weighted)/Equity_percent</f>
        <v>0.6816613121369226</v>
      </c>
      <c r="Y27" s="346">
        <f>+Y26</f>
        <v>2.5000000000000001E-3</v>
      </c>
      <c r="Z27" s="346">
        <f ca="1">+X27+Y27</f>
        <v>0.68416131213692255</v>
      </c>
      <c r="AA27" s="346">
        <f ca="1">Z27*equityP</f>
        <v>0.34737246706018055</v>
      </c>
      <c r="AB27" s="346">
        <f ca="1">+AA27/(1-taxrate)</f>
        <v>0.43971198362048169</v>
      </c>
      <c r="AC27" s="346">
        <f>debtP*Debt_Rate</f>
        <v>1.4441329649252934E-2</v>
      </c>
      <c r="AD27" s="346">
        <f ca="1">+AC27+AB27</f>
        <v>0.45415331326973463</v>
      </c>
      <c r="AE27" s="346">
        <f ca="1">+AD27/(S27/100)</f>
        <v>6.5162581965964528E-2</v>
      </c>
      <c r="AF27" s="346">
        <f ca="1">1-AE27</f>
        <v>0.93483741803403553</v>
      </c>
      <c r="AG27" s="347">
        <f ca="1">expenses/(AF27)</f>
        <v>2009018.9256621536</v>
      </c>
      <c r="AH27" s="348">
        <f ca="1">+AG27-Revenue</f>
        <v>238696.21966069913</v>
      </c>
      <c r="AI27" s="349">
        <f ca="1">+AH27/$J$49</f>
        <v>261460.66135529533</v>
      </c>
      <c r="AJ27" s="349">
        <f ca="1">+AI27*$J$47</f>
        <v>5775.7215936195753</v>
      </c>
      <c r="AK27" s="347">
        <f ca="1">ROUND(+AJ27+AG27,5)</f>
        <v>2014794.64726</v>
      </c>
    </row>
    <row r="28" spans="1:37" ht="16.5" thickBot="1">
      <c r="A28" s="296"/>
      <c r="B28" s="296"/>
      <c r="C28" s="296"/>
      <c r="D28" s="296"/>
      <c r="E28" s="296"/>
      <c r="F28" s="351">
        <f t="shared" si="0"/>
        <v>22</v>
      </c>
      <c r="H28" s="341" t="s">
        <v>13</v>
      </c>
      <c r="I28" s="398">
        <f>SUM(I26:I27)</f>
        <v>1</v>
      </c>
      <c r="J28" s="401">
        <f>IF(A64=TRUE,C7,0)</f>
        <v>289085.68103229889</v>
      </c>
      <c r="K28" s="402"/>
      <c r="L28" s="403">
        <f ca="1">SUM(L26:L27)</f>
        <v>0.3607877540469453</v>
      </c>
      <c r="M28" s="401">
        <f ca="1">SUM(M26:M27)</f>
        <v>104298.57358677473</v>
      </c>
      <c r="O28" s="296"/>
      <c r="P28" s="296"/>
      <c r="R28" s="353">
        <v>3</v>
      </c>
      <c r="S28" s="344">
        <f ca="1">AK23/Investment*100</f>
        <v>696.95414080882529</v>
      </c>
      <c r="T28" s="345">
        <f ca="1">EXP(y_inter3-(slope*LN(S28)))</f>
        <v>5.7468476456871551</v>
      </c>
      <c r="U28" s="346">
        <f ca="1">(+S28*T28/100)/100</f>
        <v>0.40052892632591119</v>
      </c>
      <c r="V28" s="346">
        <f>regDebt_weighted</f>
        <v>3.5860000000000003E-2</v>
      </c>
      <c r="W28" s="346">
        <f ca="1">+U28-V28</f>
        <v>0.36466892632591119</v>
      </c>
      <c r="X28" s="346">
        <f ca="1">+((W28*(1-0.34))-Pfd_weighted)/Equity_percent</f>
        <v>0.6816613121369226</v>
      </c>
      <c r="Y28" s="346">
        <f>+Y27</f>
        <v>2.5000000000000001E-3</v>
      </c>
      <c r="Z28" s="346">
        <f ca="1">+X28+Y28</f>
        <v>0.68416131213692255</v>
      </c>
      <c r="AA28" s="346">
        <f ca="1">Z28*equityP</f>
        <v>0.34737246706018055</v>
      </c>
      <c r="AB28" s="346">
        <f ca="1">+AA28/(1-taxrate)</f>
        <v>0.43971198362048169</v>
      </c>
      <c r="AC28" s="346">
        <f>debtP*Debt_Rate</f>
        <v>1.4441329649252934E-2</v>
      </c>
      <c r="AD28" s="346">
        <f ca="1">+AC28+AB28</f>
        <v>0.45415331326973463</v>
      </c>
      <c r="AE28" s="346">
        <f ca="1">+AD28/(S28/100)</f>
        <v>6.5162581965964528E-2</v>
      </c>
      <c r="AF28" s="346">
        <f ca="1">1-AE28</f>
        <v>0.93483741803403553</v>
      </c>
      <c r="AG28" s="347">
        <f ca="1">expenses/(AF28)</f>
        <v>2009018.9256621536</v>
      </c>
      <c r="AH28" s="348">
        <f ca="1">+AG28-Revenue</f>
        <v>238696.21966069913</v>
      </c>
      <c r="AI28" s="349">
        <f ca="1">+AH28/$J$49</f>
        <v>261460.66135529533</v>
      </c>
      <c r="AJ28" s="349">
        <f ca="1">+AI28*$J$47</f>
        <v>5775.7215936195753</v>
      </c>
      <c r="AK28" s="347">
        <f ca="1">ROUND(+AJ28+AG28,5)</f>
        <v>2014794.64726</v>
      </c>
    </row>
    <row r="29" spans="1:37" ht="16.5" thickTop="1">
      <c r="A29" s="296"/>
      <c r="B29" s="296"/>
      <c r="C29" s="296"/>
      <c r="D29" s="296"/>
      <c r="E29" s="296"/>
      <c r="F29" s="351">
        <f t="shared" si="0"/>
        <v>23</v>
      </c>
      <c r="G29" s="312"/>
      <c r="H29" s="312"/>
      <c r="I29" s="312"/>
      <c r="J29" s="312"/>
      <c r="K29" s="312"/>
      <c r="L29" s="312"/>
      <c r="M29" s="312"/>
      <c r="N29" s="312"/>
      <c r="O29" s="296"/>
      <c r="P29" s="296"/>
      <c r="R29" s="356">
        <v>4</v>
      </c>
      <c r="S29" s="344">
        <f ca="1">AK24/Investment*100</f>
        <v>696.95414080882529</v>
      </c>
      <c r="T29" s="362">
        <f ca="1">EXP(y_inter4-(slope*LN(S29)))</f>
        <v>5.7468476456871551</v>
      </c>
      <c r="U29" s="346">
        <f ca="1">(+S29*T29/100)/100</f>
        <v>0.40052892632591119</v>
      </c>
      <c r="V29" s="346">
        <f>regDebt_weighted</f>
        <v>3.5860000000000003E-2</v>
      </c>
      <c r="W29" s="346">
        <f ca="1">+U29-V29</f>
        <v>0.36466892632591119</v>
      </c>
      <c r="X29" s="346">
        <f ca="1">+((W29*(1-0.34))-Pfd_weighted)/Equity_percent</f>
        <v>0.6816613121369226</v>
      </c>
      <c r="Y29" s="346">
        <f>+Y28</f>
        <v>2.5000000000000001E-3</v>
      </c>
      <c r="Z29" s="346">
        <f ca="1">+X29+Y29</f>
        <v>0.68416131213692255</v>
      </c>
      <c r="AA29" s="346">
        <f ca="1">Z29*equityP</f>
        <v>0.34737246706018055</v>
      </c>
      <c r="AB29" s="346">
        <f ca="1">+AA29/(1-taxrate)</f>
        <v>0.43971198362048169</v>
      </c>
      <c r="AC29" s="346">
        <f>debtP*Debt_Rate</f>
        <v>1.4441329649252934E-2</v>
      </c>
      <c r="AD29" s="346">
        <f ca="1">+AC29+AB29</f>
        <v>0.45415331326973463</v>
      </c>
      <c r="AE29" s="346">
        <f ca="1">+AD29/(S29/100)</f>
        <v>6.5162581965964528E-2</v>
      </c>
      <c r="AF29" s="346">
        <f ca="1">1-AE29</f>
        <v>0.93483741803403553</v>
      </c>
      <c r="AG29" s="347">
        <f ca="1">expenses/(AF29)</f>
        <v>2009018.9256621536</v>
      </c>
      <c r="AH29" s="348">
        <f ca="1">+AG29-Revenue</f>
        <v>238696.21966069913</v>
      </c>
      <c r="AI29" s="349">
        <f ca="1">+AH29/$J$49</f>
        <v>261460.66135529533</v>
      </c>
      <c r="AJ29" s="349">
        <f ca="1">+AI29*$J$47</f>
        <v>5775.7215936195753</v>
      </c>
      <c r="AK29" s="347">
        <f ca="1">ROUND(+AJ29+AG29,5)</f>
        <v>2014794.64726</v>
      </c>
    </row>
    <row r="30" spans="1:37" ht="15.75">
      <c r="A30" s="296"/>
      <c r="B30" s="296"/>
      <c r="C30" s="296"/>
      <c r="D30" s="404"/>
      <c r="E30" s="296"/>
      <c r="F30" s="351">
        <f t="shared" si="0"/>
        <v>24</v>
      </c>
      <c r="G30" s="312"/>
      <c r="H30" s="312"/>
      <c r="I30" s="312"/>
      <c r="J30" s="405" t="s">
        <v>801</v>
      </c>
      <c r="K30" s="405" t="s">
        <v>802</v>
      </c>
      <c r="L30" s="312"/>
      <c r="M30" s="312"/>
      <c r="N30" s="312"/>
      <c r="O30" s="296"/>
      <c r="P30" s="296"/>
      <c r="R30" s="315" t="s">
        <v>803</v>
      </c>
      <c r="W30" s="396"/>
      <c r="X30" s="397"/>
      <c r="Z30" s="397"/>
      <c r="AA30" s="345"/>
      <c r="AB30" s="345"/>
      <c r="AC30" s="397"/>
      <c r="AE30" s="397"/>
      <c r="AF30" s="397"/>
      <c r="AG30" s="345"/>
      <c r="AH30" s="396"/>
      <c r="AJ30" s="345"/>
    </row>
    <row r="31" spans="1:37" ht="15.75">
      <c r="A31" s="296"/>
      <c r="B31" s="296"/>
      <c r="C31" s="296"/>
      <c r="D31" s="404"/>
      <c r="E31" s="296"/>
      <c r="F31" s="351">
        <f t="shared" si="0"/>
        <v>25</v>
      </c>
      <c r="G31" s="312"/>
      <c r="H31" s="406" t="s">
        <v>804</v>
      </c>
      <c r="I31" s="407"/>
      <c r="J31" s="408" t="s">
        <v>805</v>
      </c>
      <c r="K31" s="408" t="s">
        <v>805</v>
      </c>
      <c r="L31" s="524"/>
      <c r="M31" s="524"/>
      <c r="N31" s="524"/>
      <c r="O31" s="296"/>
      <c r="P31" s="296"/>
      <c r="R31" s="367">
        <v>1</v>
      </c>
      <c r="S31" s="368">
        <f ca="1">AK26/Investment*100</f>
        <v>696.95414870267871</v>
      </c>
      <c r="T31" s="335">
        <f ca="1">EXP(y_inter1-(slope*LN(+S31)))</f>
        <v>5.7468476260613688</v>
      </c>
      <c r="U31" s="336">
        <f ca="1">(+S31*T31/100)/100</f>
        <v>0.40052892949456115</v>
      </c>
      <c r="V31" s="336">
        <f>regDebt_weighted</f>
        <v>3.5860000000000003E-2</v>
      </c>
      <c r="W31" s="336">
        <f ca="1">+U31-V31</f>
        <v>0.36466892949456114</v>
      </c>
      <c r="X31" s="336">
        <f ca="1">+((W31*(1-0.34))-Pfd_weighted)/Equity_percent</f>
        <v>0.68166131821630915</v>
      </c>
      <c r="Y31" s="336">
        <f>+Y29</f>
        <v>2.5000000000000001E-3</v>
      </c>
      <c r="Z31" s="336">
        <f ca="1">+X31+Y31</f>
        <v>0.6841613182163091</v>
      </c>
      <c r="AA31" s="336">
        <f ca="1">Z31*equityP</f>
        <v>0.34737247014689626</v>
      </c>
      <c r="AB31" s="336">
        <f ca="1">+AA31/(1-taxrate)</f>
        <v>0.43971198752771679</v>
      </c>
      <c r="AC31" s="336">
        <f>debtP*Debt_Rate</f>
        <v>1.4441329649252934E-2</v>
      </c>
      <c r="AD31" s="336">
        <f ca="1">+AC31+AB31</f>
        <v>0.45415331717696972</v>
      </c>
      <c r="AE31" s="336">
        <f ca="1">+AD31/(S31/100)</f>
        <v>6.5162581788534832E-2</v>
      </c>
      <c r="AF31" s="336">
        <f ca="1">1-AE31</f>
        <v>0.93483741821146515</v>
      </c>
      <c r="AG31" s="369">
        <f ca="1">expenses/(AF31)</f>
        <v>2009018.9252808471</v>
      </c>
      <c r="AH31" s="370">
        <f ca="1">+AG31-Revenue</f>
        <v>238696.21927939262</v>
      </c>
      <c r="AI31" s="339">
        <f ca="1">+AH31/$J$49</f>
        <v>261460.66093762364</v>
      </c>
      <c r="AJ31" s="339">
        <f ca="1">+AI31*$J$47</f>
        <v>5775.721584393119</v>
      </c>
      <c r="AK31" s="369">
        <f ca="1">ROUND(+AJ31+AG31,5)</f>
        <v>2014794.6468700001</v>
      </c>
    </row>
    <row r="32" spans="1:37" ht="15.75">
      <c r="A32" s="296"/>
      <c r="B32" s="296"/>
      <c r="C32" s="296"/>
      <c r="D32" s="404"/>
      <c r="E32" s="296"/>
      <c r="F32" s="351">
        <f t="shared" si="0"/>
        <v>26</v>
      </c>
      <c r="G32" s="312"/>
      <c r="H32" s="323"/>
      <c r="I32" s="323"/>
      <c r="J32" s="323"/>
      <c r="K32" s="323"/>
      <c r="L32" s="312"/>
      <c r="M32" s="312"/>
      <c r="N32" s="312"/>
      <c r="O32" s="296"/>
      <c r="P32" s="296"/>
      <c r="R32" s="343">
        <v>2</v>
      </c>
      <c r="S32" s="344">
        <f ca="1">AK27/Investment*100</f>
        <v>696.95414870267871</v>
      </c>
      <c r="T32" s="359">
        <f ca="1">EXP(y_inter2-(slope*LN(+S32)))</f>
        <v>5.7468476260613688</v>
      </c>
      <c r="U32" s="346">
        <f ca="1">(+S32*T32/100)/100</f>
        <v>0.40052892949456115</v>
      </c>
      <c r="V32" s="346">
        <f>regDebt_weighted</f>
        <v>3.5860000000000003E-2</v>
      </c>
      <c r="W32" s="346">
        <f ca="1">+U32-V32</f>
        <v>0.36466892949456114</v>
      </c>
      <c r="X32" s="346">
        <f ca="1">+((W32*(1-0.34))-Pfd_weighted)/Equity_percent</f>
        <v>0.68166131821630915</v>
      </c>
      <c r="Y32" s="346">
        <f>+Y31</f>
        <v>2.5000000000000001E-3</v>
      </c>
      <c r="Z32" s="346">
        <f ca="1">+X32+Y32</f>
        <v>0.6841613182163091</v>
      </c>
      <c r="AA32" s="346">
        <f ca="1">Z32*equityP</f>
        <v>0.34737247014689626</v>
      </c>
      <c r="AB32" s="346">
        <f ca="1">+AA32/(1-taxrate)</f>
        <v>0.43971198752771679</v>
      </c>
      <c r="AC32" s="346">
        <f>debtP*Debt_Rate</f>
        <v>1.4441329649252934E-2</v>
      </c>
      <c r="AD32" s="346">
        <f ca="1">+AC32+AB32</f>
        <v>0.45415331717696972</v>
      </c>
      <c r="AE32" s="346">
        <f ca="1">+AD32/(S32/100)</f>
        <v>6.5162581788534832E-2</v>
      </c>
      <c r="AF32" s="346">
        <f ca="1">1-AE32</f>
        <v>0.93483741821146515</v>
      </c>
      <c r="AG32" s="347">
        <f ca="1">expenses/(AF32)</f>
        <v>2009018.9252808471</v>
      </c>
      <c r="AH32" s="348">
        <f ca="1">+AG32-Revenue</f>
        <v>238696.21927939262</v>
      </c>
      <c r="AI32" s="349">
        <f ca="1">+AH32/$J$49</f>
        <v>261460.66093762364</v>
      </c>
      <c r="AJ32" s="349">
        <f ca="1">+AI32*$J$47</f>
        <v>5775.721584393119</v>
      </c>
      <c r="AK32" s="347">
        <f ca="1">ROUND(+AJ32+AG32,5)</f>
        <v>2014794.6468700001</v>
      </c>
    </row>
    <row r="33" spans="1:48" ht="15.75">
      <c r="A33" s="296"/>
      <c r="B33" s="296"/>
      <c r="C33" s="296"/>
      <c r="D33" s="296"/>
      <c r="E33" s="296"/>
      <c r="F33" s="351">
        <f t="shared" si="0"/>
        <v>27</v>
      </c>
      <c r="G33" s="312"/>
      <c r="H33" s="323" t="s">
        <v>806</v>
      </c>
      <c r="I33" s="323"/>
      <c r="J33" s="409">
        <f ca="1">+K9/J28</f>
        <v>0.45285452508936985</v>
      </c>
      <c r="K33" s="409">
        <f ca="1">+(M14+M11)/J28</f>
        <v>0.3607877540469453</v>
      </c>
      <c r="L33" s="341"/>
      <c r="M33" s="341"/>
      <c r="N33" s="342"/>
      <c r="O33" s="296"/>
      <c r="P33" s="296"/>
      <c r="R33" s="353">
        <v>3</v>
      </c>
      <c r="S33" s="344">
        <f ca="1">AK28/Investment*100</f>
        <v>696.95414870267871</v>
      </c>
      <c r="T33" s="345">
        <f ca="1">EXP(y_inter3-(slope*LN(S33)))</f>
        <v>5.7468476260613688</v>
      </c>
      <c r="U33" s="346">
        <f ca="1">(+S33*T33/100)/100</f>
        <v>0.40052892949456115</v>
      </c>
      <c r="V33" s="346">
        <f>regDebt_weighted</f>
        <v>3.5860000000000003E-2</v>
      </c>
      <c r="W33" s="346">
        <f ca="1">+U33-V33</f>
        <v>0.36466892949456114</v>
      </c>
      <c r="X33" s="346">
        <f ca="1">+((W33*(1-0.34))-Pfd_weighted)/Equity_percent</f>
        <v>0.68166131821630915</v>
      </c>
      <c r="Y33" s="346">
        <f>+Y32</f>
        <v>2.5000000000000001E-3</v>
      </c>
      <c r="Z33" s="346">
        <f ca="1">+X33+Y33</f>
        <v>0.6841613182163091</v>
      </c>
      <c r="AA33" s="346">
        <f ca="1">Z33*equityP</f>
        <v>0.34737247014689626</v>
      </c>
      <c r="AB33" s="346">
        <f ca="1">+AA33/(1-taxrate)</f>
        <v>0.43971198752771679</v>
      </c>
      <c r="AC33" s="346">
        <f>debtP*Debt_Rate</f>
        <v>1.4441329649252934E-2</v>
      </c>
      <c r="AD33" s="346">
        <f ca="1">+AC33+AB33</f>
        <v>0.45415331717696972</v>
      </c>
      <c r="AE33" s="346">
        <f ca="1">+AD33/(S33/100)</f>
        <v>6.5162581788534832E-2</v>
      </c>
      <c r="AF33" s="346">
        <f ca="1">1-AE33</f>
        <v>0.93483741821146515</v>
      </c>
      <c r="AG33" s="347">
        <f ca="1">expenses/(AF33)</f>
        <v>2009018.9252808471</v>
      </c>
      <c r="AH33" s="348">
        <f ca="1">+AG33-Revenue</f>
        <v>238696.21927939262</v>
      </c>
      <c r="AI33" s="349">
        <f ca="1">+AH33/$J$49</f>
        <v>261460.66093762364</v>
      </c>
      <c r="AJ33" s="349">
        <f ca="1">+AI33*$J$47</f>
        <v>5775.721584393119</v>
      </c>
      <c r="AK33" s="347">
        <f ca="1">ROUND(+AJ33+AG33,5)</f>
        <v>2014794.6468700001</v>
      </c>
    </row>
    <row r="34" spans="1:48" ht="15.75">
      <c r="A34" s="296"/>
      <c r="B34" s="296"/>
      <c r="C34" s="296"/>
      <c r="D34" s="296"/>
      <c r="E34" s="296"/>
      <c r="F34" s="351">
        <f t="shared" si="0"/>
        <v>28</v>
      </c>
      <c r="G34" s="312"/>
      <c r="H34" s="323" t="s">
        <v>807</v>
      </c>
      <c r="I34" s="323"/>
      <c r="J34" s="409">
        <f ca="1">+(M9-M11)/J26</f>
        <v>0.86346897204863227</v>
      </c>
      <c r="K34" s="409">
        <f ca="1">+M14/J26</f>
        <v>0.68214048791841952</v>
      </c>
      <c r="L34" s="341"/>
      <c r="M34" s="341"/>
      <c r="N34" s="342"/>
      <c r="O34" s="410"/>
      <c r="P34" s="296"/>
      <c r="R34" s="356">
        <v>4</v>
      </c>
      <c r="S34" s="344">
        <f ca="1">AK29/Investment*100</f>
        <v>696.95414870267871</v>
      </c>
      <c r="T34" s="362">
        <f ca="1">EXP(y_inter4-(slope*LN(S34)))</f>
        <v>5.7468476260613688</v>
      </c>
      <c r="U34" s="346">
        <f ca="1">(+S34*T34/100)/100</f>
        <v>0.40052892949456115</v>
      </c>
      <c r="V34" s="346">
        <f>regDebt_weighted</f>
        <v>3.5860000000000003E-2</v>
      </c>
      <c r="W34" s="346">
        <f ca="1">+U34-V34</f>
        <v>0.36466892949456114</v>
      </c>
      <c r="X34" s="346">
        <f ca="1">+((W34*(1-0.34))-Pfd_weighted)/Equity_percent</f>
        <v>0.68166131821630915</v>
      </c>
      <c r="Y34" s="346">
        <f>+Y33</f>
        <v>2.5000000000000001E-3</v>
      </c>
      <c r="Z34" s="346">
        <f ca="1">+X34+Y34</f>
        <v>0.6841613182163091</v>
      </c>
      <c r="AA34" s="346">
        <f ca="1">Z34*equityP</f>
        <v>0.34737247014689626</v>
      </c>
      <c r="AB34" s="346">
        <f ca="1">+AA34/(1-taxrate)</f>
        <v>0.43971198752771679</v>
      </c>
      <c r="AC34" s="346">
        <f>debtP*Debt_Rate</f>
        <v>1.4441329649252934E-2</v>
      </c>
      <c r="AD34" s="346">
        <f ca="1">+AC34+AB34</f>
        <v>0.45415331717696972</v>
      </c>
      <c r="AE34" s="346">
        <f ca="1">+AD34/(S34/100)</f>
        <v>6.5162581788534832E-2</v>
      </c>
      <c r="AF34" s="346">
        <f ca="1">1-AE34</f>
        <v>0.93483741821146515</v>
      </c>
      <c r="AG34" s="347">
        <f ca="1">expenses/(AF34)</f>
        <v>2009018.9252808471</v>
      </c>
      <c r="AH34" s="348">
        <f ca="1">+AG34-Revenue</f>
        <v>238696.21927939262</v>
      </c>
      <c r="AI34" s="349">
        <f ca="1">+AH34/$J$49</f>
        <v>261460.66093762364</v>
      </c>
      <c r="AJ34" s="349">
        <f ca="1">+AI34*$J$47</f>
        <v>5775.721584393119</v>
      </c>
      <c r="AK34" s="347">
        <f ca="1">ROUND(+AJ34+AG34,5)</f>
        <v>2014794.6468700001</v>
      </c>
    </row>
    <row r="35" spans="1:48" ht="15.75">
      <c r="A35" s="296"/>
      <c r="B35" s="296"/>
      <c r="C35" s="296"/>
      <c r="D35" s="296"/>
      <c r="E35" s="296"/>
      <c r="F35" s="351">
        <f t="shared" si="0"/>
        <v>29</v>
      </c>
      <c r="G35" s="312"/>
      <c r="H35" s="411" t="s">
        <v>755</v>
      </c>
      <c r="I35" s="323"/>
      <c r="J35" s="409">
        <f ca="1">+K8/K7</f>
        <v>0.93483700000000003</v>
      </c>
      <c r="K35" s="409">
        <f ca="1">+M8/M7</f>
        <v>0.93502380047187716</v>
      </c>
      <c r="L35" s="341"/>
      <c r="M35" s="341"/>
      <c r="N35" s="342"/>
      <c r="O35" s="296"/>
      <c r="P35" s="296"/>
      <c r="R35" s="315" t="s">
        <v>808</v>
      </c>
      <c r="X35" s="397"/>
      <c r="Y35" s="397"/>
      <c r="Z35" s="397"/>
      <c r="AA35" s="412"/>
      <c r="AB35" s="345"/>
      <c r="AC35" s="397"/>
      <c r="AE35" s="397"/>
      <c r="AF35" s="397"/>
      <c r="AG35" s="345"/>
      <c r="AH35" s="396"/>
      <c r="AJ35" s="345"/>
    </row>
    <row r="36" spans="1:48" ht="15.75">
      <c r="A36" s="296"/>
      <c r="B36" s="296"/>
      <c r="C36" s="296"/>
      <c r="D36" s="296"/>
      <c r="E36" s="296"/>
      <c r="F36" s="351">
        <f t="shared" si="0"/>
        <v>30</v>
      </c>
      <c r="G36" s="312"/>
      <c r="H36" s="323" t="s">
        <v>809</v>
      </c>
      <c r="I36" s="323"/>
      <c r="J36" s="409">
        <f ca="1">+K9/K7</f>
        <v>6.5162999999999999E-2</v>
      </c>
      <c r="K36" s="409">
        <f ca="1">+J36</f>
        <v>6.5162999999999999E-2</v>
      </c>
      <c r="L36" s="312"/>
      <c r="M36" s="312"/>
      <c r="N36" s="342"/>
      <c r="O36" s="296"/>
      <c r="P36" s="296"/>
      <c r="R36" s="367">
        <v>1</v>
      </c>
      <c r="S36" s="368">
        <f ca="1">AK31/Investment*100</f>
        <v>696.95414856777063</v>
      </c>
      <c r="T36" s="335">
        <f ca="1">EXP(y_inter1-(slope*LN(+S36)))</f>
        <v>5.7468476263967778</v>
      </c>
      <c r="U36" s="336">
        <f ca="1">(+S36*T36/100)/100</f>
        <v>0.40052892944040797</v>
      </c>
      <c r="V36" s="336">
        <f>regDebt_weighted</f>
        <v>3.5860000000000003E-2</v>
      </c>
      <c r="W36" s="336">
        <f ca="1">+U36-V36</f>
        <v>0.36466892944040796</v>
      </c>
      <c r="X36" s="336">
        <f ca="1">+((W36*(1-0.34))-Pfd_weighted)/Equity_percent</f>
        <v>0.6816613181124106</v>
      </c>
      <c r="Y36" s="336">
        <f>+Y34</f>
        <v>2.5000000000000001E-3</v>
      </c>
      <c r="Z36" s="336">
        <f ca="1">+X36+Y36</f>
        <v>0.68416131811241054</v>
      </c>
      <c r="AA36" s="336">
        <f ca="1">Z36*equityP</f>
        <v>0.34737247009414335</v>
      </c>
      <c r="AB36" s="336">
        <f ca="1">+AA36/(1-taxrate)</f>
        <v>0.43971198746094092</v>
      </c>
      <c r="AC36" s="336">
        <f>debtP*Debt_Rate</f>
        <v>1.4441329649252934E-2</v>
      </c>
      <c r="AD36" s="336">
        <f ca="1">+AC36+AB36</f>
        <v>0.45415331711019385</v>
      </c>
      <c r="AE36" s="336">
        <f ca="1">+AD36/(S36/100)</f>
        <v>6.5162581791567128E-2</v>
      </c>
      <c r="AF36" s="336">
        <f ca="1">1-AE36</f>
        <v>0.93483741820843291</v>
      </c>
      <c r="AG36" s="369">
        <f ca="1">expenses/(AF36)</f>
        <v>2009018.9252873636</v>
      </c>
      <c r="AH36" s="370">
        <f ca="1">+AG36-Revenue</f>
        <v>238696.21928590909</v>
      </c>
      <c r="AI36" s="339">
        <f ca="1">+AH36/$J$49</f>
        <v>261460.66094476159</v>
      </c>
      <c r="AJ36" s="339">
        <f ca="1">+AI36*$J$47</f>
        <v>5775.7215845507972</v>
      </c>
      <c r="AK36" s="369">
        <f ca="1">ROUND(+AJ36+AG36,5)</f>
        <v>2014794.6468700001</v>
      </c>
    </row>
    <row r="37" spans="1:48" ht="15.75">
      <c r="A37" s="296"/>
      <c r="B37" s="296"/>
      <c r="C37" s="296"/>
      <c r="D37" s="326"/>
      <c r="E37" s="296"/>
      <c r="F37" s="351">
        <f t="shared" si="0"/>
        <v>31</v>
      </c>
      <c r="G37" s="312"/>
      <c r="H37" s="323" t="s">
        <v>810</v>
      </c>
      <c r="I37" s="413"/>
      <c r="J37" s="414">
        <f ca="1">+S39/100</f>
        <v>6.9695414856777065</v>
      </c>
      <c r="K37" s="414">
        <f ca="1">+J37</f>
        <v>6.9695414856777065</v>
      </c>
      <c r="L37" s="312"/>
      <c r="M37" s="312"/>
      <c r="N37" s="312"/>
      <c r="O37" s="296"/>
      <c r="P37" s="296"/>
      <c r="R37" s="343">
        <v>2</v>
      </c>
      <c r="S37" s="344">
        <f ca="1">AK32/Investment*100</f>
        <v>696.95414856777063</v>
      </c>
      <c r="T37" s="359">
        <f ca="1">EXP(y_inter2-(slope*LN(+S37)))</f>
        <v>5.7468476263967778</v>
      </c>
      <c r="U37" s="346">
        <f ca="1">(+S37*T37/100)/100</f>
        <v>0.40052892944040797</v>
      </c>
      <c r="V37" s="346">
        <f>regDebt_weighted</f>
        <v>3.5860000000000003E-2</v>
      </c>
      <c r="W37" s="346">
        <f ca="1">+U37-V37</f>
        <v>0.36466892944040796</v>
      </c>
      <c r="X37" s="346">
        <f ca="1">+((W37*(1-0.34))-Pfd_weighted)/Equity_percent</f>
        <v>0.6816613181124106</v>
      </c>
      <c r="Y37" s="346">
        <f>+Y36</f>
        <v>2.5000000000000001E-3</v>
      </c>
      <c r="Z37" s="346">
        <f ca="1">+X37+Y37</f>
        <v>0.68416131811241054</v>
      </c>
      <c r="AA37" s="346">
        <f ca="1">Z37*equityP</f>
        <v>0.34737247009414335</v>
      </c>
      <c r="AB37" s="346">
        <f ca="1">+AA37/(1-taxrate)</f>
        <v>0.43971198746094092</v>
      </c>
      <c r="AC37" s="346">
        <f>debtP*Debt_Rate</f>
        <v>1.4441329649252934E-2</v>
      </c>
      <c r="AD37" s="346">
        <f ca="1">+AC37+AB37</f>
        <v>0.45415331711019385</v>
      </c>
      <c r="AE37" s="346">
        <f ca="1">+AD37/(S37/100)</f>
        <v>6.5162581791567128E-2</v>
      </c>
      <c r="AF37" s="346">
        <f ca="1">1-AE37</f>
        <v>0.93483741820843291</v>
      </c>
      <c r="AG37" s="347">
        <f ca="1">expenses/(AF37)</f>
        <v>2009018.9252873636</v>
      </c>
      <c r="AH37" s="348">
        <f ca="1">+AG37-Revenue</f>
        <v>238696.21928590909</v>
      </c>
      <c r="AI37" s="349">
        <f ca="1">+AH37/$J$49</f>
        <v>261460.66094476159</v>
      </c>
      <c r="AJ37" s="349">
        <f ca="1">+AI37*$J$47</f>
        <v>5775.7215845507972</v>
      </c>
      <c r="AK37" s="347">
        <f ca="1">ROUND(+AJ37+AG37,5)</f>
        <v>2014794.6468700001</v>
      </c>
    </row>
    <row r="38" spans="1:48" ht="15.75">
      <c r="A38" s="296"/>
      <c r="B38" s="296"/>
      <c r="C38" s="296"/>
      <c r="D38" s="326"/>
      <c r="E38" s="296"/>
      <c r="F38" s="351">
        <f t="shared" si="0"/>
        <v>32</v>
      </c>
      <c r="G38" s="312"/>
      <c r="H38" s="323" t="s">
        <v>811</v>
      </c>
      <c r="I38" s="312"/>
      <c r="J38" s="409">
        <f>+C10</f>
        <v>0.21</v>
      </c>
      <c r="K38" s="409">
        <f>+J38</f>
        <v>0.21</v>
      </c>
      <c r="L38" s="312"/>
      <c r="M38" s="312"/>
      <c r="N38" s="312"/>
      <c r="O38" s="296"/>
      <c r="P38" s="296"/>
      <c r="Q38" s="415"/>
      <c r="R38" s="353">
        <v>3</v>
      </c>
      <c r="S38" s="344">
        <f ca="1">AK33/Investment*100</f>
        <v>696.95414856777063</v>
      </c>
      <c r="T38" s="345">
        <f ca="1">EXP(y_inter3-(slope*LN(S38)))</f>
        <v>5.7468476263967778</v>
      </c>
      <c r="U38" s="346">
        <f ca="1">(+S38*T38/100)/100</f>
        <v>0.40052892944040797</v>
      </c>
      <c r="V38" s="346">
        <f>regDebt_weighted</f>
        <v>3.5860000000000003E-2</v>
      </c>
      <c r="W38" s="346">
        <f ca="1">+U38-V38</f>
        <v>0.36466892944040796</v>
      </c>
      <c r="X38" s="346">
        <f ca="1">+((W38*(1-0.34))-Pfd_weighted)/Equity_percent</f>
        <v>0.6816613181124106</v>
      </c>
      <c r="Y38" s="346">
        <f>+Y37</f>
        <v>2.5000000000000001E-3</v>
      </c>
      <c r="Z38" s="346">
        <f ca="1">+X38+Y38</f>
        <v>0.68416131811241054</v>
      </c>
      <c r="AA38" s="346">
        <f ca="1">Z38*equityP</f>
        <v>0.34737247009414335</v>
      </c>
      <c r="AB38" s="346">
        <f ca="1">+AA38/(1-taxrate)</f>
        <v>0.43971198746094092</v>
      </c>
      <c r="AC38" s="346">
        <f>debtP*Debt_Rate</f>
        <v>1.4441329649252934E-2</v>
      </c>
      <c r="AD38" s="346">
        <f ca="1">+AC38+AB38</f>
        <v>0.45415331711019385</v>
      </c>
      <c r="AE38" s="346">
        <f ca="1">+AD38/(S38/100)</f>
        <v>6.5162581791567128E-2</v>
      </c>
      <c r="AF38" s="346">
        <f ca="1">1-AE38</f>
        <v>0.93483741820843291</v>
      </c>
      <c r="AG38" s="347">
        <f ca="1">expenses/(AF38)</f>
        <v>2009018.9252873636</v>
      </c>
      <c r="AH38" s="348">
        <f ca="1">+AG38-Revenue</f>
        <v>238696.21928590909</v>
      </c>
      <c r="AI38" s="349">
        <f ca="1">+AH38/$J$49</f>
        <v>261460.66094476159</v>
      </c>
      <c r="AJ38" s="349">
        <f ca="1">+AI38*$J$47</f>
        <v>5775.7215845507972</v>
      </c>
      <c r="AK38" s="347">
        <f ca="1">ROUND(+AJ38+AG38,5)</f>
        <v>2014794.6468700001</v>
      </c>
    </row>
    <row r="39" spans="1:48" ht="15.75">
      <c r="A39" s="296"/>
      <c r="B39" s="296"/>
      <c r="C39" s="296"/>
      <c r="D39" s="404"/>
      <c r="E39" s="296"/>
      <c r="F39" s="351">
        <f t="shared" si="0"/>
        <v>33</v>
      </c>
      <c r="G39" s="312"/>
      <c r="H39" s="312"/>
      <c r="I39" s="312"/>
      <c r="J39" s="312"/>
      <c r="K39" s="312"/>
      <c r="L39" s="312"/>
      <c r="M39" s="312"/>
      <c r="N39" s="312"/>
      <c r="O39" s="296"/>
      <c r="P39" s="296"/>
      <c r="R39" s="356">
        <v>4</v>
      </c>
      <c r="S39" s="344">
        <f ca="1">AK34/Investment*100</f>
        <v>696.95414856777063</v>
      </c>
      <c r="T39" s="362">
        <f ca="1">EXP(y_inter4-(slope*LN(S39)))</f>
        <v>5.7468476263967778</v>
      </c>
      <c r="U39" s="346">
        <f ca="1">(+S39*T39/100)/100</f>
        <v>0.40052892944040797</v>
      </c>
      <c r="V39" s="346">
        <f>regDebt_weighted</f>
        <v>3.5860000000000003E-2</v>
      </c>
      <c r="W39" s="346">
        <f ca="1">+U39-V39</f>
        <v>0.36466892944040796</v>
      </c>
      <c r="X39" s="346">
        <f ca="1">+((W39*(1-0.34))-Pfd_weighted)/Equity_percent</f>
        <v>0.6816613181124106</v>
      </c>
      <c r="Y39" s="346">
        <f>+Y38</f>
        <v>2.5000000000000001E-3</v>
      </c>
      <c r="Z39" s="346">
        <f ca="1">+X39+Y39</f>
        <v>0.68416131811241054</v>
      </c>
      <c r="AA39" s="346">
        <f ca="1">Z39*equityP</f>
        <v>0.34737247009414335</v>
      </c>
      <c r="AB39" s="346">
        <f ca="1">+AA39/(1-taxrate)</f>
        <v>0.43971198746094092</v>
      </c>
      <c r="AC39" s="346">
        <f>debtP*Debt_Rate</f>
        <v>1.4441329649252934E-2</v>
      </c>
      <c r="AD39" s="346">
        <f ca="1">+AC39+AB39</f>
        <v>0.45415331711019385</v>
      </c>
      <c r="AE39" s="346">
        <f ca="1">+AD39/(S39/100)</f>
        <v>6.5162581791567128E-2</v>
      </c>
      <c r="AF39" s="346">
        <f ca="1">1-AE39</f>
        <v>0.93483741820843291</v>
      </c>
      <c r="AG39" s="347">
        <f ca="1">expenses/(AF39)</f>
        <v>2009018.9252873636</v>
      </c>
      <c r="AH39" s="348">
        <f ca="1">+AG39-Revenue</f>
        <v>238696.21928590909</v>
      </c>
      <c r="AI39" s="349">
        <f ca="1">+AH39/$J$49</f>
        <v>261460.66094476159</v>
      </c>
      <c r="AJ39" s="349">
        <f ca="1">+AI39*$J$47</f>
        <v>5775.7215845507972</v>
      </c>
      <c r="AK39" s="347">
        <f ca="1">ROUND(+AJ39+AG39,5)</f>
        <v>2014794.6468700001</v>
      </c>
    </row>
    <row r="40" spans="1:48" ht="15.75">
      <c r="A40" s="296"/>
      <c r="B40" s="296"/>
      <c r="C40" s="296"/>
      <c r="D40" s="296"/>
      <c r="E40" s="296"/>
      <c r="F40" s="351">
        <f t="shared" si="0"/>
        <v>34</v>
      </c>
      <c r="G40" s="413"/>
      <c r="H40" s="312"/>
      <c r="I40" s="312"/>
      <c r="J40" s="312"/>
      <c r="K40" s="312"/>
      <c r="L40" s="312"/>
      <c r="M40" s="312"/>
      <c r="N40" s="312"/>
      <c r="O40" s="296"/>
      <c r="P40" s="296"/>
      <c r="X40" s="397"/>
      <c r="Y40" s="397"/>
      <c r="Z40" s="397"/>
      <c r="AA40" s="412"/>
      <c r="AB40" s="345"/>
      <c r="AC40" s="397"/>
      <c r="AE40" s="397"/>
      <c r="AF40" s="397"/>
      <c r="AG40" s="345"/>
      <c r="AH40" s="396"/>
      <c r="AJ40" s="345"/>
    </row>
    <row r="41" spans="1:48" ht="15.75">
      <c r="A41" s="296"/>
      <c r="B41" s="296"/>
      <c r="C41" s="296"/>
      <c r="D41" s="296"/>
      <c r="E41" s="296"/>
      <c r="F41" s="351">
        <f t="shared" si="0"/>
        <v>35</v>
      </c>
      <c r="G41" s="312"/>
      <c r="H41" s="406" t="s">
        <v>812</v>
      </c>
      <c r="I41" s="416"/>
      <c r="J41" s="312"/>
      <c r="K41" s="312"/>
      <c r="L41" s="312"/>
      <c r="M41" s="312"/>
      <c r="N41" s="312"/>
      <c r="O41" s="296"/>
      <c r="P41" s="296"/>
      <c r="R41" s="417" t="s">
        <v>813</v>
      </c>
      <c r="S41" s="418"/>
      <c r="T41" s="374"/>
      <c r="U41" s="374"/>
      <c r="V41" s="375"/>
      <c r="X41" s="419"/>
      <c r="Y41" s="419"/>
      <c r="Z41" s="419"/>
      <c r="AA41" s="412"/>
      <c r="AB41" s="345"/>
      <c r="AC41" s="397"/>
      <c r="AE41" s="397"/>
      <c r="AF41" s="397"/>
      <c r="AG41" s="345"/>
      <c r="AH41" s="396"/>
      <c r="AJ41" s="345"/>
    </row>
    <row r="42" spans="1:48" ht="15.75">
      <c r="A42" s="296"/>
      <c r="B42" s="296"/>
      <c r="C42" s="296"/>
      <c r="D42" s="296"/>
      <c r="E42" s="296"/>
      <c r="F42" s="351">
        <f t="shared" si="0"/>
        <v>36</v>
      </c>
      <c r="G42" s="312"/>
      <c r="H42" s="312"/>
      <c r="I42" s="312"/>
      <c r="J42" s="420" t="s">
        <v>814</v>
      </c>
      <c r="K42" s="421" t="s">
        <v>756</v>
      </c>
      <c r="L42" s="312"/>
      <c r="M42" s="312"/>
      <c r="N42" s="312"/>
      <c r="O42" s="296"/>
      <c r="P42" s="296"/>
      <c r="R42" s="422" t="s">
        <v>815</v>
      </c>
      <c r="S42" s="423"/>
      <c r="V42" s="424"/>
      <c r="X42" s="397"/>
      <c r="Y42" s="397"/>
      <c r="Z42" s="397"/>
      <c r="AA42" s="412"/>
      <c r="AB42" s="345"/>
      <c r="AC42" s="397"/>
      <c r="AE42" s="397"/>
      <c r="AF42" s="397"/>
      <c r="AG42" s="345"/>
      <c r="AJ42" s="345"/>
    </row>
    <row r="43" spans="1:48" ht="15.75">
      <c r="A43" s="296"/>
      <c r="B43" s="296"/>
      <c r="C43" s="296"/>
      <c r="D43" s="296"/>
      <c r="E43" s="296"/>
      <c r="F43" s="351">
        <f t="shared" si="0"/>
        <v>37</v>
      </c>
      <c r="G43" s="312"/>
      <c r="H43" s="323" t="s">
        <v>816</v>
      </c>
      <c r="I43" s="425"/>
      <c r="J43" s="426">
        <f>IF(A64=TRUE,C11,0)</f>
        <v>1.4999999999999999E-2</v>
      </c>
      <c r="K43" s="427">
        <f ca="1">+J43*($J$7/$J$49)</f>
        <v>3921.9246811958833</v>
      </c>
      <c r="L43" s="312"/>
      <c r="M43" s="312"/>
      <c r="N43" s="312"/>
      <c r="O43" s="296"/>
      <c r="P43" s="296"/>
      <c r="R43" s="353">
        <v>0</v>
      </c>
      <c r="S43" s="428">
        <v>1</v>
      </c>
      <c r="U43" s="429" t="s">
        <v>809</v>
      </c>
      <c r="V43" s="430">
        <f ca="1">VLOOKUP(R48,R36:AG39,14)</f>
        <v>6.5162581791567128E-2</v>
      </c>
      <c r="AC43" s="397"/>
      <c r="AE43" s="397"/>
      <c r="AJ43" s="345"/>
      <c r="AN43" s="397"/>
      <c r="AO43" s="397"/>
      <c r="AP43" s="397"/>
      <c r="AQ43" s="397"/>
      <c r="AR43" s="397"/>
      <c r="AS43" s="397"/>
      <c r="AT43" s="397"/>
      <c r="AU43" s="397"/>
      <c r="AV43" s="397"/>
    </row>
    <row r="44" spans="1:48" ht="15.75">
      <c r="A44" s="296"/>
      <c r="B44" s="296"/>
      <c r="C44" s="296"/>
      <c r="D44" s="296"/>
      <c r="E44" s="296"/>
      <c r="F44" s="351">
        <f t="shared" si="0"/>
        <v>38</v>
      </c>
      <c r="G44" s="312"/>
      <c r="H44" s="323" t="s">
        <v>817</v>
      </c>
      <c r="I44" s="425"/>
      <c r="J44" s="426">
        <f>IF(A64=TRUE,C12,0)</f>
        <v>5.1000000000000004E-3</v>
      </c>
      <c r="K44" s="427">
        <f ca="1">+J44*($J$7/$J$49)</f>
        <v>1333.4543916066004</v>
      </c>
      <c r="L44" s="312"/>
      <c r="M44" s="312"/>
      <c r="N44" s="312"/>
      <c r="O44" s="296"/>
      <c r="P44" s="296"/>
      <c r="R44" s="353">
        <v>50</v>
      </c>
      <c r="S44" s="428">
        <v>2</v>
      </c>
      <c r="U44" s="429" t="s">
        <v>755</v>
      </c>
      <c r="V44" s="430">
        <f ca="1">ROUND(1-V43,6)</f>
        <v>0.93483700000000003</v>
      </c>
      <c r="AA44" s="431"/>
      <c r="AB44" s="315"/>
      <c r="AC44" s="315"/>
      <c r="AE44" s="397"/>
      <c r="AH44" s="396"/>
      <c r="AJ44" s="345"/>
      <c r="AN44" s="397"/>
      <c r="AO44" s="397"/>
      <c r="AP44" s="397"/>
      <c r="AQ44" s="397"/>
      <c r="AR44" s="397"/>
      <c r="AS44" s="397"/>
      <c r="AT44" s="397"/>
      <c r="AU44" s="397"/>
      <c r="AV44" s="397"/>
    </row>
    <row r="45" spans="1:48" ht="15.75">
      <c r="A45" s="296"/>
      <c r="B45" s="296"/>
      <c r="C45" s="296"/>
      <c r="D45" s="296"/>
      <c r="E45" s="296"/>
      <c r="F45" s="351">
        <f t="shared" si="0"/>
        <v>39</v>
      </c>
      <c r="G45" s="312"/>
      <c r="H45" s="323" t="s">
        <v>818</v>
      </c>
      <c r="I45" s="425"/>
      <c r="J45" s="426">
        <f>IF(A64=TRUE,C13,0)</f>
        <v>0</v>
      </c>
      <c r="K45" s="427">
        <f ca="1">+J45*($J$7/$J$49)</f>
        <v>0</v>
      </c>
      <c r="L45" s="312"/>
      <c r="M45" s="312"/>
      <c r="N45" s="312"/>
      <c r="O45" s="296"/>
      <c r="P45" s="296"/>
      <c r="R45" s="353">
        <v>125</v>
      </c>
      <c r="S45" s="428">
        <v>3</v>
      </c>
      <c r="U45" s="306" t="s">
        <v>819</v>
      </c>
      <c r="V45" s="432">
        <f ca="1">+M7/Revenue-1</f>
        <v>0.13809508319753072</v>
      </c>
      <c r="W45" s="349"/>
      <c r="X45" s="397"/>
      <c r="Y45" s="397"/>
      <c r="Z45" s="397"/>
      <c r="AA45" s="431"/>
      <c r="AB45" s="345"/>
      <c r="AC45" s="397"/>
      <c r="AE45" s="397"/>
      <c r="AF45" s="397"/>
      <c r="AG45" s="345"/>
      <c r="AH45" s="396"/>
      <c r="AJ45" s="345"/>
      <c r="AN45" s="397"/>
      <c r="AO45" s="397"/>
      <c r="AP45" s="397"/>
      <c r="AQ45" s="397"/>
      <c r="AR45" s="397"/>
      <c r="AS45" s="397"/>
      <c r="AT45" s="397"/>
      <c r="AU45" s="397"/>
      <c r="AV45" s="397"/>
    </row>
    <row r="46" spans="1:48" ht="15.75">
      <c r="A46" s="296"/>
      <c r="B46" s="296"/>
      <c r="C46" s="296"/>
      <c r="D46" s="296"/>
      <c r="E46" s="296"/>
      <c r="F46" s="351">
        <f t="shared" si="0"/>
        <v>40</v>
      </c>
      <c r="G46" s="312"/>
      <c r="H46" s="323" t="s">
        <v>820</v>
      </c>
      <c r="I46" s="425"/>
      <c r="J46" s="426">
        <f>IF(A64=TRUE,C14,0)</f>
        <v>1.9902125913734531E-3</v>
      </c>
      <c r="K46" s="427">
        <f ca="1">+J46*($J$7/$J$49)</f>
        <v>520.36425886229085</v>
      </c>
      <c r="L46" s="312"/>
      <c r="M46" s="312"/>
      <c r="N46" s="312"/>
      <c r="O46" s="296"/>
      <c r="P46" s="296"/>
      <c r="R46" s="356">
        <v>401</v>
      </c>
      <c r="S46" s="433">
        <v>4</v>
      </c>
      <c r="T46" s="384"/>
      <c r="U46" s="384"/>
      <c r="V46" s="387"/>
      <c r="X46" s="397"/>
      <c r="Y46" s="397"/>
      <c r="Z46" s="397"/>
      <c r="AA46" s="412"/>
      <c r="AB46" s="345"/>
      <c r="AC46" s="397"/>
      <c r="AE46" s="397"/>
      <c r="AF46" s="397"/>
      <c r="AG46" s="345"/>
      <c r="AH46" s="396"/>
      <c r="AJ46" s="345"/>
      <c r="AN46" s="397"/>
      <c r="AO46" s="397"/>
      <c r="AP46" s="397"/>
      <c r="AQ46" s="397"/>
      <c r="AR46" s="397"/>
      <c r="AS46" s="397"/>
      <c r="AT46" s="397"/>
      <c r="AU46" s="397"/>
      <c r="AV46" s="397"/>
    </row>
    <row r="47" spans="1:48" ht="16.5" thickBot="1">
      <c r="A47" s="296"/>
      <c r="B47" s="296"/>
      <c r="C47" s="296"/>
      <c r="D47" s="296"/>
      <c r="E47" s="296"/>
      <c r="F47" s="351">
        <f t="shared" si="0"/>
        <v>41</v>
      </c>
      <c r="G47" s="312"/>
      <c r="H47" s="323" t="s">
        <v>821</v>
      </c>
      <c r="I47" s="413"/>
      <c r="J47" s="434">
        <f>SUM(J43:J46)</f>
        <v>2.2090212591373452E-2</v>
      </c>
      <c r="K47" s="401">
        <f ca="1">+K43+K44+K45+K46</f>
        <v>5775.7433316647739</v>
      </c>
      <c r="L47" s="312"/>
      <c r="M47" s="312"/>
      <c r="N47" s="312"/>
      <c r="O47" s="296"/>
      <c r="P47" s="296"/>
      <c r="R47" s="368">
        <f ca="1">VLOOKUP(R48,R36:S39,2)</f>
        <v>696.95414856777063</v>
      </c>
      <c r="S47" s="435" t="s">
        <v>822</v>
      </c>
      <c r="T47" s="375"/>
      <c r="X47" s="306" t="s">
        <v>823</v>
      </c>
      <c r="AE47" s="397"/>
      <c r="AH47" s="396"/>
      <c r="AJ47" s="345"/>
    </row>
    <row r="48" spans="1:48" ht="16.5" thickTop="1">
      <c r="A48" s="296"/>
      <c r="B48" s="296"/>
      <c r="C48" s="296"/>
      <c r="D48" s="296"/>
      <c r="E48" s="296"/>
      <c r="F48" s="351">
        <f t="shared" si="0"/>
        <v>42</v>
      </c>
      <c r="G48" s="312"/>
      <c r="H48" s="312"/>
      <c r="I48" s="312"/>
      <c r="J48" s="436"/>
      <c r="K48" s="312"/>
      <c r="L48" s="312"/>
      <c r="M48" s="312"/>
      <c r="N48" s="312"/>
      <c r="O48" s="296"/>
      <c r="P48" s="296"/>
      <c r="R48" s="353">
        <f ca="1">VLOOKUP(S36,R43:S46,2)</f>
        <v>4</v>
      </c>
      <c r="S48" s="437" t="s">
        <v>824</v>
      </c>
      <c r="T48" s="424"/>
      <c r="X48" s="306" t="s">
        <v>825</v>
      </c>
      <c r="AC48" s="315"/>
      <c r="AE48" s="397"/>
      <c r="AJ48" s="345"/>
    </row>
    <row r="49" spans="1:48" ht="15.75">
      <c r="A49" s="296"/>
      <c r="B49" s="296"/>
      <c r="C49" s="296"/>
      <c r="D49" s="296"/>
      <c r="E49" s="296"/>
      <c r="F49" s="351">
        <f t="shared" si="0"/>
        <v>43</v>
      </c>
      <c r="G49" s="318"/>
      <c r="H49" s="323" t="s">
        <v>826</v>
      </c>
      <c r="I49" s="312"/>
      <c r="J49" s="409">
        <f ca="1">((K35)-J47)</f>
        <v>0.91293358788050372</v>
      </c>
      <c r="K49" s="312"/>
      <c r="L49" s="312"/>
      <c r="M49" s="312"/>
      <c r="N49" s="312"/>
      <c r="O49" s="296"/>
      <c r="P49" s="296"/>
      <c r="R49" s="353"/>
      <c r="S49" s="437"/>
      <c r="T49" s="424"/>
      <c r="X49" s="306" t="s">
        <v>827</v>
      </c>
      <c r="AC49" s="397"/>
      <c r="AE49" s="397"/>
      <c r="AF49" s="397"/>
      <c r="AG49" s="345"/>
      <c r="AJ49" s="345"/>
    </row>
    <row r="50" spans="1:48">
      <c r="A50" s="296"/>
      <c r="B50" s="296"/>
      <c r="C50" s="296"/>
      <c r="D50" s="296"/>
      <c r="E50" s="296"/>
      <c r="F50" s="296"/>
      <c r="G50" s="296"/>
      <c r="H50" s="296"/>
      <c r="I50" s="296"/>
      <c r="J50" s="296"/>
      <c r="K50" s="438"/>
      <c r="L50" s="296"/>
      <c r="M50" s="296"/>
      <c r="N50" s="439"/>
      <c r="O50" s="296"/>
      <c r="P50" s="296"/>
      <c r="R50" s="440">
        <f ca="1">+V44</f>
        <v>0.93483700000000003</v>
      </c>
      <c r="S50" s="441" t="s">
        <v>755</v>
      </c>
      <c r="T50" s="442"/>
      <c r="X50" s="306" t="s">
        <v>828</v>
      </c>
      <c r="AC50" s="397"/>
      <c r="AE50" s="397"/>
      <c r="AF50" s="397"/>
      <c r="AG50" s="345"/>
      <c r="AH50" s="397"/>
      <c r="AJ50" s="345"/>
      <c r="AN50" s="397"/>
      <c r="AO50" s="397"/>
      <c r="AP50" s="397"/>
      <c r="AQ50" s="397"/>
      <c r="AR50" s="397"/>
      <c r="AS50" s="397"/>
      <c r="AT50" s="397"/>
      <c r="AU50" s="397"/>
      <c r="AV50" s="397"/>
    </row>
    <row r="51" spans="1:48">
      <c r="A51" s="296"/>
      <c r="B51" s="296"/>
      <c r="C51" s="296"/>
      <c r="D51" s="296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R51" s="306"/>
      <c r="AB51" s="345"/>
      <c r="AC51" s="397"/>
      <c r="AE51" s="397"/>
      <c r="AF51" s="397"/>
      <c r="AG51" s="345"/>
      <c r="AH51" s="396"/>
      <c r="AJ51" s="345"/>
      <c r="AN51" s="397"/>
      <c r="AO51" s="397"/>
      <c r="AP51" s="397"/>
      <c r="AQ51" s="397"/>
      <c r="AR51" s="397"/>
      <c r="AS51" s="397"/>
      <c r="AT51" s="397"/>
      <c r="AU51" s="397"/>
      <c r="AV51" s="397"/>
    </row>
    <row r="52" spans="1:48">
      <c r="A52" s="296"/>
      <c r="B52" s="296"/>
      <c r="C52" s="296"/>
      <c r="D52" s="296"/>
      <c r="E52" s="296"/>
      <c r="F52" s="296"/>
      <c r="G52" s="296"/>
      <c r="H52" s="296"/>
      <c r="I52" s="296"/>
      <c r="J52" s="443"/>
      <c r="K52" s="443"/>
      <c r="L52" s="443"/>
      <c r="M52" s="443"/>
      <c r="N52" s="296"/>
      <c r="O52" s="296"/>
      <c r="P52" s="296"/>
      <c r="R52" s="306"/>
      <c r="AB52" s="345"/>
      <c r="AC52" s="397"/>
      <c r="AE52" s="397"/>
      <c r="AF52" s="397"/>
      <c r="AG52" s="345"/>
      <c r="AH52" s="396"/>
      <c r="AJ52" s="345"/>
      <c r="AN52" s="397"/>
      <c r="AO52" s="397"/>
      <c r="AP52" s="397"/>
      <c r="AQ52" s="397"/>
      <c r="AR52" s="397"/>
      <c r="AS52" s="397"/>
      <c r="AT52" s="397"/>
      <c r="AU52" s="397"/>
      <c r="AV52" s="397"/>
    </row>
    <row r="53" spans="1:48" ht="15.75">
      <c r="A53" s="296"/>
      <c r="B53" s="296"/>
      <c r="C53" s="296"/>
      <c r="D53" s="296"/>
      <c r="E53" s="296"/>
      <c r="F53" s="296"/>
      <c r="G53" s="296"/>
      <c r="H53" s="296"/>
      <c r="I53" s="296"/>
      <c r="J53" s="296"/>
      <c r="K53" s="443"/>
      <c r="L53" s="443"/>
      <c r="M53" s="443"/>
      <c r="N53" s="296"/>
      <c r="O53" s="296"/>
      <c r="P53" s="296"/>
      <c r="R53" s="306"/>
      <c r="S53" s="306" t="s">
        <v>829</v>
      </c>
      <c r="T53" s="397"/>
      <c r="U53" s="444"/>
      <c r="W53" s="445" t="s">
        <v>830</v>
      </c>
      <c r="X53" s="446"/>
      <c r="Y53" s="446"/>
      <c r="Z53" s="446"/>
      <c r="AA53" s="446"/>
      <c r="AB53" s="446"/>
      <c r="AE53" s="397"/>
      <c r="AH53" s="396"/>
      <c r="AJ53" s="345"/>
      <c r="AN53" s="397"/>
      <c r="AO53" s="397"/>
      <c r="AP53" s="397"/>
      <c r="AQ53" s="397"/>
      <c r="AR53" s="397"/>
      <c r="AS53" s="397"/>
      <c r="AT53" s="397"/>
      <c r="AU53" s="397"/>
      <c r="AV53" s="397"/>
    </row>
    <row r="54" spans="1:48">
      <c r="A54" s="296"/>
      <c r="B54" s="296"/>
      <c r="C54" s="296"/>
      <c r="D54" s="296"/>
      <c r="E54" s="296"/>
      <c r="F54" s="296"/>
      <c r="G54" s="296"/>
      <c r="H54" s="296"/>
      <c r="I54" s="296"/>
      <c r="J54" s="296"/>
      <c r="K54" s="296"/>
      <c r="L54" s="447"/>
      <c r="M54" s="447"/>
      <c r="N54" s="296"/>
      <c r="O54" s="296"/>
      <c r="P54" s="296"/>
      <c r="R54" s="448"/>
      <c r="S54" s="449" t="s">
        <v>794</v>
      </c>
      <c r="T54" s="449" t="s">
        <v>831</v>
      </c>
      <c r="U54" s="450" t="s">
        <v>797</v>
      </c>
      <c r="W54" s="451" t="s">
        <v>832</v>
      </c>
      <c r="X54" s="452">
        <v>3.7226020000000002</v>
      </c>
      <c r="Y54" s="453" t="s">
        <v>833</v>
      </c>
      <c r="Z54" s="454">
        <v>3.7226020000000002</v>
      </c>
      <c r="AC54" s="315"/>
      <c r="AE54" s="397"/>
      <c r="AJ54" s="345"/>
    </row>
    <row r="55" spans="1:48">
      <c r="A55" s="296"/>
      <c r="B55" s="296"/>
      <c r="C55" s="296"/>
      <c r="D55" s="296"/>
      <c r="E55" s="296"/>
      <c r="F55" s="296"/>
      <c r="G55" s="296"/>
      <c r="H55" s="296"/>
      <c r="I55" s="296"/>
      <c r="J55" s="447"/>
      <c r="K55" s="296"/>
      <c r="L55" s="447"/>
      <c r="M55" s="447"/>
      <c r="N55" s="296"/>
      <c r="O55" s="296"/>
      <c r="P55" s="296"/>
      <c r="R55" s="307" t="s">
        <v>753</v>
      </c>
      <c r="S55" s="431">
        <v>0.56200000000000006</v>
      </c>
      <c r="T55" s="431">
        <v>6.3799999999999996E-2</v>
      </c>
      <c r="U55" s="455">
        <f>ROUND(+S55*T55,5)</f>
        <v>3.5860000000000003E-2</v>
      </c>
      <c r="W55" s="456" t="s">
        <v>834</v>
      </c>
      <c r="X55" s="457">
        <v>3.7226020000000002</v>
      </c>
      <c r="Y55" s="458" t="s">
        <v>835</v>
      </c>
      <c r="Z55" s="459">
        <v>3.7226020000000002</v>
      </c>
      <c r="AC55" s="397"/>
      <c r="AE55" s="397"/>
      <c r="AF55" s="397"/>
      <c r="AG55" s="345"/>
      <c r="AJ55" s="345"/>
    </row>
    <row r="56" spans="1:48">
      <c r="A56" s="296"/>
      <c r="B56" s="296"/>
      <c r="C56" s="296"/>
      <c r="D56" s="296"/>
      <c r="E56" s="443"/>
      <c r="F56" s="296"/>
      <c r="G56" s="296"/>
      <c r="H56" s="296"/>
      <c r="I56" s="296"/>
      <c r="J56" s="447"/>
      <c r="K56" s="296"/>
      <c r="L56" s="447"/>
      <c r="M56" s="447"/>
      <c r="N56" s="296"/>
      <c r="O56" s="296"/>
      <c r="P56" s="296"/>
      <c r="R56" s="307" t="s">
        <v>836</v>
      </c>
      <c r="S56" s="431">
        <v>9.4E-2</v>
      </c>
      <c r="T56" s="431">
        <v>6.59E-2</v>
      </c>
      <c r="U56" s="455">
        <f>ROUND(+S56*T56,5)</f>
        <v>6.1900000000000002E-3</v>
      </c>
      <c r="W56" s="307"/>
      <c r="Y56" s="460"/>
      <c r="Z56" s="461"/>
      <c r="AC56" s="397"/>
      <c r="AE56" s="397"/>
      <c r="AF56" s="397"/>
      <c r="AG56" s="345"/>
      <c r="AH56" s="396"/>
      <c r="AJ56" s="345"/>
      <c r="AN56" s="397"/>
    </row>
    <row r="57" spans="1:48" ht="15.75">
      <c r="A57" s="296"/>
      <c r="B57" s="296"/>
      <c r="C57" s="296"/>
      <c r="D57" s="296"/>
      <c r="E57" s="443"/>
      <c r="F57" s="443"/>
      <c r="G57" s="443"/>
      <c r="H57" s="462"/>
      <c r="I57" s="443"/>
      <c r="J57" s="447"/>
      <c r="K57" s="296"/>
      <c r="L57" s="296"/>
      <c r="M57" s="296"/>
      <c r="N57" s="296"/>
      <c r="O57" s="296"/>
      <c r="P57" s="296"/>
      <c r="R57" s="307" t="s">
        <v>751</v>
      </c>
      <c r="S57" s="463">
        <v>0.34399999999999997</v>
      </c>
      <c r="T57" s="464"/>
      <c r="U57" s="465"/>
      <c r="W57" s="383"/>
      <c r="X57" s="466" t="s">
        <v>837</v>
      </c>
      <c r="Y57" s="467">
        <v>0.30151749999999999</v>
      </c>
      <c r="Z57" s="468"/>
      <c r="AC57" s="397"/>
      <c r="AE57" s="397"/>
      <c r="AF57" s="397"/>
      <c r="AG57" s="345"/>
      <c r="AH57" s="396"/>
      <c r="AJ57" s="345"/>
    </row>
    <row r="58" spans="1:48" ht="15.75">
      <c r="A58" s="296"/>
      <c r="B58" s="296"/>
      <c r="C58" s="296"/>
      <c r="D58" s="296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R58" s="383"/>
      <c r="S58" s="463">
        <f>SUM(S55:S57)</f>
        <v>1</v>
      </c>
      <c r="T58" s="469"/>
      <c r="U58" s="470"/>
      <c r="X58" s="397"/>
      <c r="Y58" s="397"/>
      <c r="Z58" s="397"/>
      <c r="AA58" s="412"/>
      <c r="AB58" s="345"/>
      <c r="AC58" s="397"/>
      <c r="AE58" s="397"/>
      <c r="AF58" s="397"/>
      <c r="AG58" s="345"/>
      <c r="AH58" s="396"/>
      <c r="AJ58" s="345"/>
    </row>
    <row r="59" spans="1:48">
      <c r="A59" s="296"/>
      <c r="B59" s="296"/>
      <c r="C59" s="296"/>
      <c r="D59" s="296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X59" s="471"/>
      <c r="Y59" s="471"/>
      <c r="Z59" s="471"/>
      <c r="AE59" s="397"/>
      <c r="AH59" s="396"/>
      <c r="AJ59" s="345"/>
      <c r="AN59" s="396"/>
      <c r="AO59" s="396"/>
      <c r="AP59" s="396"/>
      <c r="AQ59" s="396"/>
      <c r="AR59" s="396"/>
      <c r="AS59" s="396"/>
      <c r="AT59" s="396"/>
      <c r="AU59" s="396"/>
      <c r="AV59" s="396"/>
    </row>
    <row r="60" spans="1:48">
      <c r="A60" s="296"/>
      <c r="B60" s="296"/>
      <c r="C60" s="296"/>
      <c r="D60" s="296"/>
      <c r="E60" s="443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R60" s="306"/>
      <c r="S60" s="472"/>
      <c r="W60" s="448"/>
      <c r="X60" s="473" t="s">
        <v>804</v>
      </c>
      <c r="Y60" s="473" t="s">
        <v>838</v>
      </c>
      <c r="Z60" s="474" t="s">
        <v>732</v>
      </c>
      <c r="AE60" s="397"/>
      <c r="AJ60" s="345"/>
      <c r="AN60" s="396"/>
      <c r="AO60" s="396"/>
      <c r="AP60" s="396"/>
      <c r="AQ60" s="396"/>
      <c r="AR60" s="396"/>
      <c r="AS60" s="396"/>
      <c r="AT60" s="396"/>
      <c r="AU60" s="396"/>
      <c r="AV60" s="396"/>
    </row>
    <row r="61" spans="1:48">
      <c r="A61" s="296"/>
      <c r="B61" s="296"/>
      <c r="C61" s="296"/>
      <c r="D61" s="296"/>
      <c r="E61" s="296"/>
      <c r="F61" s="443"/>
      <c r="G61" s="443"/>
      <c r="H61" s="443"/>
      <c r="I61" s="443"/>
      <c r="J61" s="443"/>
      <c r="K61" s="443"/>
      <c r="L61" s="443"/>
      <c r="M61" s="443"/>
      <c r="N61" s="443"/>
      <c r="O61" s="296"/>
      <c r="P61" s="296"/>
      <c r="R61" s="306"/>
      <c r="W61" s="307"/>
      <c r="X61" s="475"/>
      <c r="Y61" s="475"/>
      <c r="Z61" s="476"/>
      <c r="AE61" s="397"/>
      <c r="AF61" s="397"/>
      <c r="AG61" s="345"/>
      <c r="AJ61" s="345"/>
      <c r="AN61" s="396"/>
      <c r="AO61" s="396"/>
      <c r="AP61" s="396"/>
      <c r="AQ61" s="396"/>
      <c r="AR61" s="396"/>
      <c r="AS61" s="396"/>
      <c r="AT61" s="396"/>
      <c r="AU61" s="396"/>
      <c r="AV61" s="396"/>
    </row>
    <row r="62" spans="1:48">
      <c r="A62" s="296"/>
      <c r="B62" s="296"/>
      <c r="C62" s="296"/>
      <c r="D62" s="296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R62" s="306"/>
      <c r="S62" s="472"/>
      <c r="W62" s="307"/>
      <c r="X62" s="429" t="s">
        <v>806</v>
      </c>
      <c r="Y62" s="430">
        <f t="shared" ref="Y62:Z67" ca="1" si="1">+J33</f>
        <v>0.45285452508936985</v>
      </c>
      <c r="Z62" s="430">
        <f t="shared" ca="1" si="1"/>
        <v>0.3607877540469453</v>
      </c>
      <c r="AE62" s="397"/>
      <c r="AF62" s="397"/>
      <c r="AG62" s="345"/>
      <c r="AH62" s="396"/>
      <c r="AJ62" s="345"/>
      <c r="AN62" s="396"/>
      <c r="AO62" s="396"/>
      <c r="AP62" s="396"/>
      <c r="AQ62" s="396"/>
      <c r="AR62" s="396"/>
      <c r="AS62" s="396"/>
      <c r="AT62" s="396"/>
      <c r="AU62" s="396"/>
      <c r="AV62" s="396"/>
    </row>
    <row r="63" spans="1:48">
      <c r="A63" s="296"/>
      <c r="B63" s="296"/>
      <c r="C63" s="296"/>
      <c r="D63" s="296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R63" s="306"/>
      <c r="W63" s="307"/>
      <c r="X63" s="429" t="s">
        <v>807</v>
      </c>
      <c r="Y63" s="430">
        <f t="shared" ca="1" si="1"/>
        <v>0.86346897204863227</v>
      </c>
      <c r="Z63" s="430">
        <f t="shared" ca="1" si="1"/>
        <v>0.68214048791841952</v>
      </c>
      <c r="AE63" s="397"/>
      <c r="AF63" s="397"/>
      <c r="AG63" s="345"/>
      <c r="AH63" s="396"/>
      <c r="AJ63" s="345"/>
    </row>
    <row r="64" spans="1:48">
      <c r="A64" s="306" t="b">
        <v>1</v>
      </c>
      <c r="B64" s="296"/>
      <c r="C64" s="296"/>
      <c r="F64" s="296"/>
      <c r="G64" s="296"/>
      <c r="H64" s="296"/>
      <c r="I64" s="296"/>
      <c r="J64" s="296"/>
      <c r="K64" s="296"/>
      <c r="L64" s="296"/>
      <c r="M64" s="296"/>
      <c r="N64" s="296"/>
      <c r="R64" s="306"/>
      <c r="S64" s="472"/>
      <c r="W64" s="307"/>
      <c r="X64" s="429" t="s">
        <v>755</v>
      </c>
      <c r="Y64" s="430">
        <f t="shared" ca="1" si="1"/>
        <v>0.93483700000000003</v>
      </c>
      <c r="Z64" s="430">
        <f t="shared" ca="1" si="1"/>
        <v>0.93502380047187716</v>
      </c>
      <c r="AE64" s="397"/>
      <c r="AF64" s="397"/>
      <c r="AG64" s="345"/>
      <c r="AH64" s="396"/>
      <c r="AJ64" s="345"/>
    </row>
    <row r="65" spans="8:40">
      <c r="H65" s="396"/>
      <c r="I65" s="396"/>
      <c r="J65" s="396"/>
      <c r="K65" s="396"/>
      <c r="L65" s="396"/>
      <c r="M65" s="396"/>
      <c r="N65" s="396"/>
      <c r="O65" s="396"/>
      <c r="R65" s="306"/>
      <c r="W65" s="307"/>
      <c r="X65" s="429" t="s">
        <v>809</v>
      </c>
      <c r="Y65" s="430">
        <f t="shared" ca="1" si="1"/>
        <v>6.5162999999999999E-2</v>
      </c>
      <c r="Z65" s="430">
        <f t="shared" ca="1" si="1"/>
        <v>6.5162999999999999E-2</v>
      </c>
      <c r="AE65" s="397"/>
      <c r="AH65" s="396"/>
      <c r="AJ65" s="345"/>
      <c r="AN65" s="396"/>
    </row>
    <row r="66" spans="8:40">
      <c r="H66" s="396"/>
      <c r="I66" s="396"/>
      <c r="J66" s="396"/>
      <c r="K66" s="396"/>
      <c r="L66" s="396"/>
      <c r="M66" s="396"/>
      <c r="N66" s="396"/>
      <c r="O66" s="396"/>
      <c r="R66" s="306"/>
      <c r="S66" s="472"/>
      <c r="W66" s="307"/>
      <c r="X66" s="429" t="s">
        <v>810</v>
      </c>
      <c r="Y66" s="430">
        <f t="shared" ca="1" si="1"/>
        <v>6.9695414856777065</v>
      </c>
      <c r="Z66" s="430">
        <f t="shared" ca="1" si="1"/>
        <v>6.9695414856777065</v>
      </c>
      <c r="AE66" s="397"/>
      <c r="AJ66" s="345"/>
    </row>
    <row r="67" spans="8:40">
      <c r="O67" s="396"/>
      <c r="W67" s="383"/>
      <c r="X67" s="478" t="s">
        <v>811</v>
      </c>
      <c r="Y67" s="479">
        <f t="shared" si="1"/>
        <v>0.21</v>
      </c>
      <c r="Z67" s="479">
        <f t="shared" si="1"/>
        <v>0.21</v>
      </c>
      <c r="AE67" s="397"/>
      <c r="AF67" s="397"/>
      <c r="AG67" s="345"/>
      <c r="AJ67" s="345"/>
    </row>
    <row r="68" spans="8:40">
      <c r="O68" s="396"/>
      <c r="W68" s="429"/>
      <c r="AE68" s="397"/>
      <c r="AF68" s="397"/>
      <c r="AG68" s="345"/>
      <c r="AH68" s="396"/>
      <c r="AJ68" s="345"/>
    </row>
    <row r="69" spans="8:40">
      <c r="O69" s="396"/>
      <c r="X69" s="397"/>
      <c r="Y69" s="397"/>
      <c r="Z69" s="397"/>
      <c r="AA69" s="412"/>
      <c r="AB69" s="345"/>
      <c r="AC69" s="397"/>
      <c r="AE69" s="397"/>
      <c r="AF69" s="397"/>
      <c r="AG69" s="345"/>
      <c r="AH69" s="396"/>
      <c r="AJ69" s="345"/>
    </row>
    <row r="70" spans="8:40">
      <c r="X70" s="397"/>
      <c r="Y70" s="397"/>
      <c r="Z70" s="397"/>
      <c r="AA70" s="412"/>
      <c r="AB70" s="345"/>
      <c r="AC70" s="397"/>
      <c r="AE70" s="397"/>
      <c r="AF70" s="397"/>
      <c r="AG70" s="345"/>
      <c r="AH70" s="396"/>
      <c r="AJ70" s="345"/>
    </row>
    <row r="71" spans="8:40">
      <c r="AE71" s="397"/>
      <c r="AH71" s="396"/>
      <c r="AJ71" s="345"/>
    </row>
    <row r="72" spans="8:40">
      <c r="AA72" s="315"/>
      <c r="AB72" s="315"/>
      <c r="AC72" s="315"/>
      <c r="AE72" s="397"/>
      <c r="AJ72" s="345"/>
    </row>
    <row r="73" spans="8:40">
      <c r="X73" s="397"/>
      <c r="Y73" s="397"/>
      <c r="Z73" s="397"/>
      <c r="AA73" s="412"/>
      <c r="AB73" s="345"/>
      <c r="AC73" s="397"/>
      <c r="AE73" s="397"/>
      <c r="AF73" s="397"/>
      <c r="AG73" s="345"/>
      <c r="AJ73" s="345"/>
    </row>
    <row r="74" spans="8:40">
      <c r="X74" s="397"/>
      <c r="Y74" s="397"/>
      <c r="Z74" s="397"/>
      <c r="AA74" s="412"/>
      <c r="AB74" s="345"/>
      <c r="AC74" s="397"/>
      <c r="AE74" s="397"/>
      <c r="AF74" s="397"/>
      <c r="AG74" s="345"/>
      <c r="AH74" s="396"/>
      <c r="AJ74" s="345"/>
    </row>
    <row r="75" spans="8:40">
      <c r="X75" s="397"/>
      <c r="Y75" s="397"/>
      <c r="Z75" s="397"/>
      <c r="AA75" s="412"/>
      <c r="AB75" s="345"/>
      <c r="AC75" s="397"/>
      <c r="AE75" s="397"/>
      <c r="AF75" s="397"/>
      <c r="AG75" s="345"/>
      <c r="AH75" s="396"/>
      <c r="AJ75" s="345"/>
    </row>
    <row r="76" spans="8:40">
      <c r="X76" s="397"/>
      <c r="Y76" s="397"/>
      <c r="Z76" s="397"/>
      <c r="AA76" s="412"/>
      <c r="AB76" s="345"/>
      <c r="AC76" s="397"/>
      <c r="AE76" s="397"/>
      <c r="AF76" s="397"/>
      <c r="AG76" s="345"/>
      <c r="AH76" s="396"/>
      <c r="AJ76" s="345"/>
    </row>
    <row r="77" spans="8:40">
      <c r="AE77" s="397"/>
      <c r="AH77" s="396"/>
      <c r="AJ77" s="345"/>
    </row>
    <row r="79" spans="8:40">
      <c r="X79" s="397"/>
      <c r="Y79" s="397"/>
      <c r="Z79" s="397"/>
      <c r="AA79" s="412"/>
      <c r="AB79" s="345"/>
      <c r="AC79" s="397"/>
      <c r="AF79" s="397"/>
      <c r="AG79" s="345"/>
    </row>
    <row r="80" spans="8:40">
      <c r="X80" s="397"/>
      <c r="Y80" s="397"/>
      <c r="Z80" s="397"/>
      <c r="AA80" s="412"/>
      <c r="AB80" s="345"/>
      <c r="AC80" s="397"/>
      <c r="AF80" s="397"/>
      <c r="AG80" s="345"/>
      <c r="AH80" s="396"/>
    </row>
    <row r="81" spans="24:34">
      <c r="X81" s="397"/>
      <c r="Y81" s="397"/>
      <c r="Z81" s="397"/>
      <c r="AA81" s="412"/>
      <c r="AB81" s="345"/>
      <c r="AC81" s="397"/>
      <c r="AF81" s="397"/>
      <c r="AG81" s="345"/>
      <c r="AH81" s="396"/>
    </row>
    <row r="82" spans="24:34">
      <c r="X82" s="397"/>
      <c r="Y82" s="397"/>
      <c r="Z82" s="397"/>
      <c r="AA82" s="412"/>
      <c r="AB82" s="345"/>
      <c r="AC82" s="397"/>
      <c r="AF82" s="397"/>
      <c r="AG82" s="345"/>
      <c r="AH82" s="396"/>
    </row>
    <row r="83" spans="24:34">
      <c r="AH83" s="396"/>
    </row>
    <row r="85" spans="24:34">
      <c r="X85" s="397"/>
      <c r="Y85" s="397"/>
      <c r="Z85" s="397"/>
      <c r="AA85" s="412"/>
      <c r="AB85" s="345"/>
      <c r="AC85" s="397"/>
      <c r="AF85" s="397"/>
      <c r="AG85" s="345"/>
    </row>
    <row r="86" spans="24:34">
      <c r="X86" s="397"/>
      <c r="Y86" s="397"/>
      <c r="Z86" s="397"/>
      <c r="AA86" s="412"/>
      <c r="AB86" s="345"/>
      <c r="AC86" s="397"/>
      <c r="AF86" s="397"/>
      <c r="AG86" s="345"/>
      <c r="AH86" s="396"/>
    </row>
    <row r="87" spans="24:34">
      <c r="X87" s="397"/>
      <c r="Y87" s="397"/>
      <c r="Z87" s="397"/>
      <c r="AA87" s="412"/>
      <c r="AB87" s="345"/>
      <c r="AC87" s="397"/>
      <c r="AF87" s="397"/>
      <c r="AG87" s="345"/>
      <c r="AH87" s="396"/>
    </row>
    <row r="88" spans="24:34">
      <c r="X88" s="397"/>
      <c r="Y88" s="397"/>
      <c r="Z88" s="397"/>
      <c r="AA88" s="412"/>
      <c r="AB88" s="345"/>
      <c r="AC88" s="397"/>
      <c r="AF88" s="397"/>
      <c r="AG88" s="345"/>
      <c r="AH88" s="396"/>
    </row>
    <row r="89" spans="24:34">
      <c r="AH89" s="396"/>
    </row>
    <row r="91" spans="24:34">
      <c r="X91" s="397"/>
      <c r="Y91" s="397"/>
      <c r="Z91" s="397"/>
      <c r="AA91" s="412"/>
      <c r="AB91" s="345"/>
      <c r="AC91" s="397"/>
      <c r="AF91" s="397"/>
      <c r="AG91" s="345"/>
    </row>
    <row r="92" spans="24:34">
      <c r="X92" s="397"/>
      <c r="Y92" s="397"/>
      <c r="Z92" s="397"/>
      <c r="AA92" s="412"/>
      <c r="AB92" s="345"/>
      <c r="AC92" s="397"/>
      <c r="AF92" s="397"/>
      <c r="AG92" s="345"/>
      <c r="AH92" s="396"/>
    </row>
    <row r="93" spans="24:34">
      <c r="X93" s="397"/>
      <c r="Y93" s="397"/>
      <c r="Z93" s="397"/>
      <c r="AA93" s="412"/>
      <c r="AB93" s="345"/>
      <c r="AC93" s="397"/>
      <c r="AF93" s="397"/>
      <c r="AG93" s="345"/>
      <c r="AH93" s="396"/>
    </row>
    <row r="94" spans="24:34">
      <c r="X94" s="397"/>
      <c r="Y94" s="397"/>
      <c r="Z94" s="397"/>
      <c r="AA94" s="412"/>
      <c r="AB94" s="345"/>
      <c r="AC94" s="397"/>
      <c r="AF94" s="397"/>
      <c r="AG94" s="345"/>
      <c r="AH94" s="396"/>
    </row>
    <row r="95" spans="24:34">
      <c r="AH95" s="396"/>
    </row>
    <row r="97" spans="24:34">
      <c r="X97" s="397"/>
      <c r="Y97" s="397"/>
      <c r="Z97" s="397"/>
      <c r="AA97" s="412"/>
      <c r="AB97" s="345"/>
      <c r="AC97" s="397"/>
      <c r="AF97" s="397"/>
      <c r="AG97" s="345"/>
    </row>
    <row r="98" spans="24:34">
      <c r="X98" s="397"/>
      <c r="Y98" s="397"/>
      <c r="Z98" s="397"/>
      <c r="AA98" s="412"/>
      <c r="AB98" s="345"/>
      <c r="AC98" s="397"/>
      <c r="AF98" s="397"/>
      <c r="AG98" s="345"/>
      <c r="AH98" s="396"/>
    </row>
    <row r="99" spans="24:34">
      <c r="X99" s="397"/>
      <c r="Y99" s="397"/>
      <c r="Z99" s="397"/>
      <c r="AA99" s="412"/>
      <c r="AB99" s="345"/>
      <c r="AC99" s="397"/>
      <c r="AF99" s="397"/>
      <c r="AG99" s="345"/>
      <c r="AH99" s="396"/>
    </row>
    <row r="100" spans="24:34">
      <c r="X100" s="397"/>
      <c r="Y100" s="397"/>
      <c r="Z100" s="397"/>
      <c r="AA100" s="412"/>
      <c r="AB100" s="345"/>
      <c r="AC100" s="397"/>
      <c r="AF100" s="397"/>
      <c r="AG100" s="345"/>
      <c r="AH100" s="396"/>
    </row>
    <row r="101" spans="24:34">
      <c r="AH101" s="396"/>
    </row>
    <row r="103" spans="24:34">
      <c r="X103" s="397"/>
      <c r="Y103" s="397"/>
      <c r="Z103" s="397"/>
      <c r="AA103" s="412"/>
      <c r="AB103" s="345"/>
      <c r="AC103" s="397"/>
      <c r="AF103" s="397"/>
      <c r="AG103" s="345"/>
    </row>
    <row r="104" spans="24:34">
      <c r="X104" s="397"/>
      <c r="Y104" s="397"/>
      <c r="Z104" s="397"/>
      <c r="AA104" s="412"/>
      <c r="AB104" s="345"/>
      <c r="AC104" s="397"/>
      <c r="AF104" s="397"/>
      <c r="AG104" s="345"/>
      <c r="AH104" s="396"/>
    </row>
    <row r="105" spans="24:34">
      <c r="X105" s="397"/>
      <c r="Y105" s="397"/>
      <c r="Z105" s="397"/>
      <c r="AA105" s="412"/>
      <c r="AB105" s="345"/>
      <c r="AC105" s="397"/>
      <c r="AF105" s="397"/>
      <c r="AG105" s="345"/>
      <c r="AH105" s="396"/>
    </row>
    <row r="106" spans="24:34">
      <c r="X106" s="397"/>
      <c r="Y106" s="397"/>
      <c r="Z106" s="397"/>
      <c r="AA106" s="412"/>
      <c r="AB106" s="345"/>
      <c r="AC106" s="397"/>
      <c r="AF106" s="397"/>
      <c r="AG106" s="345"/>
      <c r="AH106" s="396"/>
    </row>
    <row r="107" spans="24:34">
      <c r="AH107" s="396"/>
    </row>
    <row r="109" spans="24:34">
      <c r="X109" s="397"/>
      <c r="Y109" s="397"/>
      <c r="Z109" s="397"/>
      <c r="AA109" s="412"/>
      <c r="AB109" s="345"/>
      <c r="AC109" s="397"/>
      <c r="AF109" s="397"/>
      <c r="AG109" s="345"/>
    </row>
    <row r="110" spans="24:34">
      <c r="X110" s="397"/>
      <c r="Y110" s="397"/>
      <c r="Z110" s="397"/>
      <c r="AA110" s="412"/>
      <c r="AB110" s="345"/>
      <c r="AC110" s="397"/>
      <c r="AF110" s="397"/>
      <c r="AG110" s="345"/>
    </row>
    <row r="111" spans="24:34">
      <c r="X111" s="397"/>
      <c r="Y111" s="397"/>
      <c r="Z111" s="397"/>
      <c r="AA111" s="412"/>
      <c r="AB111" s="345"/>
      <c r="AC111" s="397"/>
      <c r="AF111" s="397"/>
      <c r="AG111" s="345"/>
    </row>
    <row r="112" spans="24:34">
      <c r="X112" s="397"/>
      <c r="Y112" s="397"/>
      <c r="Z112" s="397"/>
      <c r="AA112" s="412"/>
      <c r="AB112" s="345"/>
      <c r="AC112" s="397"/>
      <c r="AF112" s="397"/>
      <c r="AG112" s="345"/>
    </row>
  </sheetData>
  <mergeCells count="5">
    <mergeCell ref="B2:C2"/>
    <mergeCell ref="AH2:AK2"/>
    <mergeCell ref="B18:C18"/>
    <mergeCell ref="B19:C19"/>
    <mergeCell ref="L31:N31"/>
  </mergeCells>
  <pageMargins left="0.25" right="0.25" top="0.27" bottom="0.4" header="0.18" footer="0.25"/>
  <pageSetup scale="70" orientation="landscape" errors="blank" r:id="rId1"/>
  <headerFooter alignWithMargins="0">
    <oddFooter>&amp;L&amp;F - &amp;A&amp;CPrinted &amp;D - &amp;T&amp;RPage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8C03AE6FFDE542479E426FC159EF2F5C" ma:contentTypeVersion="19" ma:contentTypeDescription="" ma:contentTypeScope="" ma:versionID="848d4552dc6e97c34fcbc5945b02c921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TG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227</IndustryCode>
    <CaseStatus xmlns="dc463f71-b30c-4ab2-9473-d307f9d35888">Pending</CaseStatus>
    <OpenedDate xmlns="dc463f71-b30c-4ab2-9473-d307f9d35888">2025-08-22T07:00:00+00:00</OpenedDate>
    <SignificantOrder xmlns="dc463f71-b30c-4ab2-9473-d307f9d35888">false</SignificantOrder>
    <Date1 xmlns="dc463f71-b30c-4ab2-9473-d307f9d35888">2025-09-19T07:00:00+00:00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MURREY'S DISPOSAL COMPANY, INC.  </CaseCompanyNames>
    <Nickname xmlns="http://schemas.microsoft.com/sharepoint/v3" xsi:nil="true"/>
    <DocketNumber xmlns="dc463f71-b30c-4ab2-9473-d307f9d35888">250639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AB558D50-6081-4787-A4C6-7BB9B1C4CCF3}"/>
</file>

<file path=customXml/itemProps2.xml><?xml version="1.0" encoding="utf-8"?>
<ds:datastoreItem xmlns:ds="http://schemas.openxmlformats.org/officeDocument/2006/customXml" ds:itemID="{2C0ABB37-5DE4-42ED-9E36-E5EEED73B2A9}"/>
</file>

<file path=customXml/itemProps3.xml><?xml version="1.0" encoding="utf-8"?>
<ds:datastoreItem xmlns:ds="http://schemas.openxmlformats.org/officeDocument/2006/customXml" ds:itemID="{7F9A26F0-7A95-4E15-B639-0E4699C4AF59}"/>
</file>

<file path=customXml/itemProps4.xml><?xml version="1.0" encoding="utf-8"?>
<ds:datastoreItem xmlns:ds="http://schemas.openxmlformats.org/officeDocument/2006/customXml" ds:itemID="{B234E6F6-9A05-4209-A2D7-462459B0E572}"/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51</vt:i4>
      </vt:variant>
    </vt:vector>
  </HeadingPairs>
  <TitlesOfParts>
    <vt:vector size="60" baseType="lpstr">
      <vt:lpstr>Clallam Proposed Rates</vt:lpstr>
      <vt:lpstr>Jefferson Proposed Rates</vt:lpstr>
      <vt:lpstr>Jefferson Reg Price Out</vt:lpstr>
      <vt:lpstr>Clallam Reg Price Out</vt:lpstr>
      <vt:lpstr>CityPA-M Price Out</vt:lpstr>
      <vt:lpstr>Mill Haul Tie Out</vt:lpstr>
      <vt:lpstr>LG Public - Clallam Total</vt:lpstr>
      <vt:lpstr>LG Public - Jefferson Total</vt:lpstr>
      <vt:lpstr>LG Public - Mill Hauls</vt:lpstr>
      <vt:lpstr>'LG Public - Clallam Total'!Debt_Rate</vt:lpstr>
      <vt:lpstr>'LG Public - Jefferson Total'!Debt_Rate</vt:lpstr>
      <vt:lpstr>'LG Public - Mill Hauls'!Debt_Rate</vt:lpstr>
      <vt:lpstr>'LG Public - Clallam Total'!debtP</vt:lpstr>
      <vt:lpstr>'LG Public - Jefferson Total'!debtP</vt:lpstr>
      <vt:lpstr>'LG Public - Mill Hauls'!debtP</vt:lpstr>
      <vt:lpstr>'LG Public - Clallam Total'!Equity_percent</vt:lpstr>
      <vt:lpstr>'LG Public - Jefferson Total'!Equity_percent</vt:lpstr>
      <vt:lpstr>'LG Public - Mill Hauls'!Equity_percent</vt:lpstr>
      <vt:lpstr>'LG Public - Clallam Total'!equityP</vt:lpstr>
      <vt:lpstr>'LG Public - Jefferson Total'!equityP</vt:lpstr>
      <vt:lpstr>'LG Public - Mill Hauls'!equityP</vt:lpstr>
      <vt:lpstr>'LG Public - Clallam Total'!expenses</vt:lpstr>
      <vt:lpstr>'LG Public - Jefferson Total'!expenses</vt:lpstr>
      <vt:lpstr>'LG Public - Mill Hauls'!expenses</vt:lpstr>
      <vt:lpstr>'LG Public - Clallam Total'!Investment</vt:lpstr>
      <vt:lpstr>'LG Public - Jefferson Total'!Investment</vt:lpstr>
      <vt:lpstr>'LG Public - Mill Hauls'!Investment</vt:lpstr>
      <vt:lpstr>'LG Public - Clallam Total'!Pfd_weighted</vt:lpstr>
      <vt:lpstr>'LG Public - Jefferson Total'!Pfd_weighted</vt:lpstr>
      <vt:lpstr>'LG Public - Mill Hauls'!Pfd_weighted</vt:lpstr>
      <vt:lpstr>'Clallam Proposed Rates'!Print_Area</vt:lpstr>
      <vt:lpstr>'LG Public - Clallam Total'!Print_Area</vt:lpstr>
      <vt:lpstr>'LG Public - Jefferson Total'!Print_Area</vt:lpstr>
      <vt:lpstr>'LG Public - Mill Hauls'!Print_Area</vt:lpstr>
      <vt:lpstr>'Clallam Proposed Rates'!Print_Titles</vt:lpstr>
      <vt:lpstr>'Jefferson Proposed Rates'!Print_Titles</vt:lpstr>
      <vt:lpstr>'LG Public - Clallam Total'!regDebt_weighted</vt:lpstr>
      <vt:lpstr>'LG Public - Jefferson Total'!regDebt_weighted</vt:lpstr>
      <vt:lpstr>'LG Public - Mill Hauls'!regDebt_weighted</vt:lpstr>
      <vt:lpstr>'LG Public - Clallam Total'!Revenue</vt:lpstr>
      <vt:lpstr>'LG Public - Jefferson Total'!Revenue</vt:lpstr>
      <vt:lpstr>'LG Public - Mill Hauls'!Revenue</vt:lpstr>
      <vt:lpstr>'LG Public - Clallam Total'!slope</vt:lpstr>
      <vt:lpstr>'LG Public - Jefferson Total'!slope</vt:lpstr>
      <vt:lpstr>'LG Public - Mill Hauls'!slope</vt:lpstr>
      <vt:lpstr>'LG Public - Clallam Total'!taxrate</vt:lpstr>
      <vt:lpstr>'LG Public - Jefferson Total'!taxrate</vt:lpstr>
      <vt:lpstr>'LG Public - Mill Hauls'!taxrate</vt:lpstr>
      <vt:lpstr>'LG Public - Clallam Total'!y_inter1</vt:lpstr>
      <vt:lpstr>'LG Public - Jefferson Total'!y_inter1</vt:lpstr>
      <vt:lpstr>'LG Public - Mill Hauls'!y_inter1</vt:lpstr>
      <vt:lpstr>'LG Public - Clallam Total'!y_inter2</vt:lpstr>
      <vt:lpstr>'LG Public - Jefferson Total'!y_inter2</vt:lpstr>
      <vt:lpstr>'LG Public - Mill Hauls'!y_inter2</vt:lpstr>
      <vt:lpstr>'LG Public - Clallam Total'!y_inter3</vt:lpstr>
      <vt:lpstr>'LG Public - Jefferson Total'!y_inter3</vt:lpstr>
      <vt:lpstr>'LG Public - Mill Hauls'!y_inter3</vt:lpstr>
      <vt:lpstr>'LG Public - Clallam Total'!y_inter4</vt:lpstr>
      <vt:lpstr>'LG Public - Jefferson Total'!y_inter4</vt:lpstr>
      <vt:lpstr>'LG Public - Mill Hauls'!y_inter4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Vandenburg</dc:creator>
  <cp:lastModifiedBy>Booth, Avery (UTC)</cp:lastModifiedBy>
  <cp:lastPrinted>2025-08-22T15:24:44Z</cp:lastPrinted>
  <dcterms:created xsi:type="dcterms:W3CDTF">2025-08-15T19:00:36Z</dcterms:created>
  <dcterms:modified xsi:type="dcterms:W3CDTF">2025-09-18T23:31:40Z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0x0101006E56B4D1795A2E4DB2F0B01679ED314A008C03AE6FFDE542479E426FC159EF2F5C</vt:lpwstr>
  </property>
  <property fmtid="{D5CDD505-2E9C-101B-9397-08002B2CF9AE}" pid="3" name="_docset_NoMedatataSyncRequired">
    <vt:lpwstr>False</vt:lpwstr>
  </property>
</Properties>
</file>