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customProperty1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alcChain.xml" ContentType="application/vnd.openxmlformats-officedocument.spreadsheetml.calcChain+xml"/>
  <Override PartName="/xl/customProperty5.bin" ContentType="application/vnd.openxmlformats-officedocument.spreadsheetml.customProperty"/>
  <Override PartName="/xl/customProperty31.bin" ContentType="application/vnd.openxmlformats-officedocument.spreadsheetml.customProperty"/>
  <Override PartName="/xl/customProperty30.bin" ContentType="application/vnd.openxmlformats-officedocument.spreadsheetml.customProperty"/>
  <Override PartName="/docProps/app.xml" ContentType="application/vnd.openxmlformats-officedocument.extended-properti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docProps/core.xml" ContentType="application/vnd.openxmlformats-package.core-properties+xml"/>
  <Override PartName="/xl/customProperty29.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17.bin" ContentType="application/vnd.openxmlformats-officedocument.spreadsheetml.customProperty"/>
  <Override PartName="/xl/customProperty16.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7.bin" ContentType="application/vnd.openxmlformats-officedocument.spreadsheetml.customProperty"/>
  <Override PartName="/xl/customProperty20.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4.bin" ContentType="application/vnd.openxmlformats-officedocument.spreadsheetml.customProperty"/>
  <Override PartName="/xl/customProperty6.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GrpRates\Public\PGA Files\PGA2024_Nov 1, 2024 Effective Date\FINAL Filed on 9.16.2024 (UG-)\"/>
    </mc:Choice>
  </mc:AlternateContent>
  <bookViews>
    <workbookView xWindow="270" yWindow="435" windowWidth="24030" windowHeight="12840" tabRatio="957" activeTab="1"/>
  </bookViews>
  <sheets>
    <sheet name="REDACTED VERSION" sheetId="2" r:id="rId1"/>
    <sheet name="Summary Rates" sheetId="4" r:id="rId2"/>
    <sheet name="Sch. 106 PGA Amort Rates" sheetId="3" r:id="rId3"/>
    <sheet name="Sch. 106 Amort Balances" sheetId="5" r:id="rId4"/>
    <sheet name="Rate Impact -&gt;" sheetId="7" r:id="rId5"/>
    <sheet name="Rate Impacts Sch 101_106" sheetId="29" r:id="rId6"/>
    <sheet name="Typical Res Bill Sch 101_106" sheetId="30" r:id="rId7"/>
    <sheet name="Sch. 106" sheetId="31" r:id="rId8"/>
    <sheet name="Avg. Per Therm Combined" sheetId="32" r:id="rId9"/>
    <sheet name="Work Papers --&gt;" sheetId="12" r:id="rId10"/>
    <sheet name="191 Accounts Chart" sheetId="13" r:id="rId11"/>
    <sheet name="(R) 191 Accounts Balances" sheetId="14" r:id="rId12"/>
    <sheet name="(R) Cost Projections" sheetId="15" r:id="rId13"/>
    <sheet name="Calc Recovery" sheetId="16" r:id="rId14"/>
    <sheet name="Therm Forecast" sheetId="17" r:id="rId15"/>
    <sheet name="Gas Resource Allocation Study" sheetId="18" r:id="rId16"/>
    <sheet name="FERC interest rate " sheetId="19" r:id="rId17"/>
    <sheet name="Conversion Factor" sheetId="20" r:id="rId18"/>
  </sheets>
  <definedNames>
    <definedName name="_Order1">0</definedName>
    <definedName name="_Order2">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LATESTK">1000</definedName>
    <definedName name="IQ_LATESTQ">500</definedName>
    <definedName name="IQ_LTMMONTH">120000</definedName>
    <definedName name="IQ_TODAY">0</definedName>
    <definedName name="IQ_YTDMONTH">130000</definedName>
    <definedName name="_xlnm.Print_Area" localSheetId="11">'(R) 191 Accounts Balances'!$JJ$2:$KI$115</definedName>
    <definedName name="_xlnm.Print_Area" localSheetId="12">'(R) Cost Projections'!$A$1:$P$16</definedName>
    <definedName name="_xlnm.Print_Area" localSheetId="8">'Avg. Per Therm Combined'!$A$1:$L$38</definedName>
    <definedName name="_xlnm.Print_Area" localSheetId="13">'Calc Recovery'!$A$1:$P$150</definedName>
    <definedName name="_xlnm.Print_Area" localSheetId="17">'Conversion Factor'!$A$1:$E$25</definedName>
    <definedName name="_xlnm.Print_Area" localSheetId="16">'FERC interest rate '!$A$1:$O$25</definedName>
    <definedName name="_xlnm.Print_Area" localSheetId="15">'Gas Resource Allocation Study'!$B$1:$M$57</definedName>
    <definedName name="_xlnm.Print_Area" localSheetId="5">'Rate Impacts Sch 101_106'!$A$1:$AC$39</definedName>
    <definedName name="_xlnm.Print_Area" localSheetId="0">'REDACTED VERSION'!$A$1:$R$45</definedName>
    <definedName name="_xlnm.Print_Area" localSheetId="3">'Sch. 106 Amort Balances'!$A$1:$E$56</definedName>
    <definedName name="_xlnm.Print_Area" localSheetId="14">'Therm Forecast'!$A$1:$P$34</definedName>
    <definedName name="_xlnm.Print_Area" localSheetId="6">'Typical Res Bill Sch 101_106'!$B$1:$N$44</definedName>
    <definedName name="_xlnm.Print_Titles" localSheetId="11">'(R) 191 Accounts Balances'!$A:$C</definedName>
    <definedName name="_xlnm.Print_Titles" localSheetId="13">'Calc Recovery'!$1:$3</definedName>
    <definedName name="solver_ntri">1000</definedName>
    <definedName name="solver_rsmp">2</definedName>
    <definedName name="solver_seed">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2" l="1"/>
  <c r="I32" i="32"/>
  <c r="D32" i="32"/>
  <c r="E31" i="32"/>
  <c r="F31" i="32" s="1"/>
  <c r="I28" i="32"/>
  <c r="D28" i="32"/>
  <c r="L24" i="32"/>
  <c r="I35" i="32"/>
  <c r="F24" i="32"/>
  <c r="D35" i="32"/>
  <c r="I34" i="32"/>
  <c r="H23" i="32"/>
  <c r="J23" i="32" s="1"/>
  <c r="E34" i="32"/>
  <c r="F34" i="32" s="1"/>
  <c r="D34" i="32"/>
  <c r="L22" i="32"/>
  <c r="H22" i="32"/>
  <c r="H33" i="32" s="1"/>
  <c r="J21" i="32"/>
  <c r="L21" i="32"/>
  <c r="H21" i="32"/>
  <c r="F21" i="32"/>
  <c r="L20" i="32"/>
  <c r="F20" i="32"/>
  <c r="H20" i="32"/>
  <c r="H19" i="32"/>
  <c r="J19" i="32" s="1"/>
  <c r="L19" i="32"/>
  <c r="H18" i="32"/>
  <c r="H29" i="32" s="1"/>
  <c r="J17" i="32"/>
  <c r="I33" i="32"/>
  <c r="H17" i="32"/>
  <c r="E33" i="32"/>
  <c r="D33" i="32"/>
  <c r="L16" i="32"/>
  <c r="J16" i="32"/>
  <c r="F16" i="32"/>
  <c r="E32" i="32"/>
  <c r="F32" i="32" s="1"/>
  <c r="H16" i="32"/>
  <c r="H32" i="32" s="1"/>
  <c r="I31" i="32"/>
  <c r="H15" i="32"/>
  <c r="L15" i="32"/>
  <c r="D31" i="32"/>
  <c r="I30" i="32"/>
  <c r="E30" i="32"/>
  <c r="H14" i="32"/>
  <c r="H30" i="32" s="1"/>
  <c r="J13" i="32"/>
  <c r="I29" i="32"/>
  <c r="H13" i="32"/>
  <c r="E29" i="32"/>
  <c r="F29" i="32" s="1"/>
  <c r="D29" i="32"/>
  <c r="A13" i="32"/>
  <c r="A14" i="32" s="1"/>
  <c r="A15" i="32" s="1"/>
  <c r="A16" i="32" s="1"/>
  <c r="A17" i="32" s="1"/>
  <c r="A18" i="32" s="1"/>
  <c r="A19" i="32" s="1"/>
  <c r="A20" i="32" s="1"/>
  <c r="A21" i="32" s="1"/>
  <c r="A22" i="32" s="1"/>
  <c r="A23" i="32" s="1"/>
  <c r="A24" i="32" s="1"/>
  <c r="A25" i="32" s="1"/>
  <c r="A28" i="32" s="1"/>
  <c r="A29" i="32" s="1"/>
  <c r="A30" i="32" s="1"/>
  <c r="A31" i="32" s="1"/>
  <c r="A32" i="32" s="1"/>
  <c r="A33" i="32" s="1"/>
  <c r="A34" i="32" s="1"/>
  <c r="A35" i="32" s="1"/>
  <c r="A36" i="32" s="1"/>
  <c r="L12" i="32"/>
  <c r="J12" i="32"/>
  <c r="F12" i="32"/>
  <c r="H12" i="32"/>
  <c r="A12" i="32"/>
  <c r="I25" i="32"/>
  <c r="H11" i="32"/>
  <c r="H28" i="32" s="1"/>
  <c r="F11" i="32"/>
  <c r="D25" i="32"/>
  <c r="I9" i="32"/>
  <c r="H9" i="32"/>
  <c r="E9" i="32"/>
  <c r="L35" i="32" l="1"/>
  <c r="H31" i="32"/>
  <c r="H36" i="32" s="1"/>
  <c r="F33" i="32"/>
  <c r="L34" i="32"/>
  <c r="L29" i="32"/>
  <c r="J29" i="32"/>
  <c r="J30" i="32"/>
  <c r="L30" i="32"/>
  <c r="L32" i="32"/>
  <c r="L31" i="32"/>
  <c r="J31" i="32"/>
  <c r="L33" i="32"/>
  <c r="J33" i="32"/>
  <c r="J20" i="32"/>
  <c r="L28" i="32"/>
  <c r="F35" i="32"/>
  <c r="E25" i="32"/>
  <c r="F25" i="32" s="1"/>
  <c r="I36" i="32"/>
  <c r="F13" i="32"/>
  <c r="F18" i="32" s="1"/>
  <c r="J18" i="32" s="1"/>
  <c r="L18" i="32" s="1"/>
  <c r="L13" i="32"/>
  <c r="J14" i="32"/>
  <c r="F17" i="32"/>
  <c r="L17" i="32"/>
  <c r="J22" i="32"/>
  <c r="H24" i="32"/>
  <c r="H35" i="32" s="1"/>
  <c r="J35" i="32" s="1"/>
  <c r="E28" i="32"/>
  <c r="J28" i="32"/>
  <c r="J32" i="32"/>
  <c r="H34" i="32"/>
  <c r="J34" i="32" s="1"/>
  <c r="J11" i="32"/>
  <c r="F14" i="32"/>
  <c r="L14" i="32"/>
  <c r="J15" i="32"/>
  <c r="F22" i="32"/>
  <c r="D30" i="32"/>
  <c r="D36" i="32" s="1"/>
  <c r="L11" i="32"/>
  <c r="F15" i="32"/>
  <c r="F19" i="32"/>
  <c r="F23" i="32"/>
  <c r="L23" i="32"/>
  <c r="F30" i="32" l="1"/>
  <c r="L25" i="32"/>
  <c r="H25" i="32"/>
  <c r="J25" i="32" s="1"/>
  <c r="J24" i="32"/>
  <c r="F28" i="32"/>
  <c r="E36" i="32"/>
  <c r="F36" i="32" s="1"/>
  <c r="L36" i="32"/>
  <c r="J36" i="32"/>
  <c r="A2" i="5" l="1"/>
  <c r="A4" i="5"/>
  <c r="J16" i="31" l="1"/>
  <c r="E140" i="16" s="1"/>
  <c r="J15" i="31"/>
  <c r="E139" i="16" s="1"/>
  <c r="J14" i="31"/>
  <c r="E138" i="16" s="1"/>
  <c r="J13" i="31"/>
  <c r="E137" i="16" s="1"/>
  <c r="J12" i="31"/>
  <c r="E136" i="16" s="1"/>
  <c r="J11" i="31"/>
  <c r="E135" i="16" s="1"/>
  <c r="J10" i="31"/>
  <c r="E134" i="16" s="1"/>
  <c r="C9" i="31" l="1"/>
  <c r="G10" i="31"/>
  <c r="G11" i="31"/>
  <c r="G12" i="31"/>
  <c r="G13" i="31"/>
  <c r="G14" i="31"/>
  <c r="G15" i="31"/>
  <c r="G16" i="31"/>
  <c r="B2" i="30"/>
  <c r="B4" i="30"/>
  <c r="G12" i="30"/>
  <c r="G15" i="30"/>
  <c r="H15" i="30" s="1"/>
  <c r="J18" i="30"/>
  <c r="J19" i="30"/>
  <c r="J20" i="30"/>
  <c r="J21" i="30"/>
  <c r="J22" i="30"/>
  <c r="J23" i="30"/>
  <c r="J24" i="30"/>
  <c r="J25" i="30"/>
  <c r="J26" i="30"/>
  <c r="J27" i="30"/>
  <c r="J28" i="30"/>
  <c r="G31" i="30"/>
  <c r="H31" i="30" s="1"/>
  <c r="J33" i="30"/>
  <c r="D34" i="30"/>
  <c r="G34" i="30"/>
  <c r="X6" i="29"/>
  <c r="Z6" i="29"/>
  <c r="AB6" i="29"/>
  <c r="E7" i="29"/>
  <c r="X7" i="29"/>
  <c r="Z7" i="29"/>
  <c r="M28" i="29"/>
  <c r="N28" i="29"/>
  <c r="U28" i="29"/>
  <c r="A12" i="29"/>
  <c r="K28" i="29"/>
  <c r="S28" i="29"/>
  <c r="A13" i="29"/>
  <c r="L29" i="29"/>
  <c r="P29" i="29"/>
  <c r="Q29" i="29"/>
  <c r="T29" i="29"/>
  <c r="A14" i="29"/>
  <c r="A15" i="29" s="1"/>
  <c r="A16" i="29" s="1"/>
  <c r="A17" i="29" s="1"/>
  <c r="A18" i="29" s="1"/>
  <c r="A19" i="29" s="1"/>
  <c r="A20" i="29" s="1"/>
  <c r="A21" i="29" s="1"/>
  <c r="A22" i="29" s="1"/>
  <c r="A23" i="29" s="1"/>
  <c r="A24" i="29" s="1"/>
  <c r="A25" i="29" s="1"/>
  <c r="A28" i="29" s="1"/>
  <c r="I30" i="29"/>
  <c r="L30" i="29"/>
  <c r="P30" i="29"/>
  <c r="P31" i="29"/>
  <c r="Q31" i="29"/>
  <c r="I32" i="29"/>
  <c r="L32" i="29"/>
  <c r="L33" i="29"/>
  <c r="P33" i="29"/>
  <c r="X18" i="29"/>
  <c r="Z18" i="29"/>
  <c r="AC18" i="29"/>
  <c r="F19" i="29"/>
  <c r="N30" i="29"/>
  <c r="U30" i="29"/>
  <c r="G32" i="29"/>
  <c r="R32" i="29"/>
  <c r="T32" i="29"/>
  <c r="F22" i="29"/>
  <c r="G33" i="29"/>
  <c r="R33" i="29"/>
  <c r="T33" i="29"/>
  <c r="D34" i="29"/>
  <c r="E34" i="29"/>
  <c r="G34" i="29"/>
  <c r="K34" i="29"/>
  <c r="M34" i="29"/>
  <c r="N34" i="29"/>
  <c r="O34" i="29"/>
  <c r="P34" i="29"/>
  <c r="R34" i="29"/>
  <c r="S34" i="29"/>
  <c r="T34" i="29"/>
  <c r="D35" i="29"/>
  <c r="E35" i="29"/>
  <c r="G35" i="29"/>
  <c r="K35" i="29"/>
  <c r="O35" i="29"/>
  <c r="R35" i="29"/>
  <c r="S35" i="29"/>
  <c r="T35" i="29"/>
  <c r="A29" i="29"/>
  <c r="A30" i="29" s="1"/>
  <c r="A31" i="29" s="1"/>
  <c r="A32" i="29" s="1"/>
  <c r="Q30" i="29"/>
  <c r="I31" i="29"/>
  <c r="U31" i="29"/>
  <c r="P32" i="29"/>
  <c r="Q32" i="29"/>
  <c r="A33" i="29"/>
  <c r="A34" i="29" s="1"/>
  <c r="A35" i="29" s="1"/>
  <c r="A36" i="29" s="1"/>
  <c r="I33" i="29"/>
  <c r="Q33" i="29"/>
  <c r="U33" i="29"/>
  <c r="I34" i="29"/>
  <c r="J34" i="29"/>
  <c r="L34" i="29"/>
  <c r="Q34" i="29"/>
  <c r="U34" i="29"/>
  <c r="W34" i="29"/>
  <c r="Y34" i="29"/>
  <c r="AA34" i="29"/>
  <c r="I35" i="29"/>
  <c r="J35" i="29"/>
  <c r="L35" i="29"/>
  <c r="M35" i="29"/>
  <c r="N35" i="29"/>
  <c r="P35" i="29"/>
  <c r="Q35" i="29"/>
  <c r="U35" i="29"/>
  <c r="W35" i="29"/>
  <c r="Y35" i="29"/>
  <c r="AA35" i="29"/>
  <c r="M33" i="29" l="1"/>
  <c r="N31" i="29"/>
  <c r="M30" i="29"/>
  <c r="R28" i="29"/>
  <c r="F11" i="29"/>
  <c r="H11" i="29" s="1"/>
  <c r="G28" i="29"/>
  <c r="F18" i="29"/>
  <c r="H18" i="29" s="1"/>
  <c r="V18" i="29" s="1"/>
  <c r="AB18" i="29" s="1"/>
  <c r="S29" i="29"/>
  <c r="M31" i="29"/>
  <c r="O29" i="29"/>
  <c r="D32" i="29"/>
  <c r="O33" i="29"/>
  <c r="N32" i="29"/>
  <c r="D30" i="29"/>
  <c r="E30" i="29"/>
  <c r="K29" i="29"/>
  <c r="N33" i="29"/>
  <c r="M32" i="29"/>
  <c r="S31" i="29"/>
  <c r="K31" i="29"/>
  <c r="I25" i="29"/>
  <c r="Q25" i="29"/>
  <c r="O28" i="29"/>
  <c r="D28" i="29"/>
  <c r="S32" i="29"/>
  <c r="D33" i="29"/>
  <c r="D29" i="29"/>
  <c r="R31" i="29"/>
  <c r="H22" i="29"/>
  <c r="V22" i="29" s="1"/>
  <c r="S33" i="29"/>
  <c r="K33" i="29"/>
  <c r="E31" i="29"/>
  <c r="L28" i="29"/>
  <c r="U32" i="29"/>
  <c r="R30" i="29"/>
  <c r="O31" i="29"/>
  <c r="H19" i="29"/>
  <c r="V19" i="29" s="1"/>
  <c r="Z19" i="29" s="1"/>
  <c r="I29" i="29"/>
  <c r="F16" i="29"/>
  <c r="H16" i="29" s="1"/>
  <c r="U29" i="29"/>
  <c r="M25" i="29"/>
  <c r="G29" i="29"/>
  <c r="E33" i="29"/>
  <c r="G31" i="29"/>
  <c r="O32" i="29"/>
  <c r="T30" i="29"/>
  <c r="M29" i="29"/>
  <c r="U25" i="29"/>
  <c r="E25" i="29"/>
  <c r="F21" i="29"/>
  <c r="H21" i="29" s="1"/>
  <c r="F15" i="29"/>
  <c r="H15" i="29" s="1"/>
  <c r="T28" i="29"/>
  <c r="P28" i="29"/>
  <c r="P36" i="29" s="1"/>
  <c r="G18" i="30"/>
  <c r="E12" i="30"/>
  <c r="E13" i="30" s="1"/>
  <c r="F13" i="29"/>
  <c r="H13" i="29" s="1"/>
  <c r="D29" i="30"/>
  <c r="D42" i="30" s="1"/>
  <c r="K32" i="29"/>
  <c r="F20" i="29"/>
  <c r="H20" i="29" s="1"/>
  <c r="V20" i="29" s="1"/>
  <c r="F17" i="29"/>
  <c r="H17" i="29" s="1"/>
  <c r="F12" i="29"/>
  <c r="H12" i="29" s="1"/>
  <c r="F24" i="29"/>
  <c r="H24" i="29" s="1"/>
  <c r="V24" i="29" s="1"/>
  <c r="F23" i="29"/>
  <c r="H23" i="29" s="1"/>
  <c r="D35" i="30"/>
  <c r="E35" i="30" s="1"/>
  <c r="G27" i="30"/>
  <c r="G25" i="30"/>
  <c r="G23" i="30"/>
  <c r="G21" i="30"/>
  <c r="G19" i="30"/>
  <c r="E15" i="30"/>
  <c r="T31" i="29"/>
  <c r="L25" i="29"/>
  <c r="G25" i="29"/>
  <c r="R25" i="29"/>
  <c r="N25" i="29"/>
  <c r="F35" i="29"/>
  <c r="F34" i="29"/>
  <c r="F14" i="29"/>
  <c r="H14" i="29" s="1"/>
  <c r="E31" i="30"/>
  <c r="G28" i="30"/>
  <c r="G26" i="30"/>
  <c r="G24" i="30"/>
  <c r="G22" i="30"/>
  <c r="G20" i="30"/>
  <c r="S25" i="29"/>
  <c r="O25" i="29"/>
  <c r="K25" i="29"/>
  <c r="Q28" i="29"/>
  <c r="Q36" i="29" s="1"/>
  <c r="I28" i="29"/>
  <c r="J29" i="30"/>
  <c r="G13" i="30"/>
  <c r="H12" i="30"/>
  <c r="H13" i="30" s="1"/>
  <c r="D13" i="30"/>
  <c r="J12" i="30"/>
  <c r="M28" i="30"/>
  <c r="M27" i="30"/>
  <c r="M26" i="30"/>
  <c r="M25" i="30"/>
  <c r="M24" i="30"/>
  <c r="M23" i="30"/>
  <c r="M22" i="30"/>
  <c r="M21" i="30"/>
  <c r="M20" i="30"/>
  <c r="M19" i="30"/>
  <c r="M18" i="30"/>
  <c r="J31" i="30"/>
  <c r="K31" i="30" s="1"/>
  <c r="J15" i="30"/>
  <c r="K15" i="30" s="1"/>
  <c r="M31" i="30"/>
  <c r="N31" i="30" s="1"/>
  <c r="M15" i="30"/>
  <c r="N15" i="30" s="1"/>
  <c r="M12" i="30"/>
  <c r="E32" i="29"/>
  <c r="L31" i="29"/>
  <c r="D31" i="29"/>
  <c r="S30" i="29"/>
  <c r="O30" i="29"/>
  <c r="K30" i="29"/>
  <c r="G30" i="29"/>
  <c r="R29" i="29"/>
  <c r="N29" i="29"/>
  <c r="E28" i="29"/>
  <c r="T25" i="29"/>
  <c r="P25" i="29"/>
  <c r="D25" i="29"/>
  <c r="E29" i="29"/>
  <c r="D36" i="29" l="1"/>
  <c r="X22" i="29"/>
  <c r="AC22" i="29"/>
  <c r="H30" i="29"/>
  <c r="F30" i="29"/>
  <c r="F32" i="29"/>
  <c r="L36" i="29"/>
  <c r="H28" i="29"/>
  <c r="F29" i="29"/>
  <c r="K36" i="29"/>
  <c r="T36" i="29"/>
  <c r="U36" i="29"/>
  <c r="M36" i="29"/>
  <c r="I36" i="29"/>
  <c r="G29" i="30"/>
  <c r="H29" i="30" s="1"/>
  <c r="X20" i="29"/>
  <c r="AB20" i="29"/>
  <c r="AC20" i="29"/>
  <c r="Z20" i="29"/>
  <c r="F33" i="29"/>
  <c r="O36" i="29"/>
  <c r="H32" i="29"/>
  <c r="AC19" i="29"/>
  <c r="N36" i="29"/>
  <c r="AB19" i="29"/>
  <c r="H35" i="29"/>
  <c r="S36" i="29"/>
  <c r="X19" i="29"/>
  <c r="H29" i="29"/>
  <c r="H31" i="29"/>
  <c r="R36" i="29"/>
  <c r="AB22" i="29"/>
  <c r="F25" i="29"/>
  <c r="H25" i="29"/>
  <c r="Z22" i="29"/>
  <c r="G36" i="29"/>
  <c r="V21" i="29"/>
  <c r="AC21" i="29" s="1"/>
  <c r="H33" i="29"/>
  <c r="E29" i="30"/>
  <c r="E36" i="30" s="1"/>
  <c r="E38" i="30" s="1"/>
  <c r="D36" i="30"/>
  <c r="V23" i="29"/>
  <c r="H34" i="29"/>
  <c r="K12" i="30"/>
  <c r="K13" i="30" s="1"/>
  <c r="J13" i="30"/>
  <c r="M29" i="30"/>
  <c r="M13" i="30"/>
  <c r="N12" i="30"/>
  <c r="N13" i="30" s="1"/>
  <c r="K29" i="30"/>
  <c r="J42" i="30"/>
  <c r="F31" i="29"/>
  <c r="AC24" i="29"/>
  <c r="V35" i="29"/>
  <c r="X24" i="29"/>
  <c r="Z24" i="29"/>
  <c r="AB24" i="29"/>
  <c r="AB35" i="29" s="1"/>
  <c r="E36" i="29"/>
  <c r="F28" i="29"/>
  <c r="F36" i="29" l="1"/>
  <c r="G42" i="30"/>
  <c r="X21" i="29"/>
  <c r="H36" i="29"/>
  <c r="AB21" i="29"/>
  <c r="Z21" i="29"/>
  <c r="Z23" i="29"/>
  <c r="AC23" i="29"/>
  <c r="AB23" i="29"/>
  <c r="AB34" i="29" s="1"/>
  <c r="X23" i="29"/>
  <c r="V34" i="29"/>
  <c r="M42" i="30"/>
  <c r="N29" i="30"/>
  <c r="X35" i="29"/>
  <c r="AC35" i="29"/>
  <c r="Z35" i="29"/>
  <c r="X34" i="29" l="1"/>
  <c r="AC34" i="29"/>
  <c r="Z34" i="29"/>
  <c r="JS15" i="14" l="1"/>
  <c r="JS6" i="14"/>
  <c r="D134" i="16" l="1"/>
  <c r="B15" i="17" l="1"/>
  <c r="JK63" i="14" l="1"/>
  <c r="JL63" i="14"/>
  <c r="JM63" i="14"/>
  <c r="JN63" i="14"/>
  <c r="JO63" i="14"/>
  <c r="JP63" i="14"/>
  <c r="JQ63" i="14"/>
  <c r="JR63" i="14"/>
  <c r="JS63" i="14"/>
  <c r="JT63" i="14"/>
  <c r="JU63" i="14"/>
  <c r="JB57" i="14"/>
  <c r="JC57" i="14"/>
  <c r="JD57" i="14"/>
  <c r="JE57" i="14"/>
  <c r="JF57" i="14"/>
  <c r="JF66" i="14" s="1"/>
  <c r="JG57" i="14"/>
  <c r="JH57" i="14"/>
  <c r="JI57" i="14"/>
  <c r="JB58" i="14"/>
  <c r="JC58" i="14"/>
  <c r="JD58" i="14"/>
  <c r="JE58" i="14"/>
  <c r="JF58" i="14"/>
  <c r="JG58" i="14"/>
  <c r="JH58" i="14"/>
  <c r="JI58" i="14"/>
  <c r="JB63" i="14"/>
  <c r="JC63" i="14"/>
  <c r="JD63" i="14"/>
  <c r="JE63" i="14"/>
  <c r="JF63" i="14"/>
  <c r="JG63" i="14"/>
  <c r="JH63" i="14"/>
  <c r="JI63" i="14"/>
  <c r="JB65" i="14"/>
  <c r="JC65" i="14"/>
  <c r="JD65" i="14"/>
  <c r="JE65" i="14"/>
  <c r="JE66" i="14" s="1"/>
  <c r="JF65" i="14"/>
  <c r="JG65" i="14"/>
  <c r="JH65" i="14"/>
  <c r="JI65" i="14"/>
  <c r="JB66" i="14"/>
  <c r="JC66" i="14"/>
  <c r="JD66" i="14"/>
  <c r="JI66" i="14"/>
  <c r="JH66" i="14" l="1"/>
  <c r="JG66" i="14"/>
  <c r="JC52" i="14"/>
  <c r="JD52" i="14"/>
  <c r="JE52" i="14"/>
  <c r="JF52" i="14"/>
  <c r="JG52" i="14"/>
  <c r="JH52" i="14"/>
  <c r="C8" i="19" l="1"/>
  <c r="A4" i="17" l="1"/>
  <c r="A4" i="4"/>
  <c r="JI52" i="14" l="1"/>
  <c r="C8" i="15" l="1"/>
  <c r="JK57" i="14" l="1"/>
  <c r="JM57" i="14"/>
  <c r="JN57" i="14"/>
  <c r="JO57" i="14"/>
  <c r="JP57" i="14"/>
  <c r="JQ57" i="14"/>
  <c r="JS57" i="14"/>
  <c r="JT57" i="14"/>
  <c r="JU57" i="14"/>
  <c r="JJ63" i="14"/>
  <c r="JB48" i="14" l="1"/>
  <c r="JB52" i="14" s="1"/>
  <c r="D48" i="14"/>
  <c r="D52" i="14" s="1"/>
  <c r="D53" i="14" s="1"/>
  <c r="JB53" i="14" l="1"/>
  <c r="JC46" i="14" l="1"/>
  <c r="IZ77" i="14"/>
  <c r="JC53" i="14" l="1"/>
  <c r="IY106" i="14"/>
  <c r="IZ106" i="14"/>
  <c r="JA106" i="14"/>
  <c r="JB106" i="14"/>
  <c r="JC106" i="14"/>
  <c r="JD106" i="14"/>
  <c r="JE106" i="14"/>
  <c r="JF106" i="14"/>
  <c r="JG106" i="14"/>
  <c r="JH106" i="14"/>
  <c r="JI106" i="14"/>
  <c r="IY98" i="14"/>
  <c r="IZ98" i="14"/>
  <c r="JA98" i="14"/>
  <c r="JB98" i="14"/>
  <c r="JC98" i="14"/>
  <c r="JD98" i="14"/>
  <c r="JE98" i="14"/>
  <c r="JF98" i="14"/>
  <c r="JG98" i="14"/>
  <c r="JH98" i="14"/>
  <c r="JI98" i="14"/>
  <c r="IY90" i="14"/>
  <c r="IZ90" i="14"/>
  <c r="JA90" i="14"/>
  <c r="JB90" i="14"/>
  <c r="JC90" i="14"/>
  <c r="JD90" i="14"/>
  <c r="JE90" i="14"/>
  <c r="JF90" i="14"/>
  <c r="JG90" i="14"/>
  <c r="JH90" i="14"/>
  <c r="JI90" i="14"/>
  <c r="IY77" i="14"/>
  <c r="JA77" i="14"/>
  <c r="JB77" i="14"/>
  <c r="JC77" i="14"/>
  <c r="JD77" i="14"/>
  <c r="JE77" i="14"/>
  <c r="JF77" i="14"/>
  <c r="JG77" i="14"/>
  <c r="JH77" i="14"/>
  <c r="JI77" i="14"/>
  <c r="JA57" i="14"/>
  <c r="JJ57" i="14"/>
  <c r="JA58" i="14"/>
  <c r="JA63" i="14"/>
  <c r="JA65" i="14"/>
  <c r="IY57" i="14"/>
  <c r="IZ57" i="14"/>
  <c r="IY58" i="14"/>
  <c r="IZ58" i="14"/>
  <c r="IY63" i="14"/>
  <c r="IZ63" i="14"/>
  <c r="IY65" i="14"/>
  <c r="IZ65" i="14"/>
  <c r="IY42" i="14"/>
  <c r="IZ42" i="14"/>
  <c r="JA42" i="14"/>
  <c r="JB42" i="14"/>
  <c r="JC42" i="14"/>
  <c r="JD42" i="14"/>
  <c r="JE42" i="14"/>
  <c r="JF42" i="14"/>
  <c r="JG42" i="14"/>
  <c r="JH42" i="14"/>
  <c r="JI42" i="14"/>
  <c r="IZ66" i="14" l="1"/>
  <c r="IY66" i="14"/>
  <c r="JI112" i="14"/>
  <c r="JA66" i="14"/>
  <c r="JA112" i="14" s="1"/>
  <c r="JC112" i="14"/>
  <c r="JG112" i="14"/>
  <c r="JD46" i="14"/>
  <c r="JH112" i="14"/>
  <c r="JF112" i="14"/>
  <c r="JE112" i="14"/>
  <c r="JD112" i="14"/>
  <c r="JB112" i="14"/>
  <c r="IZ112" i="14"/>
  <c r="JD53" i="14" l="1"/>
  <c r="JE46" i="14" s="1"/>
  <c r="JE53" i="14" s="1"/>
  <c r="JF46" i="14" s="1"/>
  <c r="JF53" i="14" s="1"/>
  <c r="JG46" i="14" s="1"/>
  <c r="JG53" i="14" s="1"/>
  <c r="JH46" i="14" s="1"/>
  <c r="IY112" i="14"/>
  <c r="JH53" i="14" l="1"/>
  <c r="JI46" i="14" s="1"/>
  <c r="JI53" i="14" l="1"/>
  <c r="JJ46" i="14" s="1"/>
  <c r="IY31" i="14"/>
  <c r="IZ31" i="14"/>
  <c r="JA31" i="14"/>
  <c r="JB31" i="14"/>
  <c r="JC31" i="14"/>
  <c r="JD31" i="14"/>
  <c r="JE31" i="14"/>
  <c r="JF31" i="14"/>
  <c r="JG31" i="14"/>
  <c r="JH31" i="14"/>
  <c r="JI31" i="14"/>
  <c r="JJ31" i="14"/>
  <c r="IY20" i="14"/>
  <c r="IZ20" i="14"/>
  <c r="JA20" i="14"/>
  <c r="JB20" i="14"/>
  <c r="JC20" i="14"/>
  <c r="JD20" i="14"/>
  <c r="JE20" i="14"/>
  <c r="JF20" i="14"/>
  <c r="JG20" i="14"/>
  <c r="JH20" i="14"/>
  <c r="JI20" i="14"/>
  <c r="IY11" i="14"/>
  <c r="IZ11" i="14"/>
  <c r="JA11" i="14"/>
  <c r="JB11" i="14"/>
  <c r="JC11" i="14"/>
  <c r="JD11" i="14"/>
  <c r="JE11" i="14"/>
  <c r="JF11" i="14"/>
  <c r="JG11" i="14"/>
  <c r="JH11" i="14"/>
  <c r="JI11" i="14"/>
  <c r="C7" i="17" l="1"/>
  <c r="B7" i="17" s="1"/>
  <c r="E7" i="17"/>
  <c r="F7" i="17" s="1"/>
  <c r="G7" i="17" s="1"/>
  <c r="H7" i="17" s="1"/>
  <c r="I7" i="17" s="1"/>
  <c r="J7" i="17" s="1"/>
  <c r="K7" i="17" s="1"/>
  <c r="L7" i="17" s="1"/>
  <c r="M7" i="17" s="1"/>
  <c r="N7" i="17" s="1"/>
  <c r="O7" i="17" s="1"/>
  <c r="P30" i="17" l="1"/>
  <c r="D15" i="17"/>
  <c r="J15" i="17"/>
  <c r="F15" i="17"/>
  <c r="O15" i="17"/>
  <c r="G15" i="17"/>
  <c r="M15" i="17"/>
  <c r="I15" i="17"/>
  <c r="E15" i="17"/>
  <c r="L15" i="17"/>
  <c r="N15" i="17"/>
  <c r="H15" i="17"/>
  <c r="K15" i="17"/>
  <c r="C15" i="17"/>
  <c r="J36" i="18" l="1"/>
  <c r="I36" i="18"/>
  <c r="H36" i="18"/>
  <c r="G36" i="18"/>
  <c r="I37" i="18"/>
  <c r="G34" i="18"/>
  <c r="G33" i="18" l="1"/>
  <c r="H37" i="18"/>
  <c r="J37" i="18"/>
  <c r="J34" i="18"/>
  <c r="H35" i="18"/>
  <c r="I33" i="18"/>
  <c r="G35" i="18"/>
  <c r="J33" i="18"/>
  <c r="I35" i="18"/>
  <c r="G37" i="18"/>
  <c r="I34" i="18"/>
  <c r="H34" i="18"/>
  <c r="J35" i="18"/>
  <c r="H33" i="18"/>
  <c r="P6" i="17" l="1"/>
  <c r="E16" i="20"/>
  <c r="E18" i="20" s="1"/>
  <c r="B14" i="20"/>
  <c r="JJ52" i="14"/>
  <c r="A2" i="19"/>
  <c r="M54" i="18"/>
  <c r="M49" i="18"/>
  <c r="F29" i="18"/>
  <c r="F28" i="18"/>
  <c r="L49" i="18"/>
  <c r="K49" i="18"/>
  <c r="J49" i="18"/>
  <c r="I49" i="18"/>
  <c r="G49" i="18"/>
  <c r="B8" i="18"/>
  <c r="B9" i="18" s="1"/>
  <c r="B10" i="18" s="1"/>
  <c r="B11" i="18" s="1"/>
  <c r="B12" i="18" s="1"/>
  <c r="B13" i="18" s="1"/>
  <c r="B14" i="18" s="1"/>
  <c r="B15" i="18" s="1"/>
  <c r="B16" i="18" s="1"/>
  <c r="B17" i="18" s="1"/>
  <c r="B18" i="18" s="1"/>
  <c r="B19" i="18" s="1"/>
  <c r="B20" i="18" s="1"/>
  <c r="B21" i="18" s="1"/>
  <c r="B23" i="18" s="1"/>
  <c r="B24" i="18" s="1"/>
  <c r="B25" i="18" s="1"/>
  <c r="B26" i="18" s="1"/>
  <c r="B27" i="18" s="1"/>
  <c r="B28" i="18" s="1"/>
  <c r="B29" i="18" s="1"/>
  <c r="B31" i="18" s="1"/>
  <c r="B32" i="18" s="1"/>
  <c r="B33" i="18" s="1"/>
  <c r="B34" i="18" s="1"/>
  <c r="B35" i="18" s="1"/>
  <c r="B36" i="18" s="1"/>
  <c r="B37" i="18" s="1"/>
  <c r="B38" i="18" s="1"/>
  <c r="B40" i="18" s="1"/>
  <c r="B41" i="18" s="1"/>
  <c r="B42" i="18" s="1"/>
  <c r="B43" i="18" s="1"/>
  <c r="B44" i="18" s="1"/>
  <c r="B45" i="18" s="1"/>
  <c r="B46" i="18" s="1"/>
  <c r="B47" i="18" s="1"/>
  <c r="B49" i="18" s="1"/>
  <c r="B51" i="18" s="1"/>
  <c r="B52" i="18" s="1"/>
  <c r="B53" i="18" s="1"/>
  <c r="B54" i="18" s="1"/>
  <c r="P19" i="16"/>
  <c r="O19" i="16"/>
  <c r="N19" i="16"/>
  <c r="M19" i="16"/>
  <c r="L19" i="16"/>
  <c r="K19" i="16"/>
  <c r="I19" i="16"/>
  <c r="H19" i="16"/>
  <c r="F19" i="16"/>
  <c r="E19" i="16"/>
  <c r="E46" i="16" s="1"/>
  <c r="D19" i="16"/>
  <c r="C19" i="16"/>
  <c r="O18" i="16"/>
  <c r="N18" i="16"/>
  <c r="M18" i="16"/>
  <c r="L18" i="16"/>
  <c r="K18" i="16"/>
  <c r="J18" i="16"/>
  <c r="I18" i="16"/>
  <c r="F18" i="16"/>
  <c r="D18" i="16"/>
  <c r="C18" i="16"/>
  <c r="C45" i="16" s="1"/>
  <c r="P17" i="16"/>
  <c r="O17" i="16"/>
  <c r="M17" i="16"/>
  <c r="L17" i="16"/>
  <c r="K17" i="16"/>
  <c r="J17" i="16"/>
  <c r="I17" i="16"/>
  <c r="H17" i="16"/>
  <c r="G17" i="16"/>
  <c r="E17" i="16"/>
  <c r="E44" i="16" s="1"/>
  <c r="D17" i="16"/>
  <c r="P16" i="16"/>
  <c r="O16" i="16"/>
  <c r="N16" i="16"/>
  <c r="M16" i="16"/>
  <c r="K16" i="16"/>
  <c r="J16" i="16"/>
  <c r="I16" i="16"/>
  <c r="H16" i="16"/>
  <c r="G16" i="16"/>
  <c r="E16" i="16"/>
  <c r="C16" i="16"/>
  <c r="D21" i="17"/>
  <c r="C21" i="17"/>
  <c r="P13" i="16"/>
  <c r="O13" i="16"/>
  <c r="M13" i="16"/>
  <c r="L13" i="16"/>
  <c r="K13" i="16"/>
  <c r="J13" i="16"/>
  <c r="I13" i="16"/>
  <c r="H13" i="16"/>
  <c r="G13" i="16"/>
  <c r="E13" i="16"/>
  <c r="E47" i="16" s="1"/>
  <c r="D13" i="16"/>
  <c r="C13" i="16"/>
  <c r="C47" i="16" s="1"/>
  <c r="P11" i="16"/>
  <c r="O11" i="16"/>
  <c r="N11" i="16"/>
  <c r="J11" i="16"/>
  <c r="I11" i="16"/>
  <c r="H11" i="16"/>
  <c r="G11" i="16"/>
  <c r="C11" i="16"/>
  <c r="P10" i="16"/>
  <c r="O10" i="16"/>
  <c r="N10" i="16"/>
  <c r="M10" i="16"/>
  <c r="L10" i="16"/>
  <c r="I10" i="16"/>
  <c r="H10" i="16"/>
  <c r="G10" i="16"/>
  <c r="F10" i="16"/>
  <c r="E10" i="16"/>
  <c r="D10" i="16"/>
  <c r="O9" i="16"/>
  <c r="N9" i="16"/>
  <c r="M9" i="16"/>
  <c r="L9" i="16"/>
  <c r="K9" i="16"/>
  <c r="J9" i="16"/>
  <c r="G9" i="16"/>
  <c r="F9" i="16"/>
  <c r="E9" i="16"/>
  <c r="D9" i="16"/>
  <c r="C9" i="16"/>
  <c r="P8" i="16"/>
  <c r="M8" i="16"/>
  <c r="L8" i="16"/>
  <c r="K8" i="16"/>
  <c r="J8" i="16"/>
  <c r="H8" i="16"/>
  <c r="E8" i="16"/>
  <c r="D8" i="16"/>
  <c r="C8" i="16"/>
  <c r="P7" i="16"/>
  <c r="N7" i="16"/>
  <c r="K7" i="16"/>
  <c r="J7" i="16"/>
  <c r="I7" i="16"/>
  <c r="H7" i="16"/>
  <c r="G7" i="16"/>
  <c r="F7" i="16"/>
  <c r="P6" i="16"/>
  <c r="O6" i="16"/>
  <c r="N6" i="16"/>
  <c r="M6" i="16"/>
  <c r="L6" i="16"/>
  <c r="I6" i="16"/>
  <c r="H6" i="16"/>
  <c r="E6" i="16"/>
  <c r="D6" i="16"/>
  <c r="O5" i="16"/>
  <c r="N5" i="16"/>
  <c r="M5" i="16"/>
  <c r="K5" i="16"/>
  <c r="J5" i="16"/>
  <c r="G5" i="16"/>
  <c r="F5" i="16"/>
  <c r="C5" i="16"/>
  <c r="B21" i="17"/>
  <c r="C102" i="16"/>
  <c r="D102" i="16" s="1"/>
  <c r="D82" i="16"/>
  <c r="D81" i="16"/>
  <c r="D80" i="16"/>
  <c r="D79" i="16"/>
  <c r="D78" i="16"/>
  <c r="D77" i="16"/>
  <c r="D76" i="16"/>
  <c r="D52" i="16"/>
  <c r="F33" i="16"/>
  <c r="G33" i="16" s="1"/>
  <c r="D33" i="16"/>
  <c r="F32" i="16"/>
  <c r="G32" i="16" s="1"/>
  <c r="D32" i="16"/>
  <c r="F31" i="16"/>
  <c r="G31" i="16" s="1"/>
  <c r="H31" i="16" s="1"/>
  <c r="I31" i="16" s="1"/>
  <c r="D31" i="16"/>
  <c r="D30" i="16"/>
  <c r="D29" i="16"/>
  <c r="D28" i="16"/>
  <c r="D27" i="16"/>
  <c r="D26" i="16"/>
  <c r="D25" i="16"/>
  <c r="D24" i="16"/>
  <c r="J19" i="16"/>
  <c r="G19" i="16"/>
  <c r="P18" i="16"/>
  <c r="H18" i="16"/>
  <c r="G18" i="16"/>
  <c r="E18" i="16"/>
  <c r="E45" i="16" s="1"/>
  <c r="N17" i="16"/>
  <c r="F17" i="16"/>
  <c r="C17" i="16"/>
  <c r="C44" i="16" s="1"/>
  <c r="L16" i="16"/>
  <c r="F16" i="16"/>
  <c r="D16" i="16"/>
  <c r="N13" i="16"/>
  <c r="F13" i="16"/>
  <c r="M11" i="16"/>
  <c r="L11" i="16"/>
  <c r="K11" i="16"/>
  <c r="E11" i="16"/>
  <c r="D11" i="16"/>
  <c r="K10" i="16"/>
  <c r="J10" i="16"/>
  <c r="C10" i="16"/>
  <c r="P9" i="16"/>
  <c r="I9" i="16"/>
  <c r="H9" i="16"/>
  <c r="O8" i="16"/>
  <c r="N8" i="16"/>
  <c r="G8" i="16"/>
  <c r="F8" i="16"/>
  <c r="M7" i="16"/>
  <c r="L7" i="16"/>
  <c r="E7" i="16"/>
  <c r="D7" i="16"/>
  <c r="C7" i="16"/>
  <c r="K6" i="16"/>
  <c r="J6" i="16"/>
  <c r="C6" i="16"/>
  <c r="P5" i="16"/>
  <c r="I5" i="16"/>
  <c r="H5" i="16"/>
  <c r="E5" i="16"/>
  <c r="C3" i="16"/>
  <c r="D3" i="16" s="1"/>
  <c r="E3" i="16" s="1"/>
  <c r="F3" i="16" s="1"/>
  <c r="G3" i="16" s="1"/>
  <c r="H3" i="16" s="1"/>
  <c r="I3" i="16" s="1"/>
  <c r="J3" i="16" s="1"/>
  <c r="K3" i="16" s="1"/>
  <c r="L3" i="16" s="1"/>
  <c r="M3" i="16" s="1"/>
  <c r="N3" i="16" s="1"/>
  <c r="O3" i="16" s="1"/>
  <c r="P3" i="16" s="1"/>
  <c r="D8" i="15"/>
  <c r="IW106" i="14"/>
  <c r="IV106" i="14"/>
  <c r="IU106" i="14"/>
  <c r="IT106" i="14"/>
  <c r="IS106" i="14"/>
  <c r="IR106" i="14"/>
  <c r="IQ106" i="14"/>
  <c r="IP106" i="14"/>
  <c r="IO106" i="14"/>
  <c r="IN106" i="14"/>
  <c r="IM106" i="14"/>
  <c r="IL106" i="14"/>
  <c r="IK106" i="14"/>
  <c r="IJ106" i="14"/>
  <c r="II106" i="14"/>
  <c r="IH106" i="14"/>
  <c r="IG106" i="14"/>
  <c r="IF106" i="14"/>
  <c r="IE106" i="14"/>
  <c r="ID106" i="14"/>
  <c r="IC106" i="14"/>
  <c r="IB106" i="14"/>
  <c r="IA106" i="14"/>
  <c r="HZ106" i="14"/>
  <c r="HY106" i="14"/>
  <c r="HX106" i="14"/>
  <c r="HW106" i="14"/>
  <c r="HV106" i="14"/>
  <c r="HU106" i="14"/>
  <c r="HT106" i="14"/>
  <c r="HS106" i="14"/>
  <c r="HR106" i="14"/>
  <c r="HQ106" i="14"/>
  <c r="HP106" i="14"/>
  <c r="HO106" i="14"/>
  <c r="HN106" i="14"/>
  <c r="HM106" i="14"/>
  <c r="HL106" i="14"/>
  <c r="HK106" i="14"/>
  <c r="HJ106" i="14"/>
  <c r="HI106" i="14"/>
  <c r="HH106" i="14"/>
  <c r="HG106" i="14"/>
  <c r="HF106" i="14"/>
  <c r="HE106" i="14"/>
  <c r="HD106" i="14"/>
  <c r="HC106" i="14"/>
  <c r="HB106" i="14"/>
  <c r="HA106" i="14"/>
  <c r="GZ106" i="14"/>
  <c r="GY106" i="14"/>
  <c r="GX106" i="14"/>
  <c r="GW106" i="14"/>
  <c r="GV106" i="14"/>
  <c r="GU106" i="14"/>
  <c r="GT106" i="14"/>
  <c r="GS106" i="14"/>
  <c r="GR106" i="14"/>
  <c r="GQ106" i="14"/>
  <c r="GP106" i="14"/>
  <c r="GO106" i="14"/>
  <c r="GN106" i="14"/>
  <c r="GM106" i="14"/>
  <c r="GL106" i="14"/>
  <c r="GK106" i="14"/>
  <c r="GJ106" i="14"/>
  <c r="GI106" i="14"/>
  <c r="GH106" i="14"/>
  <c r="GG106" i="14"/>
  <c r="GF106" i="14"/>
  <c r="GE106" i="14"/>
  <c r="GD106" i="14"/>
  <c r="GC106" i="14"/>
  <c r="GB106" i="14"/>
  <c r="GA106" i="14"/>
  <c r="FZ106" i="14"/>
  <c r="FY106" i="14"/>
  <c r="FX106" i="14"/>
  <c r="FW106" i="14"/>
  <c r="FV106" i="14"/>
  <c r="FU106" i="14"/>
  <c r="FT106" i="14"/>
  <c r="FS106" i="14"/>
  <c r="FR106" i="14"/>
  <c r="FQ106" i="14"/>
  <c r="FP106" i="14"/>
  <c r="FO106" i="14"/>
  <c r="FN106" i="14"/>
  <c r="FM106" i="14"/>
  <c r="FL106" i="14"/>
  <c r="FK106" i="14"/>
  <c r="FJ106" i="14"/>
  <c r="FI106" i="14"/>
  <c r="FH106" i="14"/>
  <c r="FG106" i="14"/>
  <c r="FF106" i="14"/>
  <c r="FE106" i="14"/>
  <c r="FD106" i="14"/>
  <c r="FC106" i="14"/>
  <c r="FB106" i="14"/>
  <c r="FA106" i="14"/>
  <c r="EZ106" i="14"/>
  <c r="EY106" i="14"/>
  <c r="EX106" i="14"/>
  <c r="EW106" i="14"/>
  <c r="EV106" i="14"/>
  <c r="EU106" i="14"/>
  <c r="ET106" i="14"/>
  <c r="ES106" i="14"/>
  <c r="ER106" i="14"/>
  <c r="EQ106" i="14"/>
  <c r="EP106" i="14"/>
  <c r="EO106" i="14"/>
  <c r="EN106" i="14"/>
  <c r="EM106" i="14"/>
  <c r="EL106" i="14"/>
  <c r="EK106" i="14"/>
  <c r="EJ106" i="14"/>
  <c r="EI106" i="14"/>
  <c r="EH106" i="14"/>
  <c r="EG106" i="14"/>
  <c r="EF106" i="14"/>
  <c r="EE106" i="14"/>
  <c r="ED106" i="14"/>
  <c r="EC106" i="14"/>
  <c r="EB106" i="14"/>
  <c r="EA106" i="14"/>
  <c r="DZ106" i="14"/>
  <c r="DY106" i="14"/>
  <c r="DX106" i="14"/>
  <c r="DW106" i="14"/>
  <c r="DV106" i="14"/>
  <c r="DU106" i="14"/>
  <c r="DT106" i="14"/>
  <c r="DS106" i="14"/>
  <c r="DR106" i="14"/>
  <c r="DQ106" i="14"/>
  <c r="DP106" i="14"/>
  <c r="DO106" i="14"/>
  <c r="DN106" i="14"/>
  <c r="DM106" i="14"/>
  <c r="DL106" i="14"/>
  <c r="DK106" i="14"/>
  <c r="DJ106" i="14"/>
  <c r="DI106" i="14"/>
  <c r="DH106" i="14"/>
  <c r="DG106" i="14"/>
  <c r="DF106" i="14"/>
  <c r="DE106" i="14"/>
  <c r="DD106" i="14"/>
  <c r="DC106" i="14"/>
  <c r="DB106" i="14"/>
  <c r="DA106" i="14"/>
  <c r="CZ106" i="14"/>
  <c r="CY106" i="14"/>
  <c r="CX106" i="14"/>
  <c r="CW106" i="14"/>
  <c r="CV106" i="14"/>
  <c r="CU106" i="14"/>
  <c r="CT106" i="14"/>
  <c r="CS106" i="14"/>
  <c r="CR106" i="14"/>
  <c r="CQ106" i="14"/>
  <c r="CP106" i="14"/>
  <c r="CO106" i="14"/>
  <c r="CN106" i="14"/>
  <c r="CM106" i="14"/>
  <c r="CL106" i="14"/>
  <c r="CK106" i="14"/>
  <c r="CJ106" i="14"/>
  <c r="CI106" i="14"/>
  <c r="CH106" i="14"/>
  <c r="CG106" i="14"/>
  <c r="CF106" i="14"/>
  <c r="CE106" i="14"/>
  <c r="CD106" i="14"/>
  <c r="CC106" i="14"/>
  <c r="CB106" i="14"/>
  <c r="CA106" i="14"/>
  <c r="BZ106" i="14"/>
  <c r="BY106" i="14"/>
  <c r="BX106" i="14"/>
  <c r="BW106" i="14"/>
  <c r="BV106" i="14"/>
  <c r="BU106" i="14"/>
  <c r="BT106" i="14"/>
  <c r="BS106" i="14"/>
  <c r="BR106" i="14"/>
  <c r="BQ106" i="14"/>
  <c r="BP106" i="14"/>
  <c r="BO106" i="14"/>
  <c r="BN106" i="14"/>
  <c r="BM106" i="14"/>
  <c r="BL106" i="14"/>
  <c r="BK106" i="14"/>
  <c r="BJ106"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E106" i="14"/>
  <c r="D106" i="14"/>
  <c r="D107" i="14" s="1"/>
  <c r="E102" i="14" s="1"/>
  <c r="IW98" i="14"/>
  <c r="IV98" i="14"/>
  <c r="IU98" i="14"/>
  <c r="IT98" i="14"/>
  <c r="IS98" i="14"/>
  <c r="IR98" i="14"/>
  <c r="IQ98" i="14"/>
  <c r="IP98" i="14"/>
  <c r="IO98" i="14"/>
  <c r="IN98" i="14"/>
  <c r="IM98" i="14"/>
  <c r="IL98" i="14"/>
  <c r="IK98" i="14"/>
  <c r="IJ98" i="14"/>
  <c r="II98" i="14"/>
  <c r="IH98" i="14"/>
  <c r="IG98" i="14"/>
  <c r="IF98" i="14"/>
  <c r="IE98" i="14"/>
  <c r="ID98" i="14"/>
  <c r="IC98" i="14"/>
  <c r="IB98" i="14"/>
  <c r="IA98" i="14"/>
  <c r="HZ98" i="14"/>
  <c r="HY98" i="14"/>
  <c r="HX98" i="14"/>
  <c r="HW98" i="14"/>
  <c r="HV98" i="14"/>
  <c r="HU98" i="14"/>
  <c r="HT98" i="14"/>
  <c r="HS98" i="14"/>
  <c r="HR98" i="14"/>
  <c r="HQ98" i="14"/>
  <c r="HP98" i="14"/>
  <c r="HO98" i="14"/>
  <c r="HN98" i="14"/>
  <c r="HM98" i="14"/>
  <c r="HL98" i="14"/>
  <c r="HK98" i="14"/>
  <c r="HJ98" i="14"/>
  <c r="HI98" i="14"/>
  <c r="HH98" i="14"/>
  <c r="HG98" i="14"/>
  <c r="HF98" i="14"/>
  <c r="HE98" i="14"/>
  <c r="HD98" i="14"/>
  <c r="HB98" i="14"/>
  <c r="HA98" i="14"/>
  <c r="GZ98" i="14"/>
  <c r="GY98" i="14"/>
  <c r="GX98" i="14"/>
  <c r="GW98" i="14"/>
  <c r="GV98" i="14"/>
  <c r="GU98" i="14"/>
  <c r="GT98" i="14"/>
  <c r="GS98" i="14"/>
  <c r="GR98" i="14"/>
  <c r="GQ98" i="14"/>
  <c r="GP98" i="14"/>
  <c r="GO98" i="14"/>
  <c r="GN98" i="14"/>
  <c r="GM98" i="14"/>
  <c r="GL98" i="14"/>
  <c r="GK98" i="14"/>
  <c r="GJ98" i="14"/>
  <c r="GI98" i="14"/>
  <c r="GH98" i="14"/>
  <c r="GG98" i="14"/>
  <c r="GF98" i="14"/>
  <c r="GE98" i="14"/>
  <c r="GD98" i="14"/>
  <c r="GC98" i="14"/>
  <c r="GB98" i="14"/>
  <c r="GA98" i="14"/>
  <c r="FZ98" i="14"/>
  <c r="FY98" i="14"/>
  <c r="FX98" i="14"/>
  <c r="FW98" i="14"/>
  <c r="FV98" i="14"/>
  <c r="FU98" i="14"/>
  <c r="FT98" i="14"/>
  <c r="FS98" i="14"/>
  <c r="FR98" i="14"/>
  <c r="FQ98" i="14"/>
  <c r="FP98" i="14"/>
  <c r="FO98" i="14"/>
  <c r="FN98" i="14"/>
  <c r="FM98" i="14"/>
  <c r="FL98" i="14"/>
  <c r="FK98" i="14"/>
  <c r="FJ98" i="14"/>
  <c r="FI98" i="14"/>
  <c r="FH98" i="14"/>
  <c r="FG98" i="14"/>
  <c r="FF98" i="14"/>
  <c r="FE98" i="14"/>
  <c r="FD98" i="14"/>
  <c r="FC98" i="14"/>
  <c r="FB98" i="14"/>
  <c r="FA98" i="14"/>
  <c r="EZ98" i="14"/>
  <c r="EY98" i="14"/>
  <c r="EX98" i="14"/>
  <c r="EW98" i="14"/>
  <c r="EV98" i="14"/>
  <c r="EU98" i="14"/>
  <c r="ET98" i="14"/>
  <c r="ES98" i="14"/>
  <c r="ER98" i="14"/>
  <c r="EQ98" i="14"/>
  <c r="EP98" i="14"/>
  <c r="EO98" i="14"/>
  <c r="EN98" i="14"/>
  <c r="EM98" i="14"/>
  <c r="EL98" i="14"/>
  <c r="EK98" i="14"/>
  <c r="EJ98" i="14"/>
  <c r="EI98" i="14"/>
  <c r="EH98" i="14"/>
  <c r="EG98" i="14"/>
  <c r="EF98" i="14"/>
  <c r="EE98" i="14"/>
  <c r="ED98" i="14"/>
  <c r="EC98" i="14"/>
  <c r="EB98" i="14"/>
  <c r="EA98" i="14"/>
  <c r="DZ98" i="14"/>
  <c r="DY98" i="14"/>
  <c r="DX98" i="14"/>
  <c r="DW98" i="14"/>
  <c r="DV98" i="14"/>
  <c r="DU98" i="14"/>
  <c r="DT98" i="14"/>
  <c r="DS98" i="14"/>
  <c r="DR98" i="14"/>
  <c r="DQ98" i="14"/>
  <c r="DP98" i="14"/>
  <c r="DO98" i="14"/>
  <c r="DN98" i="14"/>
  <c r="DM98" i="14"/>
  <c r="DL98" i="14"/>
  <c r="DK98" i="14"/>
  <c r="DJ98" i="14"/>
  <c r="DI98" i="14"/>
  <c r="DH98" i="14"/>
  <c r="DG98" i="14"/>
  <c r="DF98" i="14"/>
  <c r="DE98" i="14"/>
  <c r="DD98" i="14"/>
  <c r="DC98" i="14"/>
  <c r="DB98" i="14"/>
  <c r="DA98" i="14"/>
  <c r="CZ98" i="14"/>
  <c r="CY98" i="14"/>
  <c r="CX98" i="14"/>
  <c r="CW98" i="14"/>
  <c r="CV98" i="14"/>
  <c r="CU98" i="14"/>
  <c r="CT98" i="14"/>
  <c r="CS98" i="14"/>
  <c r="CR98" i="14"/>
  <c r="CQ98" i="14"/>
  <c r="CP98" i="14"/>
  <c r="CO98" i="14"/>
  <c r="CN98" i="14"/>
  <c r="CM98" i="14"/>
  <c r="CL98" i="14"/>
  <c r="CK98" i="14"/>
  <c r="CJ98" i="14"/>
  <c r="CI98" i="14"/>
  <c r="CH98" i="14"/>
  <c r="CG98" i="14"/>
  <c r="CF98" i="14"/>
  <c r="CE98" i="14"/>
  <c r="CD98" i="14"/>
  <c r="CC98" i="14"/>
  <c r="CB98" i="14"/>
  <c r="CA98" i="14"/>
  <c r="BZ98" i="14"/>
  <c r="BY98" i="14"/>
  <c r="BX98" i="14"/>
  <c r="BW98" i="14"/>
  <c r="BV98" i="14"/>
  <c r="BU98" i="14"/>
  <c r="BT98" i="14"/>
  <c r="BS98" i="14"/>
  <c r="BR98" i="14"/>
  <c r="BQ98" i="14"/>
  <c r="BP98" i="14"/>
  <c r="BO98" i="14"/>
  <c r="BN98" i="14"/>
  <c r="BM98" i="14"/>
  <c r="BL98" i="14"/>
  <c r="BK98" i="14"/>
  <c r="BJ98" i="14"/>
  <c r="BI98" i="14"/>
  <c r="BH98" i="14"/>
  <c r="BG98" i="14"/>
  <c r="BF98" i="14"/>
  <c r="BE98" i="14"/>
  <c r="BD98" i="14"/>
  <c r="BC98" i="14"/>
  <c r="BB98" i="14"/>
  <c r="BA98" i="14"/>
  <c r="AZ98" i="14"/>
  <c r="AY98" i="14"/>
  <c r="AX98" i="14"/>
  <c r="AW98" i="14"/>
  <c r="AV98" i="14"/>
  <c r="AU98" i="14"/>
  <c r="AT98" i="14"/>
  <c r="AS98" i="14"/>
  <c r="AR98" i="14"/>
  <c r="AQ98" i="14"/>
  <c r="AP98" i="14"/>
  <c r="AO98" i="14"/>
  <c r="AN98" i="14"/>
  <c r="AM98" i="14"/>
  <c r="AL98" i="14"/>
  <c r="AK98" i="14"/>
  <c r="AJ98" i="14"/>
  <c r="AI98" i="14"/>
  <c r="AH98" i="14"/>
  <c r="AG98" i="14"/>
  <c r="AF98" i="14"/>
  <c r="AE98"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E98" i="14"/>
  <c r="D98" i="14"/>
  <c r="D99" i="14" s="1"/>
  <c r="E94" i="14" s="1"/>
  <c r="HC97" i="14"/>
  <c r="HC98" i="14" s="1"/>
  <c r="IW90" i="14"/>
  <c r="IV90" i="14"/>
  <c r="IU90" i="14"/>
  <c r="IT90" i="14"/>
  <c r="IS90" i="14"/>
  <c r="IR90" i="14"/>
  <c r="IQ90" i="14"/>
  <c r="IP90" i="14"/>
  <c r="IO90" i="14"/>
  <c r="IN90" i="14"/>
  <c r="IM90" i="14"/>
  <c r="IL90" i="14"/>
  <c r="IK90" i="14"/>
  <c r="IJ90" i="14"/>
  <c r="II90" i="14"/>
  <c r="IH90" i="14"/>
  <c r="IG90" i="14"/>
  <c r="IF90" i="14"/>
  <c r="IE90" i="14"/>
  <c r="ID90" i="14"/>
  <c r="IC90" i="14"/>
  <c r="IB90" i="14"/>
  <c r="IA90" i="14"/>
  <c r="HZ90" i="14"/>
  <c r="HY90" i="14"/>
  <c r="HX90" i="14"/>
  <c r="HW90" i="14"/>
  <c r="HV90" i="14"/>
  <c r="HU90" i="14"/>
  <c r="HT90" i="14"/>
  <c r="HS90" i="14"/>
  <c r="HR90" i="14"/>
  <c r="HQ90" i="14"/>
  <c r="HP90" i="14"/>
  <c r="HO90" i="14"/>
  <c r="HN90" i="14"/>
  <c r="HM90" i="14"/>
  <c r="HL90" i="14"/>
  <c r="HK90" i="14"/>
  <c r="HJ90" i="14"/>
  <c r="HI90" i="14"/>
  <c r="HH90" i="14"/>
  <c r="HG90" i="14"/>
  <c r="HF90" i="14"/>
  <c r="HE90" i="14"/>
  <c r="HD90" i="14"/>
  <c r="HC90" i="14"/>
  <c r="HB90" i="14"/>
  <c r="HA90" i="14"/>
  <c r="GZ90" i="14"/>
  <c r="GY90" i="14"/>
  <c r="GX90" i="14"/>
  <c r="GW90" i="14"/>
  <c r="GV90" i="14"/>
  <c r="GU90" i="14"/>
  <c r="GT90" i="14"/>
  <c r="GS90" i="14"/>
  <c r="GR90" i="14"/>
  <c r="GQ90" i="14"/>
  <c r="GP90" i="14"/>
  <c r="GO90" i="14"/>
  <c r="GN90" i="14"/>
  <c r="GM90" i="14"/>
  <c r="GL90" i="14"/>
  <c r="GK90" i="14"/>
  <c r="GJ90" i="14"/>
  <c r="GI90" i="14"/>
  <c r="GH90" i="14"/>
  <c r="GG90" i="14"/>
  <c r="GF90" i="14"/>
  <c r="GE90" i="14"/>
  <c r="GD90" i="14"/>
  <c r="GC90" i="14"/>
  <c r="GB90" i="14"/>
  <c r="GA90" i="14"/>
  <c r="FZ90" i="14"/>
  <c r="FY90" i="14"/>
  <c r="FX90" i="14"/>
  <c r="FW90" i="14"/>
  <c r="FV90" i="14"/>
  <c r="FU90" i="14"/>
  <c r="FT90" i="14"/>
  <c r="FS90" i="14"/>
  <c r="FR90" i="14"/>
  <c r="FQ90" i="14"/>
  <c r="FP90" i="14"/>
  <c r="FO90" i="14"/>
  <c r="FN90" i="14"/>
  <c r="FM90" i="14"/>
  <c r="FL90" i="14"/>
  <c r="FK90" i="14"/>
  <c r="FJ90" i="14"/>
  <c r="FI90" i="14"/>
  <c r="FH90" i="14"/>
  <c r="FG90" i="14"/>
  <c r="FF90" i="14"/>
  <c r="FE90" i="14"/>
  <c r="FD90" i="14"/>
  <c r="FC90" i="14"/>
  <c r="FB90" i="14"/>
  <c r="FA90" i="14"/>
  <c r="EZ90" i="14"/>
  <c r="EY90" i="14"/>
  <c r="EX90" i="14"/>
  <c r="EW90" i="14"/>
  <c r="EV90" i="14"/>
  <c r="EU90" i="14"/>
  <c r="ET90" i="14"/>
  <c r="ES90" i="14"/>
  <c r="ER90" i="14"/>
  <c r="EQ90" i="14"/>
  <c r="EP90" i="14"/>
  <c r="EO90" i="14"/>
  <c r="EN90" i="14"/>
  <c r="EM90" i="14"/>
  <c r="EL90" i="14"/>
  <c r="EK90" i="14"/>
  <c r="EJ90" i="14"/>
  <c r="EI90" i="14"/>
  <c r="EH90" i="14"/>
  <c r="EG90" i="14"/>
  <c r="EF90" i="14"/>
  <c r="EE90" i="14"/>
  <c r="ED90" i="14"/>
  <c r="EC90" i="14"/>
  <c r="EB90" i="14"/>
  <c r="EA90" i="14"/>
  <c r="DZ90" i="14"/>
  <c r="DY90" i="14"/>
  <c r="DX90" i="14"/>
  <c r="DW90" i="14"/>
  <c r="DV90" i="14"/>
  <c r="DU90" i="14"/>
  <c r="DT90" i="14"/>
  <c r="DS90" i="14"/>
  <c r="DR90" i="14"/>
  <c r="DQ90" i="14"/>
  <c r="DP90" i="14"/>
  <c r="DO90" i="14"/>
  <c r="DN90" i="14"/>
  <c r="DM90" i="14"/>
  <c r="DL90" i="14"/>
  <c r="DK90" i="14"/>
  <c r="DJ90" i="14"/>
  <c r="DI90" i="14"/>
  <c r="DH90" i="14"/>
  <c r="DG90" i="14"/>
  <c r="DF90" i="14"/>
  <c r="DE90" i="14"/>
  <c r="DD90" i="14"/>
  <c r="DC90" i="14"/>
  <c r="DB90" i="14"/>
  <c r="DA90" i="14"/>
  <c r="CZ90" i="14"/>
  <c r="CY90" i="14"/>
  <c r="CX90" i="14"/>
  <c r="CW90" i="14"/>
  <c r="CV90" i="14"/>
  <c r="CU90" i="14"/>
  <c r="CT90" i="14"/>
  <c r="CS90" i="14"/>
  <c r="CR90" i="14"/>
  <c r="CQ90" i="14"/>
  <c r="CP90" i="14"/>
  <c r="CO90" i="14"/>
  <c r="CN90" i="14"/>
  <c r="CM90" i="14"/>
  <c r="CL90" i="14"/>
  <c r="CK90" i="14"/>
  <c r="CJ90" i="14"/>
  <c r="CI90" i="14"/>
  <c r="CH90" i="14"/>
  <c r="CG90" i="14"/>
  <c r="CF90" i="14"/>
  <c r="CE90" i="14"/>
  <c r="CD90" i="14"/>
  <c r="CC90" i="14"/>
  <c r="CB90" i="14"/>
  <c r="CA90" i="14"/>
  <c r="BZ90" i="14"/>
  <c r="BY90" i="14"/>
  <c r="BX90" i="14"/>
  <c r="BW90" i="14"/>
  <c r="BV90" i="14"/>
  <c r="BU90" i="14"/>
  <c r="BT90" i="14"/>
  <c r="BS90" i="14"/>
  <c r="BR90" i="14"/>
  <c r="BR91" i="14" s="1"/>
  <c r="BS81" i="14" s="1"/>
  <c r="BQ90" i="14"/>
  <c r="BP90" i="14"/>
  <c r="BO90" i="14"/>
  <c r="BN90" i="14"/>
  <c r="BM90" i="14"/>
  <c r="BL90" i="14"/>
  <c r="BK90" i="14"/>
  <c r="BJ90" i="14"/>
  <c r="BI90" i="14"/>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F90" i="14"/>
  <c r="E90" i="14"/>
  <c r="D90" i="14"/>
  <c r="D91" i="14" s="1"/>
  <c r="E81" i="14" s="1"/>
  <c r="IW77" i="14"/>
  <c r="IV77" i="14"/>
  <c r="IU77" i="14"/>
  <c r="IT77" i="14"/>
  <c r="IS77" i="14"/>
  <c r="IR77" i="14"/>
  <c r="IQ77" i="14"/>
  <c r="IP77" i="14"/>
  <c r="IO77" i="14"/>
  <c r="IN77" i="14"/>
  <c r="IM77" i="14"/>
  <c r="IL77" i="14"/>
  <c r="IK77" i="14"/>
  <c r="IJ77" i="14"/>
  <c r="II77" i="14"/>
  <c r="IH77" i="14"/>
  <c r="IG77" i="14"/>
  <c r="IF77" i="14"/>
  <c r="IE77" i="14"/>
  <c r="ID77" i="14"/>
  <c r="IC77" i="14"/>
  <c r="IB77" i="14"/>
  <c r="IA77" i="14"/>
  <c r="HZ77" i="14"/>
  <c r="HY77" i="14"/>
  <c r="HX77" i="14"/>
  <c r="HW77" i="14"/>
  <c r="HV77" i="14"/>
  <c r="HU77" i="14"/>
  <c r="HT77" i="14"/>
  <c r="HS77" i="14"/>
  <c r="HR77" i="14"/>
  <c r="HQ77" i="14"/>
  <c r="HP77" i="14"/>
  <c r="HO77" i="14"/>
  <c r="HN77" i="14"/>
  <c r="HM77" i="14"/>
  <c r="HL77" i="14"/>
  <c r="HK77" i="14"/>
  <c r="HJ77" i="14"/>
  <c r="HI77" i="14"/>
  <c r="HH77" i="14"/>
  <c r="HG77" i="14"/>
  <c r="HF77" i="14"/>
  <c r="HE77" i="14"/>
  <c r="HD77" i="14"/>
  <c r="HC77" i="14"/>
  <c r="HB77" i="14"/>
  <c r="HA77" i="14"/>
  <c r="GZ77" i="14"/>
  <c r="GY77" i="14"/>
  <c r="GX77" i="14"/>
  <c r="GW77" i="14"/>
  <c r="GV77" i="14"/>
  <c r="GU77" i="14"/>
  <c r="GT77" i="14"/>
  <c r="GS77" i="14"/>
  <c r="GR77" i="14"/>
  <c r="GQ77" i="14"/>
  <c r="GP77" i="14"/>
  <c r="GO77" i="14"/>
  <c r="GN77" i="14"/>
  <c r="GM77" i="14"/>
  <c r="GL77" i="14"/>
  <c r="GK77" i="14"/>
  <c r="GJ77" i="14"/>
  <c r="GI77" i="14"/>
  <c r="GH77" i="14"/>
  <c r="GG77" i="14"/>
  <c r="GF77" i="14"/>
  <c r="GE77" i="14"/>
  <c r="GD77" i="14"/>
  <c r="GC77" i="14"/>
  <c r="GB77" i="14"/>
  <c r="GA77" i="14"/>
  <c r="FZ77" i="14"/>
  <c r="FY77" i="14"/>
  <c r="FX77" i="14"/>
  <c r="FW77" i="14"/>
  <c r="FV77" i="14"/>
  <c r="FU77" i="14"/>
  <c r="FT77" i="14"/>
  <c r="FS77" i="14"/>
  <c r="FR77" i="14"/>
  <c r="FQ77" i="14"/>
  <c r="FP77" i="14"/>
  <c r="FO77" i="14"/>
  <c r="FN77" i="14"/>
  <c r="FM77" i="14"/>
  <c r="FL77" i="14"/>
  <c r="FK77" i="14"/>
  <c r="FJ77" i="14"/>
  <c r="FI77" i="14"/>
  <c r="FH77" i="14"/>
  <c r="FG77" i="14"/>
  <c r="FF77" i="14"/>
  <c r="FE77" i="14"/>
  <c r="FD77" i="14"/>
  <c r="FC77" i="14"/>
  <c r="FB77" i="14"/>
  <c r="FA77" i="14"/>
  <c r="EZ77" i="14"/>
  <c r="EY77" i="14"/>
  <c r="EX77" i="14"/>
  <c r="EW77" i="14"/>
  <c r="EV77" i="14"/>
  <c r="EU77" i="14"/>
  <c r="ET77" i="14"/>
  <c r="ES77" i="14"/>
  <c r="ER77" i="14"/>
  <c r="EQ77" i="14"/>
  <c r="EP77" i="14"/>
  <c r="EO77" i="14"/>
  <c r="EN77" i="14"/>
  <c r="EM77" i="14"/>
  <c r="EL77" i="14"/>
  <c r="EK77" i="14"/>
  <c r="EJ77" i="14"/>
  <c r="EI77" i="14"/>
  <c r="EH77" i="14"/>
  <c r="EG77" i="14"/>
  <c r="EF77" i="14"/>
  <c r="EE77" i="14"/>
  <c r="ED77" i="14"/>
  <c r="EC77" i="14"/>
  <c r="EB77" i="14"/>
  <c r="EA77" i="14"/>
  <c r="DZ77" i="14"/>
  <c r="DY77" i="14"/>
  <c r="DX77" i="14"/>
  <c r="DW77" i="14"/>
  <c r="DV77" i="14"/>
  <c r="DU77" i="14"/>
  <c r="DT77" i="14"/>
  <c r="DS77" i="14"/>
  <c r="DR77" i="14"/>
  <c r="DQ77" i="14"/>
  <c r="DP77" i="14"/>
  <c r="DO77" i="14"/>
  <c r="DN77" i="14"/>
  <c r="DM77" i="14"/>
  <c r="DL77" i="14"/>
  <c r="DK77" i="14"/>
  <c r="DJ77" i="14"/>
  <c r="DI77" i="14"/>
  <c r="DH77" i="14"/>
  <c r="DG77" i="14"/>
  <c r="DF77" i="14"/>
  <c r="DE77" i="14"/>
  <c r="DD77" i="14"/>
  <c r="DC77" i="14"/>
  <c r="DB77" i="14"/>
  <c r="DA77" i="14"/>
  <c r="CZ77" i="14"/>
  <c r="CY77" i="14"/>
  <c r="CX77" i="14"/>
  <c r="CW77" i="14"/>
  <c r="CV77" i="14"/>
  <c r="CU77" i="14"/>
  <c r="CT77" i="14"/>
  <c r="CS77" i="14"/>
  <c r="CR77" i="14"/>
  <c r="CQ77" i="14"/>
  <c r="CP77" i="14"/>
  <c r="CO77" i="14"/>
  <c r="CN77" i="14"/>
  <c r="CM77" i="14"/>
  <c r="CL77" i="14"/>
  <c r="CK77" i="14"/>
  <c r="CJ77" i="14"/>
  <c r="CI77" i="14"/>
  <c r="CH77" i="14"/>
  <c r="CG77" i="14"/>
  <c r="CF77" i="14"/>
  <c r="CE77" i="14"/>
  <c r="CD77" i="14"/>
  <c r="CC77" i="14"/>
  <c r="CB77" i="14"/>
  <c r="CA77" i="14"/>
  <c r="BZ77" i="14"/>
  <c r="BY77" i="14"/>
  <c r="BX77" i="14"/>
  <c r="BW77" i="14"/>
  <c r="BV77" i="14"/>
  <c r="BU77" i="14"/>
  <c r="BT77" i="14"/>
  <c r="BS77" i="14"/>
  <c r="BR77" i="14"/>
  <c r="BR78" i="14" s="1"/>
  <c r="BS70" i="14" s="1"/>
  <c r="BQ77" i="14"/>
  <c r="BP77" i="14"/>
  <c r="BO77" i="14"/>
  <c r="BN77" i="14"/>
  <c r="BM77" i="14"/>
  <c r="BL77" i="14"/>
  <c r="BK77" i="14"/>
  <c r="BJ77" i="14"/>
  <c r="BI77" i="14"/>
  <c r="BH77" i="14"/>
  <c r="BG77" i="14"/>
  <c r="BF77" i="14"/>
  <c r="BE77" i="14"/>
  <c r="BD77" i="14"/>
  <c r="BC77" i="14"/>
  <c r="BB77" i="14"/>
  <c r="BA77" i="14"/>
  <c r="AZ77" i="14"/>
  <c r="AY77" i="14"/>
  <c r="AX77" i="14"/>
  <c r="AW77" i="14"/>
  <c r="AV77" i="14"/>
  <c r="AU77" i="14"/>
  <c r="AT77" i="14"/>
  <c r="AS77" i="14"/>
  <c r="AR77" i="14"/>
  <c r="AQ77" i="14"/>
  <c r="AP77" i="14"/>
  <c r="AO77" i="14"/>
  <c r="AN77" i="14"/>
  <c r="AM77" i="14"/>
  <c r="AL77" i="14"/>
  <c r="AK77" i="14"/>
  <c r="AJ77" i="14"/>
  <c r="AI77" i="14"/>
  <c r="AH77" i="14"/>
  <c r="AG77" i="14"/>
  <c r="AF77" i="14"/>
  <c r="AE77"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D78" i="14" s="1"/>
  <c r="E70" i="14" s="1"/>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IW65" i="14"/>
  <c r="IV65" i="14"/>
  <c r="IU65" i="14"/>
  <c r="IT65" i="14"/>
  <c r="IS65" i="14"/>
  <c r="IR65" i="14"/>
  <c r="IQ65" i="14"/>
  <c r="IP65" i="14"/>
  <c r="IO65" i="14"/>
  <c r="IN65" i="14"/>
  <c r="IM65" i="14"/>
  <c r="IL65" i="14"/>
  <c r="IK65" i="14"/>
  <c r="IJ65" i="14"/>
  <c r="II65" i="14"/>
  <c r="IH65" i="14"/>
  <c r="IG65" i="14"/>
  <c r="IF65" i="14"/>
  <c r="IE65" i="14"/>
  <c r="ID65" i="14"/>
  <c r="IC65" i="14"/>
  <c r="IB65" i="14"/>
  <c r="IA65" i="14"/>
  <c r="HZ65" i="14"/>
  <c r="HY65" i="14"/>
  <c r="HX65" i="14"/>
  <c r="HW65" i="14"/>
  <c r="HV65" i="14"/>
  <c r="HU65" i="14"/>
  <c r="HT65" i="14"/>
  <c r="HS65" i="14"/>
  <c r="HR65" i="14"/>
  <c r="HQ65" i="14"/>
  <c r="HP65" i="14"/>
  <c r="HO65" i="14"/>
  <c r="HN65" i="14"/>
  <c r="HM65" i="14"/>
  <c r="HL65" i="14"/>
  <c r="HK65" i="14"/>
  <c r="HJ65" i="14"/>
  <c r="HI65" i="14"/>
  <c r="HH65" i="14"/>
  <c r="HG65" i="14"/>
  <c r="HF65" i="14"/>
  <c r="HE65" i="14"/>
  <c r="HD65" i="14"/>
  <c r="HB65" i="14"/>
  <c r="HA65" i="14"/>
  <c r="GZ65" i="14"/>
  <c r="GY65" i="14"/>
  <c r="GX65" i="14"/>
  <c r="GW65" i="14"/>
  <c r="GV65" i="14"/>
  <c r="GU65" i="14"/>
  <c r="GT65" i="14"/>
  <c r="GS65" i="14"/>
  <c r="GR65" i="14"/>
  <c r="GQ65" i="14"/>
  <c r="GP65" i="14"/>
  <c r="GO65" i="14"/>
  <c r="GN65" i="14"/>
  <c r="GM65" i="14"/>
  <c r="GL65" i="14"/>
  <c r="GK65" i="14"/>
  <c r="GJ65" i="14"/>
  <c r="GI65" i="14"/>
  <c r="GH65" i="14"/>
  <c r="GG65" i="14"/>
  <c r="GF65" i="14"/>
  <c r="GE65" i="14"/>
  <c r="GD65" i="14"/>
  <c r="GC65" i="14"/>
  <c r="GB65" i="14"/>
  <c r="GA65" i="14"/>
  <c r="FZ65" i="14"/>
  <c r="FY65" i="14"/>
  <c r="FX65" i="14"/>
  <c r="FW65" i="14"/>
  <c r="FV65" i="14"/>
  <c r="FU65" i="14"/>
  <c r="FT65" i="14"/>
  <c r="FS65" i="14"/>
  <c r="FR65" i="14"/>
  <c r="FQ65" i="14"/>
  <c r="FP65" i="14"/>
  <c r="FO65" i="14"/>
  <c r="FN65" i="14"/>
  <c r="FM65" i="14"/>
  <c r="FL65" i="14"/>
  <c r="FK65" i="14"/>
  <c r="FJ65" i="14"/>
  <c r="FI65" i="14"/>
  <c r="FH65" i="14"/>
  <c r="FG65" i="14"/>
  <c r="FF65" i="14"/>
  <c r="FE65" i="14"/>
  <c r="FD65" i="14"/>
  <c r="FC65" i="14"/>
  <c r="FB65" i="14"/>
  <c r="FA65" i="14"/>
  <c r="EZ65" i="14"/>
  <c r="EY65" i="14"/>
  <c r="EX65" i="14"/>
  <c r="EW65" i="14"/>
  <c r="EV65" i="14"/>
  <c r="EU65" i="14"/>
  <c r="ET65" i="14"/>
  <c r="ES65" i="14"/>
  <c r="ER65" i="14"/>
  <c r="EQ65" i="14"/>
  <c r="EP65" i="14"/>
  <c r="EO65" i="14"/>
  <c r="EN65" i="14"/>
  <c r="EM65" i="14"/>
  <c r="EL65" i="14"/>
  <c r="EK65" i="14"/>
  <c r="EJ65" i="14"/>
  <c r="EI65" i="14"/>
  <c r="EH65" i="14"/>
  <c r="EG65" i="14"/>
  <c r="EF65" i="14"/>
  <c r="EE65" i="14"/>
  <c r="ED65" i="14"/>
  <c r="EC65" i="14"/>
  <c r="EB65" i="14"/>
  <c r="EA65" i="14"/>
  <c r="DZ65" i="14"/>
  <c r="DY65" i="14"/>
  <c r="DX65" i="14"/>
  <c r="DW65" i="14"/>
  <c r="DV65" i="14"/>
  <c r="DU65" i="14"/>
  <c r="DT65" i="14"/>
  <c r="DS65" i="14"/>
  <c r="DR65" i="14"/>
  <c r="DQ65" i="14"/>
  <c r="DP65" i="14"/>
  <c r="DO65" i="14"/>
  <c r="DN65" i="14"/>
  <c r="DM65" i="14"/>
  <c r="DL65" i="14"/>
  <c r="DK65" i="14"/>
  <c r="DJ65" i="14"/>
  <c r="DI65" i="14"/>
  <c r="DH65" i="14"/>
  <c r="DG65" i="14"/>
  <c r="DF65" i="14"/>
  <c r="DE65" i="14"/>
  <c r="DD65" i="14"/>
  <c r="DC65" i="14"/>
  <c r="DB65" i="14"/>
  <c r="DA65" i="14"/>
  <c r="CZ65" i="14"/>
  <c r="CY65" i="14"/>
  <c r="CX65" i="14"/>
  <c r="CW65" i="14"/>
  <c r="CV65" i="14"/>
  <c r="CU65" i="14"/>
  <c r="CT65" i="14"/>
  <c r="CS65" i="14"/>
  <c r="CR65" i="14"/>
  <c r="CQ65" i="14"/>
  <c r="CP65" i="14"/>
  <c r="CO65" i="14"/>
  <c r="CN65" i="14"/>
  <c r="CM65" i="14"/>
  <c r="CL65" i="14"/>
  <c r="CK65" i="14"/>
  <c r="CJ65" i="14"/>
  <c r="CI65" i="14"/>
  <c r="CH65" i="14"/>
  <c r="CG65" i="14"/>
  <c r="CF65" i="14"/>
  <c r="CE65" i="14"/>
  <c r="CD65" i="14"/>
  <c r="CC65" i="14"/>
  <c r="CB65" i="14"/>
  <c r="CA65" i="14"/>
  <c r="BZ65" i="14"/>
  <c r="BY65" i="14"/>
  <c r="BW65" i="14"/>
  <c r="BV65" i="14"/>
  <c r="BU65" i="14"/>
  <c r="BT65" i="14"/>
  <c r="BS65" i="14"/>
  <c r="BR65" i="14"/>
  <c r="BQ65" i="14"/>
  <c r="BP65" i="14"/>
  <c r="BO65" i="14"/>
  <c r="BN65" i="14"/>
  <c r="BM65" i="14"/>
  <c r="BL65" i="14"/>
  <c r="BK65" i="14"/>
  <c r="BJ65" i="14"/>
  <c r="BI65" i="14"/>
  <c r="BH65" i="14"/>
  <c r="BG65" i="14"/>
  <c r="BF65" i="14"/>
  <c r="BE65" i="14"/>
  <c r="BD65" i="14"/>
  <c r="BC65" i="14"/>
  <c r="BB65" i="14"/>
  <c r="BA65" i="14"/>
  <c r="AZ65" i="14"/>
  <c r="AY65" i="14"/>
  <c r="AX65" i="14"/>
  <c r="AW65" i="14"/>
  <c r="AV65" i="14"/>
  <c r="AU65" i="14"/>
  <c r="AT65" i="14"/>
  <c r="AS65" i="14"/>
  <c r="AR65" i="14"/>
  <c r="AQ65" i="14"/>
  <c r="AP65" i="14"/>
  <c r="AO65" i="14"/>
  <c r="AN65" i="14"/>
  <c r="AM65" i="14"/>
  <c r="AL65" i="14"/>
  <c r="AK65" i="14"/>
  <c r="AJ65" i="14"/>
  <c r="AI65" i="14"/>
  <c r="AH65" i="14"/>
  <c r="AG65" i="14"/>
  <c r="AF65" i="14"/>
  <c r="AE65" i="14"/>
  <c r="IX63" i="14"/>
  <c r="IW63" i="14"/>
  <c r="IV63" i="14"/>
  <c r="IU63" i="14"/>
  <c r="IT63" i="14"/>
  <c r="IS63" i="14"/>
  <c r="IR63" i="14"/>
  <c r="IQ63" i="14"/>
  <c r="IP63" i="14"/>
  <c r="IO63" i="14"/>
  <c r="IN63" i="14"/>
  <c r="IM63" i="14"/>
  <c r="IL63" i="14"/>
  <c r="IK63" i="14"/>
  <c r="IJ63" i="14"/>
  <c r="II63" i="14"/>
  <c r="IH63" i="14"/>
  <c r="IG63" i="14"/>
  <c r="IF63" i="14"/>
  <c r="IE63" i="14"/>
  <c r="ID63" i="14"/>
  <c r="IC63" i="14"/>
  <c r="IB63" i="14"/>
  <c r="IA63" i="14"/>
  <c r="HZ63" i="14"/>
  <c r="HY63" i="14"/>
  <c r="HX63" i="14"/>
  <c r="HW63" i="14"/>
  <c r="HV63" i="14"/>
  <c r="HU63" i="14"/>
  <c r="HT63" i="14"/>
  <c r="HS63" i="14"/>
  <c r="HR63" i="14"/>
  <c r="HQ63" i="14"/>
  <c r="HP63" i="14"/>
  <c r="HO63" i="14"/>
  <c r="HN63" i="14"/>
  <c r="HM63" i="14"/>
  <c r="HL63" i="14"/>
  <c r="HK63" i="14"/>
  <c r="HJ63" i="14"/>
  <c r="HI63" i="14"/>
  <c r="HH63" i="14"/>
  <c r="HG63" i="14"/>
  <c r="HF63" i="14"/>
  <c r="HE63" i="14"/>
  <c r="HD63" i="14"/>
  <c r="HC63" i="14"/>
  <c r="HB63" i="14"/>
  <c r="HA63" i="14"/>
  <c r="GZ63" i="14"/>
  <c r="GY63" i="14"/>
  <c r="GX63" i="14"/>
  <c r="GW63" i="14"/>
  <c r="GV63" i="14"/>
  <c r="GU63" i="14"/>
  <c r="GT63" i="14"/>
  <c r="GS63" i="14"/>
  <c r="GR63" i="14"/>
  <c r="GQ63" i="14"/>
  <c r="GP63" i="14"/>
  <c r="GO63" i="14"/>
  <c r="GN63" i="14"/>
  <c r="GM63" i="14"/>
  <c r="GL63" i="14"/>
  <c r="GK63" i="14"/>
  <c r="GJ63" i="14"/>
  <c r="GI63" i="14"/>
  <c r="GH63" i="14"/>
  <c r="GG63" i="14"/>
  <c r="GF63" i="14"/>
  <c r="GE63" i="14"/>
  <c r="GD63" i="14"/>
  <c r="GC63" i="14"/>
  <c r="GB63" i="14"/>
  <c r="GA63" i="14"/>
  <c r="FZ63" i="14"/>
  <c r="FY63" i="14"/>
  <c r="FX63" i="14"/>
  <c r="FW63" i="14"/>
  <c r="FV63" i="14"/>
  <c r="FU63" i="14"/>
  <c r="FT63" i="14"/>
  <c r="FS63" i="14"/>
  <c r="FR63" i="14"/>
  <c r="FQ63" i="14"/>
  <c r="FP63" i="14"/>
  <c r="FO63" i="14"/>
  <c r="FN63" i="14"/>
  <c r="FM63" i="14"/>
  <c r="FL63" i="14"/>
  <c r="FK63" i="14"/>
  <c r="FJ63" i="14"/>
  <c r="FI63" i="14"/>
  <c r="FH63" i="14"/>
  <c r="FG63" i="14"/>
  <c r="FF63" i="14"/>
  <c r="FE63" i="14"/>
  <c r="FD63" i="14"/>
  <c r="FC63" i="14"/>
  <c r="FB63" i="14"/>
  <c r="FA63" i="14"/>
  <c r="EZ63" i="14"/>
  <c r="EY63" i="14"/>
  <c r="EX63" i="14"/>
  <c r="EW63" i="14"/>
  <c r="EV63" i="14"/>
  <c r="EU63" i="14"/>
  <c r="ET63" i="14"/>
  <c r="ER63" i="14"/>
  <c r="EQ63" i="14"/>
  <c r="EP63" i="14"/>
  <c r="EO63" i="14"/>
  <c r="EN63" i="14"/>
  <c r="EM63" i="14"/>
  <c r="EL63" i="14"/>
  <c r="EK63" i="14"/>
  <c r="EJ63" i="14"/>
  <c r="EI63" i="14"/>
  <c r="EH63" i="14"/>
  <c r="EG63" i="14"/>
  <c r="EF63" i="14"/>
  <c r="EE63" i="14"/>
  <c r="ED63" i="14"/>
  <c r="EC63" i="14"/>
  <c r="EB63" i="14"/>
  <c r="EA63" i="14"/>
  <c r="DZ63" i="14"/>
  <c r="DY63" i="14"/>
  <c r="DX63" i="14"/>
  <c r="DW63" i="14"/>
  <c r="DV63" i="14"/>
  <c r="DU63" i="14"/>
  <c r="DT63" i="14"/>
  <c r="DS63" i="14"/>
  <c r="DR63" i="14"/>
  <c r="DQ63" i="14"/>
  <c r="DP63" i="14"/>
  <c r="DO63" i="14"/>
  <c r="DN63" i="14"/>
  <c r="DM63" i="14"/>
  <c r="DL63" i="14"/>
  <c r="DK63" i="14"/>
  <c r="DJ63" i="14"/>
  <c r="DI63" i="14"/>
  <c r="DH63" i="14"/>
  <c r="DG63" i="14"/>
  <c r="DF63" i="14"/>
  <c r="DE63" i="14"/>
  <c r="DD63" i="14"/>
  <c r="DC63" i="14"/>
  <c r="DB63" i="14"/>
  <c r="DA63" i="14"/>
  <c r="CZ63" i="14"/>
  <c r="CY63" i="14"/>
  <c r="CX63" i="14"/>
  <c r="CW63" i="14"/>
  <c r="CV63" i="14"/>
  <c r="CU63" i="14"/>
  <c r="CT63" i="14"/>
  <c r="CS63" i="14"/>
  <c r="CR63" i="14"/>
  <c r="CQ63" i="14"/>
  <c r="CP63" i="14"/>
  <c r="CO63" i="14"/>
  <c r="CN63" i="14"/>
  <c r="CM63" i="14"/>
  <c r="CL63" i="14"/>
  <c r="CK63" i="14"/>
  <c r="CJ63" i="14"/>
  <c r="CI63" i="14"/>
  <c r="CH63" i="14"/>
  <c r="CG63" i="14"/>
  <c r="CF63" i="14"/>
  <c r="CE63" i="14"/>
  <c r="CD63" i="14"/>
  <c r="CC63" i="14"/>
  <c r="CB63" i="14"/>
  <c r="CA63" i="14"/>
  <c r="BZ63" i="14"/>
  <c r="BY63" i="14"/>
  <c r="BX63" i="14"/>
  <c r="BW63" i="14"/>
  <c r="BV63" i="14"/>
  <c r="BU63" i="14"/>
  <c r="BT63" i="14"/>
  <c r="BS63" i="14"/>
  <c r="BR63" i="14"/>
  <c r="BQ63" i="14"/>
  <c r="BP63" i="14"/>
  <c r="BO63" i="14"/>
  <c r="BN63" i="14"/>
  <c r="BM63" i="14"/>
  <c r="BL63" i="14"/>
  <c r="BK63" i="14"/>
  <c r="BJ63" i="14"/>
  <c r="BI63" i="14"/>
  <c r="BH63" i="14"/>
  <c r="BG63" i="14"/>
  <c r="BF63" i="14"/>
  <c r="BE63" i="14"/>
  <c r="BD63" i="14"/>
  <c r="BC63" i="14"/>
  <c r="BB63" i="14"/>
  <c r="BA63" i="14"/>
  <c r="AZ63" i="14"/>
  <c r="AY63" i="14"/>
  <c r="AX63" i="14"/>
  <c r="AW63" i="14"/>
  <c r="AV63" i="14"/>
  <c r="AU63" i="14"/>
  <c r="AT63" i="14"/>
  <c r="AS63" i="14"/>
  <c r="AR63" i="14"/>
  <c r="AQ63" i="14"/>
  <c r="AP63" i="14"/>
  <c r="AO63" i="14"/>
  <c r="AN63" i="14"/>
  <c r="AM63" i="14"/>
  <c r="AL63" i="14"/>
  <c r="AK63" i="14"/>
  <c r="AJ63" i="14"/>
  <c r="AI63" i="14"/>
  <c r="AH63" i="14"/>
  <c r="AG63" i="14"/>
  <c r="AF63" i="14"/>
  <c r="AE63" i="14"/>
  <c r="IW58" i="14"/>
  <c r="IV58" i="14"/>
  <c r="IU58" i="14"/>
  <c r="IT58" i="14"/>
  <c r="IS58" i="14"/>
  <c r="IR58" i="14"/>
  <c r="IQ58" i="14"/>
  <c r="IP58" i="14"/>
  <c r="IO58" i="14"/>
  <c r="IN58" i="14"/>
  <c r="IM58" i="14"/>
  <c r="IL58" i="14"/>
  <c r="IK58" i="14"/>
  <c r="IJ58" i="14"/>
  <c r="II58" i="14"/>
  <c r="IH58" i="14"/>
  <c r="IG58" i="14"/>
  <c r="IF58" i="14"/>
  <c r="IE58" i="14"/>
  <c r="ID58" i="14"/>
  <c r="IC58" i="14"/>
  <c r="IB58" i="14"/>
  <c r="IA58" i="14"/>
  <c r="HZ58" i="14"/>
  <c r="HY58" i="14"/>
  <c r="HX58" i="14"/>
  <c r="HW58" i="14"/>
  <c r="HV58" i="14"/>
  <c r="HU58" i="14"/>
  <c r="HT58" i="14"/>
  <c r="HS58" i="14"/>
  <c r="HR58" i="14"/>
  <c r="HQ58" i="14"/>
  <c r="HP58" i="14"/>
  <c r="HO58" i="14"/>
  <c r="HN58" i="14"/>
  <c r="HM58" i="14"/>
  <c r="HL58" i="14"/>
  <c r="HK58" i="14"/>
  <c r="HJ58" i="14"/>
  <c r="HI58" i="14"/>
  <c r="HH58" i="14"/>
  <c r="HG58" i="14"/>
  <c r="HF58" i="14"/>
  <c r="HE58" i="14"/>
  <c r="HD58" i="14"/>
  <c r="HC58" i="14"/>
  <c r="HB58" i="14"/>
  <c r="HA58" i="14"/>
  <c r="GZ58" i="14"/>
  <c r="GY58" i="14"/>
  <c r="GX58" i="14"/>
  <c r="GW58" i="14"/>
  <c r="GV58" i="14"/>
  <c r="GU58" i="14"/>
  <c r="GT58" i="14"/>
  <c r="GS58" i="14"/>
  <c r="GR58" i="14"/>
  <c r="GQ58" i="14"/>
  <c r="GP58" i="14"/>
  <c r="GO58" i="14"/>
  <c r="GN58" i="14"/>
  <c r="GM58" i="14"/>
  <c r="GL58" i="14"/>
  <c r="GK58" i="14"/>
  <c r="GJ58" i="14"/>
  <c r="GI58" i="14"/>
  <c r="GH58" i="14"/>
  <c r="GG58" i="14"/>
  <c r="GF58" i="14"/>
  <c r="GE58" i="14"/>
  <c r="GD58" i="14"/>
  <c r="GC58" i="14"/>
  <c r="GB58" i="14"/>
  <c r="GA58" i="14"/>
  <c r="FZ58" i="14"/>
  <c r="FY58" i="14"/>
  <c r="FX58" i="14"/>
  <c r="FW58" i="14"/>
  <c r="FV58" i="14"/>
  <c r="FU58" i="14"/>
  <c r="FT58" i="14"/>
  <c r="FS58" i="14"/>
  <c r="FR58" i="14"/>
  <c r="FQ58" i="14"/>
  <c r="FP58" i="14"/>
  <c r="FO58" i="14"/>
  <c r="FN58" i="14"/>
  <c r="FM58" i="14"/>
  <c r="FL58" i="14"/>
  <c r="FK58" i="14"/>
  <c r="FJ58" i="14"/>
  <c r="FI58" i="14"/>
  <c r="FH58" i="14"/>
  <c r="FG58" i="14"/>
  <c r="FF58" i="14"/>
  <c r="FE58" i="14"/>
  <c r="FD58" i="14"/>
  <c r="FC58" i="14"/>
  <c r="FB58" i="14"/>
  <c r="FA58" i="14"/>
  <c r="EZ58" i="14"/>
  <c r="EY58" i="14"/>
  <c r="EX58" i="14"/>
  <c r="EW58" i="14"/>
  <c r="EV58" i="14"/>
  <c r="EU58" i="14"/>
  <c r="ET58" i="14"/>
  <c r="ES58" i="14"/>
  <c r="ER58" i="14"/>
  <c r="EQ58" i="14"/>
  <c r="EP58" i="14"/>
  <c r="EO58" i="14"/>
  <c r="EN58" i="14"/>
  <c r="EM58" i="14"/>
  <c r="EL58" i="14"/>
  <c r="EK58" i="14"/>
  <c r="EJ58" i="14"/>
  <c r="EI58" i="14"/>
  <c r="EH58" i="14"/>
  <c r="EG58" i="14"/>
  <c r="EF58" i="14"/>
  <c r="EE58" i="14"/>
  <c r="ED58" i="14"/>
  <c r="EC58" i="14"/>
  <c r="EB58" i="14"/>
  <c r="EA58" i="14"/>
  <c r="DZ58" i="14"/>
  <c r="DY58" i="14"/>
  <c r="DX58" i="14"/>
  <c r="DW58" i="14"/>
  <c r="DV58" i="14"/>
  <c r="DU58" i="14"/>
  <c r="DT58" i="14"/>
  <c r="DS58" i="14"/>
  <c r="DR58" i="14"/>
  <c r="DQ58" i="14"/>
  <c r="DP58" i="14"/>
  <c r="DO58" i="14"/>
  <c r="DN58" i="14"/>
  <c r="DM58" i="14"/>
  <c r="DL58" i="14"/>
  <c r="DK58" i="14"/>
  <c r="DJ58" i="14"/>
  <c r="DI58" i="14"/>
  <c r="DH58" i="14"/>
  <c r="DG58" i="14"/>
  <c r="DF58" i="14"/>
  <c r="DE58" i="14"/>
  <c r="DD58" i="14"/>
  <c r="DC58" i="14"/>
  <c r="DB58" i="14"/>
  <c r="DA58" i="14"/>
  <c r="CZ58" i="14"/>
  <c r="CY58" i="14"/>
  <c r="CX58" i="14"/>
  <c r="CW58" i="14"/>
  <c r="CV58" i="14"/>
  <c r="CU58" i="14"/>
  <c r="CT58" i="14"/>
  <c r="CS58" i="14"/>
  <c r="CR58" i="14"/>
  <c r="CQ58" i="14"/>
  <c r="CP58" i="14"/>
  <c r="CO58" i="14"/>
  <c r="CN58" i="14"/>
  <c r="CM58" i="14"/>
  <c r="CL58" i="14"/>
  <c r="CK58" i="14"/>
  <c r="CJ58" i="14"/>
  <c r="CI58" i="14"/>
  <c r="CH58" i="14"/>
  <c r="CG58" i="14"/>
  <c r="CF58" i="14"/>
  <c r="CE58" i="14"/>
  <c r="CD58" i="14"/>
  <c r="CC58" i="14"/>
  <c r="CB58" i="14"/>
  <c r="CA58" i="14"/>
  <c r="BZ58" i="14"/>
  <c r="BY58" i="14"/>
  <c r="BX58" i="14"/>
  <c r="BW58" i="14"/>
  <c r="BV58" i="14"/>
  <c r="BU58" i="14"/>
  <c r="BT58" i="14"/>
  <c r="BS58" i="14"/>
  <c r="BR58" i="14"/>
  <c r="BQ58" i="14"/>
  <c r="BP58" i="14"/>
  <c r="BO58" i="14"/>
  <c r="BN58" i="14"/>
  <c r="BM58" i="14"/>
  <c r="BL58" i="14"/>
  <c r="BK58" i="14"/>
  <c r="BJ58" i="14"/>
  <c r="BI58" i="14"/>
  <c r="BH58" i="14"/>
  <c r="BG58" i="14"/>
  <c r="BF58" i="14"/>
  <c r="BE58" i="14"/>
  <c r="BD58" i="14"/>
  <c r="BC58" i="14"/>
  <c r="BB58" i="14"/>
  <c r="BA58" i="14"/>
  <c r="AZ58" i="14"/>
  <c r="AY58" i="14"/>
  <c r="AX58" i="14"/>
  <c r="AW58" i="14"/>
  <c r="AV58" i="14"/>
  <c r="AU58" i="14"/>
  <c r="AT58" i="14"/>
  <c r="AS58" i="14"/>
  <c r="AR58" i="14"/>
  <c r="AQ58" i="14"/>
  <c r="AP58" i="14"/>
  <c r="AO58" i="14"/>
  <c r="AN58" i="14"/>
  <c r="AM58" i="14"/>
  <c r="AL58" i="14"/>
  <c r="AK58" i="14"/>
  <c r="AJ58" i="14"/>
  <c r="AI58" i="14"/>
  <c r="AH58" i="14"/>
  <c r="AG58" i="14"/>
  <c r="AF58" i="14"/>
  <c r="AE58" i="14"/>
  <c r="IX57" i="14"/>
  <c r="IW57" i="14"/>
  <c r="IV57" i="14"/>
  <c r="IU57" i="14"/>
  <c r="IT57" i="14"/>
  <c r="IS57" i="14"/>
  <c r="IR57" i="14"/>
  <c r="IQ57" i="14"/>
  <c r="IP57" i="14"/>
  <c r="IO57" i="14"/>
  <c r="IM57" i="14"/>
  <c r="IL57" i="14"/>
  <c r="IK57" i="14"/>
  <c r="IJ57" i="14"/>
  <c r="II57" i="14"/>
  <c r="IH57" i="14"/>
  <c r="IG57" i="14"/>
  <c r="IF57" i="14"/>
  <c r="IE57" i="14"/>
  <c r="ID57" i="14"/>
  <c r="IC57" i="14"/>
  <c r="IB57" i="14"/>
  <c r="IA57" i="14"/>
  <c r="HZ57" i="14"/>
  <c r="HY57" i="14"/>
  <c r="HX57" i="14"/>
  <c r="HW57" i="14"/>
  <c r="HV57" i="14"/>
  <c r="HU57" i="14"/>
  <c r="HT57" i="14"/>
  <c r="HS57" i="14"/>
  <c r="HR57" i="14"/>
  <c r="HQ57" i="14"/>
  <c r="HP57" i="14"/>
  <c r="HO57" i="14"/>
  <c r="HN57" i="14"/>
  <c r="HM57" i="14"/>
  <c r="HL57" i="14"/>
  <c r="HK57" i="14"/>
  <c r="HJ57" i="14"/>
  <c r="HI57" i="14"/>
  <c r="HH57" i="14"/>
  <c r="HG57" i="14"/>
  <c r="HF57" i="14"/>
  <c r="HE57" i="14"/>
  <c r="HD57" i="14"/>
  <c r="HC57" i="14"/>
  <c r="HB57" i="14"/>
  <c r="HA57" i="14"/>
  <c r="GZ57" i="14"/>
  <c r="GY57" i="14"/>
  <c r="GX57" i="14"/>
  <c r="GW57" i="14"/>
  <c r="GV57" i="14"/>
  <c r="GU57" i="14"/>
  <c r="GT57" i="14"/>
  <c r="GS57" i="14"/>
  <c r="GR57" i="14"/>
  <c r="GQ57" i="14"/>
  <c r="GP57" i="14"/>
  <c r="GO57" i="14"/>
  <c r="GN57" i="14"/>
  <c r="GM57" i="14"/>
  <c r="GL57" i="14"/>
  <c r="GK57" i="14"/>
  <c r="GJ57" i="14"/>
  <c r="GI57" i="14"/>
  <c r="GH57" i="14"/>
  <c r="GG57" i="14"/>
  <c r="GF57" i="14"/>
  <c r="GE57" i="14"/>
  <c r="GD57" i="14"/>
  <c r="GC57" i="14"/>
  <c r="GB57" i="14"/>
  <c r="GA57" i="14"/>
  <c r="FZ57" i="14"/>
  <c r="FY57" i="14"/>
  <c r="FX57" i="14"/>
  <c r="FW57" i="14"/>
  <c r="FV57" i="14"/>
  <c r="FU57" i="14"/>
  <c r="FT57" i="14"/>
  <c r="FS57" i="14"/>
  <c r="FR57" i="14"/>
  <c r="FQ57" i="14"/>
  <c r="FP57" i="14"/>
  <c r="FO57" i="14"/>
  <c r="FN57" i="14"/>
  <c r="FM57" i="14"/>
  <c r="FL57" i="14"/>
  <c r="FK57" i="14"/>
  <c r="FJ57" i="14"/>
  <c r="FI57" i="14"/>
  <c r="FH57" i="14"/>
  <c r="FG57" i="14"/>
  <c r="FF57" i="14"/>
  <c r="FE57" i="14"/>
  <c r="FD57" i="14"/>
  <c r="FC57" i="14"/>
  <c r="FB57" i="14"/>
  <c r="FA57" i="14"/>
  <c r="EZ57" i="14"/>
  <c r="EY57" i="14"/>
  <c r="EX57" i="14"/>
  <c r="EW57" i="14"/>
  <c r="EV57" i="14"/>
  <c r="EU57" i="14"/>
  <c r="ET57" i="14"/>
  <c r="ES57" i="14"/>
  <c r="ER57" i="14"/>
  <c r="EQ57" i="14"/>
  <c r="EP57" i="14"/>
  <c r="EO57" i="14"/>
  <c r="EN57" i="14"/>
  <c r="EM57" i="14"/>
  <c r="EL57" i="14"/>
  <c r="EK57" i="14"/>
  <c r="EI57" i="14"/>
  <c r="EH57" i="14"/>
  <c r="EG57" i="14"/>
  <c r="EF57" i="14"/>
  <c r="EE57" i="14"/>
  <c r="ED57" i="14"/>
  <c r="EC57" i="14"/>
  <c r="EB57" i="14"/>
  <c r="EA57" i="14"/>
  <c r="DZ57" i="14"/>
  <c r="DY57" i="14"/>
  <c r="DW57" i="14"/>
  <c r="DV57" i="14"/>
  <c r="DU57" i="14"/>
  <c r="DT57" i="14"/>
  <c r="DS57" i="14"/>
  <c r="DR57" i="14"/>
  <c r="DQ57" i="14"/>
  <c r="DP57" i="14"/>
  <c r="DO57" i="14"/>
  <c r="DN57" i="14"/>
  <c r="DM57" i="14"/>
  <c r="DL57" i="14"/>
  <c r="DK57" i="14"/>
  <c r="DJ57" i="14"/>
  <c r="DI57" i="14"/>
  <c r="DH57" i="14"/>
  <c r="DG57" i="14"/>
  <c r="DF57" i="14"/>
  <c r="DE57" i="14"/>
  <c r="DD57" i="14"/>
  <c r="DC57" i="14"/>
  <c r="DB57" i="14"/>
  <c r="DA57" i="14"/>
  <c r="CZ57" i="14"/>
  <c r="CY57" i="14"/>
  <c r="CX57" i="14"/>
  <c r="CW57" i="14"/>
  <c r="CV57" i="14"/>
  <c r="CU57" i="14"/>
  <c r="CT57" i="14"/>
  <c r="CS57" i="14"/>
  <c r="CR57" i="14"/>
  <c r="CQ57" i="14"/>
  <c r="CP57" i="14"/>
  <c r="CO57" i="14"/>
  <c r="CN57" i="14"/>
  <c r="CM57" i="14"/>
  <c r="CL57" i="14"/>
  <c r="CK57" i="14"/>
  <c r="CJ57" i="14"/>
  <c r="CI57" i="14"/>
  <c r="CH57" i="14"/>
  <c r="CG57" i="14"/>
  <c r="CF57" i="14"/>
  <c r="CE57" i="14"/>
  <c r="CD57" i="14"/>
  <c r="CC57" i="14"/>
  <c r="CB57" i="14"/>
  <c r="CA57" i="14"/>
  <c r="BZ57" i="14"/>
  <c r="BY57" i="14"/>
  <c r="BX57" i="14"/>
  <c r="BW57" i="14"/>
  <c r="BV57" i="14"/>
  <c r="BU57" i="14"/>
  <c r="BT57" i="14"/>
  <c r="BS57" i="14"/>
  <c r="BR57" i="14"/>
  <c r="BQ57" i="14"/>
  <c r="BP57" i="14"/>
  <c r="BO57" i="14"/>
  <c r="BN57" i="14"/>
  <c r="BM57" i="14"/>
  <c r="BL57" i="14"/>
  <c r="BK57" i="14"/>
  <c r="BJ57" i="14"/>
  <c r="BI57" i="14"/>
  <c r="BH57" i="14"/>
  <c r="BG57" i="14"/>
  <c r="BF57" i="14"/>
  <c r="BE57" i="14"/>
  <c r="BD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D56" i="14"/>
  <c r="IW42" i="14"/>
  <c r="IV42" i="14"/>
  <c r="IU42" i="14"/>
  <c r="IT42" i="14"/>
  <c r="IS42" i="14"/>
  <c r="IR42" i="14"/>
  <c r="IQ42" i="14"/>
  <c r="IP42" i="14"/>
  <c r="IO42" i="14"/>
  <c r="IM42" i="14"/>
  <c r="IL42" i="14"/>
  <c r="IK42" i="14"/>
  <c r="IJ42" i="14"/>
  <c r="II42" i="14"/>
  <c r="IH42" i="14"/>
  <c r="IG42" i="14"/>
  <c r="IF42" i="14"/>
  <c r="IE42" i="14"/>
  <c r="ID42" i="14"/>
  <c r="IC42" i="14"/>
  <c r="IB42" i="14"/>
  <c r="IA42" i="14"/>
  <c r="HZ42" i="14"/>
  <c r="HY42" i="14"/>
  <c r="HX42" i="14"/>
  <c r="HW42" i="14"/>
  <c r="HV42" i="14"/>
  <c r="HU42" i="14"/>
  <c r="HT42" i="14"/>
  <c r="HS42" i="14"/>
  <c r="HR42" i="14"/>
  <c r="HQ42" i="14"/>
  <c r="HP42" i="14"/>
  <c r="HO42" i="14"/>
  <c r="HN42" i="14"/>
  <c r="HM42" i="14"/>
  <c r="HL42" i="14"/>
  <c r="HK42" i="14"/>
  <c r="HJ42" i="14"/>
  <c r="HI42" i="14"/>
  <c r="HH42" i="14"/>
  <c r="HG42" i="14"/>
  <c r="HF42" i="14"/>
  <c r="HE42" i="14"/>
  <c r="HD42" i="14"/>
  <c r="HC42" i="14"/>
  <c r="HB42" i="14"/>
  <c r="HA42" i="14"/>
  <c r="GZ42" i="14"/>
  <c r="GY42" i="14"/>
  <c r="GX42" i="14"/>
  <c r="GW42" i="14"/>
  <c r="GV42" i="14"/>
  <c r="GU42" i="14"/>
  <c r="GT42" i="14"/>
  <c r="GS42" i="14"/>
  <c r="GR42" i="14"/>
  <c r="GQ42" i="14"/>
  <c r="GP42" i="14"/>
  <c r="GO42" i="14"/>
  <c r="GN42" i="14"/>
  <c r="GM42" i="14"/>
  <c r="GL42" i="14"/>
  <c r="GK42" i="14"/>
  <c r="GJ42" i="14"/>
  <c r="GI42" i="14"/>
  <c r="GH42" i="14"/>
  <c r="GG42" i="14"/>
  <c r="GF42" i="14"/>
  <c r="GE42" i="14"/>
  <c r="GD42" i="14"/>
  <c r="GC42" i="14"/>
  <c r="GB42" i="14"/>
  <c r="GA42" i="14"/>
  <c r="FZ42" i="14"/>
  <c r="FY42" i="14"/>
  <c r="FX42" i="14"/>
  <c r="FW42" i="14"/>
  <c r="FV42" i="14"/>
  <c r="FU42" i="14"/>
  <c r="FT42" i="14"/>
  <c r="FS42" i="14"/>
  <c r="FR42" i="14"/>
  <c r="FQ42" i="14"/>
  <c r="FP42" i="14"/>
  <c r="FO42" i="14"/>
  <c r="FN42" i="14"/>
  <c r="FM42" i="14"/>
  <c r="FL42" i="14"/>
  <c r="FK42" i="14"/>
  <c r="FJ42" i="14"/>
  <c r="FI42" i="14"/>
  <c r="FH42" i="14"/>
  <c r="FG42" i="14"/>
  <c r="FF42" i="14"/>
  <c r="FE42" i="14"/>
  <c r="FD42" i="14"/>
  <c r="FC42" i="14"/>
  <c r="FB42" i="14"/>
  <c r="FA42" i="14"/>
  <c r="EZ42" i="14"/>
  <c r="EY42" i="14"/>
  <c r="EX42" i="14"/>
  <c r="EW42" i="14"/>
  <c r="EV42" i="14"/>
  <c r="EU42" i="14"/>
  <c r="ET42" i="14"/>
  <c r="ES42" i="14"/>
  <c r="ER42" i="14"/>
  <c r="EQ42" i="14"/>
  <c r="EP42" i="14"/>
  <c r="EO42" i="14"/>
  <c r="EN42" i="14"/>
  <c r="EM42" i="14"/>
  <c r="EL42" i="14"/>
  <c r="EK42" i="14"/>
  <c r="EJ42" i="14"/>
  <c r="EI42" i="14"/>
  <c r="EH42" i="14"/>
  <c r="EG42" i="14"/>
  <c r="EF42" i="14"/>
  <c r="EE42" i="14"/>
  <c r="ED42" i="14"/>
  <c r="EC42" i="14"/>
  <c r="EB42" i="14"/>
  <c r="EA42" i="14"/>
  <c r="DZ42" i="14"/>
  <c r="DY42" i="14"/>
  <c r="DX42" i="14"/>
  <c r="DW42" i="14"/>
  <c r="DV42" i="14"/>
  <c r="DU42" i="14"/>
  <c r="DT42" i="14"/>
  <c r="DS42" i="14"/>
  <c r="DR42" i="14"/>
  <c r="DQ42" i="14"/>
  <c r="DP42" i="14"/>
  <c r="DO42" i="14"/>
  <c r="DN42" i="14"/>
  <c r="DM42" i="14"/>
  <c r="DL42" i="14"/>
  <c r="DK42" i="14"/>
  <c r="DJ42" i="14"/>
  <c r="DI42" i="14"/>
  <c r="DH42" i="14"/>
  <c r="DG42" i="14"/>
  <c r="DF42" i="14"/>
  <c r="DE42" i="14"/>
  <c r="DD42" i="14"/>
  <c r="DC42" i="14"/>
  <c r="DB42" i="14"/>
  <c r="DA42" i="14"/>
  <c r="CZ42" i="14"/>
  <c r="CY42" i="14"/>
  <c r="CX42" i="14"/>
  <c r="CW42" i="14"/>
  <c r="CV42" i="14"/>
  <c r="CU42" i="14"/>
  <c r="CT42" i="14"/>
  <c r="CS42" i="14"/>
  <c r="CR42" i="14"/>
  <c r="CQ42" i="14"/>
  <c r="CP42" i="14"/>
  <c r="CO42" i="14"/>
  <c r="CN42" i="14"/>
  <c r="CM42" i="14"/>
  <c r="CL42" i="14"/>
  <c r="CK42" i="14"/>
  <c r="CJ42" i="14"/>
  <c r="CI42" i="14"/>
  <c r="CH42" i="14"/>
  <c r="CG42" i="14"/>
  <c r="CF42" i="14"/>
  <c r="CE42" i="14"/>
  <c r="CD42" i="14"/>
  <c r="CC42" i="14"/>
  <c r="CB42" i="14"/>
  <c r="CA42" i="14"/>
  <c r="BZ42" i="14"/>
  <c r="BY42" i="14"/>
  <c r="BX42" i="14"/>
  <c r="BW42" i="14"/>
  <c r="BV42" i="14"/>
  <c r="BU42" i="14"/>
  <c r="BT42" i="14"/>
  <c r="BS42" i="14"/>
  <c r="BR42" i="14"/>
  <c r="BQ42" i="14"/>
  <c r="BP42" i="14"/>
  <c r="BO42" i="14"/>
  <c r="BN42" i="14"/>
  <c r="BM42" i="14"/>
  <c r="BL42" i="14"/>
  <c r="BK42" i="14"/>
  <c r="BJ42" i="14"/>
  <c r="BI42" i="14"/>
  <c r="BH42" i="14"/>
  <c r="BG42" i="14"/>
  <c r="BF42" i="14"/>
  <c r="BE42" i="14"/>
  <c r="BD42" i="14"/>
  <c r="BC42" i="14"/>
  <c r="BB42" i="14"/>
  <c r="BA42" i="14"/>
  <c r="AZ42" i="14"/>
  <c r="AY42" i="14"/>
  <c r="AX42" i="14"/>
  <c r="AW42" i="14"/>
  <c r="AV42" i="14"/>
  <c r="AU42" i="14"/>
  <c r="AT42" i="14"/>
  <c r="AS42" i="14"/>
  <c r="AR42" i="14"/>
  <c r="AQ42" i="14"/>
  <c r="AP42"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D43" i="14" s="1"/>
  <c r="E35" i="14" s="1"/>
  <c r="IN36" i="14"/>
  <c r="IN57" i="14" s="1"/>
  <c r="JK31" i="14"/>
  <c r="IX31" i="14"/>
  <c r="IW31" i="14"/>
  <c r="IV31" i="14"/>
  <c r="IU31" i="14"/>
  <c r="IT31" i="14"/>
  <c r="IS31" i="14"/>
  <c r="IR31" i="14"/>
  <c r="IQ31" i="14"/>
  <c r="IP31" i="14"/>
  <c r="IO31" i="14"/>
  <c r="IN31" i="14"/>
  <c r="IM31" i="14"/>
  <c r="IL31" i="14"/>
  <c r="IK31" i="14"/>
  <c r="IJ31" i="14"/>
  <c r="II31" i="14"/>
  <c r="IH31" i="14"/>
  <c r="IG31" i="14"/>
  <c r="IF31" i="14"/>
  <c r="IE31" i="14"/>
  <c r="ID31" i="14"/>
  <c r="IC31" i="14"/>
  <c r="IB31" i="14"/>
  <c r="IA31" i="14"/>
  <c r="HZ31" i="14"/>
  <c r="HY31" i="14"/>
  <c r="HX31" i="14"/>
  <c r="HW31" i="14"/>
  <c r="HV31" i="14"/>
  <c r="HU31" i="14"/>
  <c r="HT31" i="14"/>
  <c r="HS31" i="14"/>
  <c r="HR31" i="14"/>
  <c r="HQ31" i="14"/>
  <c r="HP31" i="14"/>
  <c r="HO31" i="14"/>
  <c r="HN31" i="14"/>
  <c r="HM31" i="14"/>
  <c r="HL31" i="14"/>
  <c r="HK31" i="14"/>
  <c r="HJ31" i="14"/>
  <c r="HI31" i="14"/>
  <c r="HH31" i="14"/>
  <c r="HG31" i="14"/>
  <c r="HF31" i="14"/>
  <c r="HE31" i="14"/>
  <c r="HD31" i="14"/>
  <c r="HC31" i="14"/>
  <c r="HB31" i="14"/>
  <c r="HA31" i="14"/>
  <c r="GZ31" i="14"/>
  <c r="GY31" i="14"/>
  <c r="GX31" i="14"/>
  <c r="GW31" i="14"/>
  <c r="GV31" i="14"/>
  <c r="GU31" i="14"/>
  <c r="GT31" i="14"/>
  <c r="GS31" i="14"/>
  <c r="GR31" i="14"/>
  <c r="GQ31" i="14"/>
  <c r="GP31" i="14"/>
  <c r="GO31" i="14"/>
  <c r="GN31" i="14"/>
  <c r="GM31" i="14"/>
  <c r="GL31" i="14"/>
  <c r="GK31" i="14"/>
  <c r="GJ31" i="14"/>
  <c r="GI31" i="14"/>
  <c r="GH31" i="14"/>
  <c r="GG31" i="14"/>
  <c r="GF31" i="14"/>
  <c r="GE31" i="14"/>
  <c r="GD31" i="14"/>
  <c r="GC31" i="14"/>
  <c r="GB31" i="14"/>
  <c r="GA31" i="14"/>
  <c r="FZ31" i="14"/>
  <c r="FY31" i="14"/>
  <c r="FX31" i="14"/>
  <c r="FW31" i="14"/>
  <c r="FV31" i="14"/>
  <c r="FU31" i="14"/>
  <c r="FT31" i="14"/>
  <c r="FS31" i="14"/>
  <c r="FR31" i="14"/>
  <c r="FQ31" i="14"/>
  <c r="FP31" i="14"/>
  <c r="FO31" i="14"/>
  <c r="FN31" i="14"/>
  <c r="FM31" i="14"/>
  <c r="FL31" i="14"/>
  <c r="FK31" i="14"/>
  <c r="FJ31" i="14"/>
  <c r="FI31" i="14"/>
  <c r="FH31" i="14"/>
  <c r="FG31" i="14"/>
  <c r="FF31" i="14"/>
  <c r="FE31" i="14"/>
  <c r="FD31" i="14"/>
  <c r="FC31" i="14"/>
  <c r="FB31" i="14"/>
  <c r="FA31" i="14"/>
  <c r="EZ31" i="14"/>
  <c r="EY31" i="14"/>
  <c r="EX31" i="14"/>
  <c r="EW31" i="14"/>
  <c r="EV31" i="14"/>
  <c r="EU31" i="14"/>
  <c r="ET31" i="14"/>
  <c r="ES31" i="14"/>
  <c r="ER31" i="14"/>
  <c r="EQ31" i="14"/>
  <c r="EP31" i="14"/>
  <c r="EO31" i="14"/>
  <c r="EN31" i="14"/>
  <c r="EM31" i="14"/>
  <c r="EL31" i="14"/>
  <c r="EK31" i="14"/>
  <c r="EJ31" i="14"/>
  <c r="EI31" i="14"/>
  <c r="EH31" i="14"/>
  <c r="EG31" i="14"/>
  <c r="EF31" i="14"/>
  <c r="EE31" i="14"/>
  <c r="ED31" i="14"/>
  <c r="EC31" i="14"/>
  <c r="EB31" i="14"/>
  <c r="EA31" i="14"/>
  <c r="DZ31" i="14"/>
  <c r="DY31" i="14"/>
  <c r="DX31" i="14"/>
  <c r="DW31" i="14"/>
  <c r="DV31" i="14"/>
  <c r="DU31" i="14"/>
  <c r="DT31" i="14"/>
  <c r="DS31" i="14"/>
  <c r="DR31" i="14"/>
  <c r="DQ31" i="14"/>
  <c r="DP31" i="14"/>
  <c r="DO31" i="14"/>
  <c r="DN31" i="14"/>
  <c r="DM31" i="14"/>
  <c r="DL31" i="14"/>
  <c r="DK31" i="14"/>
  <c r="DJ31" i="14"/>
  <c r="DI31" i="14"/>
  <c r="DH31" i="14"/>
  <c r="DG31" i="14"/>
  <c r="DF31" i="14"/>
  <c r="DE31" i="14"/>
  <c r="DD31" i="14"/>
  <c r="DC31" i="14"/>
  <c r="DB31" i="14"/>
  <c r="DA31" i="14"/>
  <c r="CZ31" i="14"/>
  <c r="CY31" i="14"/>
  <c r="CX31" i="14"/>
  <c r="CW31" i="14"/>
  <c r="CV31" i="14"/>
  <c r="CU31" i="14"/>
  <c r="CT31" i="14"/>
  <c r="CS31" i="14"/>
  <c r="CR31" i="14"/>
  <c r="CQ31" i="14"/>
  <c r="CP31" i="14"/>
  <c r="CO31" i="14"/>
  <c r="CN31" i="14"/>
  <c r="CM31" i="14"/>
  <c r="CL31" i="14"/>
  <c r="CK31" i="14"/>
  <c r="CJ31" i="14"/>
  <c r="CI31" i="14"/>
  <c r="CH31" i="14"/>
  <c r="CG31" i="14"/>
  <c r="CF31" i="14"/>
  <c r="CE31" i="14"/>
  <c r="CD31" i="14"/>
  <c r="CC31" i="14"/>
  <c r="CB31" i="14"/>
  <c r="CA31" i="14"/>
  <c r="BZ31" i="14"/>
  <c r="BY31" i="14"/>
  <c r="BX31" i="14"/>
  <c r="BW31" i="14"/>
  <c r="BV31" i="14"/>
  <c r="BU31" i="14"/>
  <c r="BT31" i="14"/>
  <c r="BS31" i="14"/>
  <c r="BR31" i="14"/>
  <c r="BQ31" i="14"/>
  <c r="BP31" i="14"/>
  <c r="BO31" i="14"/>
  <c r="BN31" i="14"/>
  <c r="BM31" i="14"/>
  <c r="BL31" i="14"/>
  <c r="BK31" i="14"/>
  <c r="BJ31" i="14"/>
  <c r="BI31" i="14"/>
  <c r="BH31" i="14"/>
  <c r="BG31" i="14"/>
  <c r="BF31" i="14"/>
  <c r="BE31" i="14"/>
  <c r="BD31" i="14"/>
  <c r="BC31" i="14"/>
  <c r="BB31" i="14"/>
  <c r="BA31" i="14"/>
  <c r="AZ31" i="14"/>
  <c r="AY31" i="14"/>
  <c r="AX31" i="14"/>
  <c r="AW31" i="14"/>
  <c r="AV31" i="14"/>
  <c r="AU31" i="14"/>
  <c r="AT31" i="14"/>
  <c r="AS31" i="14"/>
  <c r="AR31" i="14"/>
  <c r="AQ31" i="14"/>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D31" i="14"/>
  <c r="D32" i="14" s="1"/>
  <c r="E24" i="14" s="1"/>
  <c r="IW20" i="14"/>
  <c r="IV20" i="14"/>
  <c r="IU20" i="14"/>
  <c r="IT20" i="14"/>
  <c r="IS20" i="14"/>
  <c r="IR20" i="14"/>
  <c r="IQ20" i="14"/>
  <c r="IP20" i="14"/>
  <c r="IO20" i="14"/>
  <c r="IN20" i="14"/>
  <c r="IM20" i="14"/>
  <c r="IL20" i="14"/>
  <c r="IK20" i="14"/>
  <c r="IJ20" i="14"/>
  <c r="II20" i="14"/>
  <c r="IH20" i="14"/>
  <c r="IG20" i="14"/>
  <c r="IF20" i="14"/>
  <c r="IE20" i="14"/>
  <c r="ID20" i="14"/>
  <c r="IC20" i="14"/>
  <c r="IB20" i="14"/>
  <c r="IA20" i="14"/>
  <c r="HZ20" i="14"/>
  <c r="HY20" i="14"/>
  <c r="HX20" i="14"/>
  <c r="HW20" i="14"/>
  <c r="HV20" i="14"/>
  <c r="HU20" i="14"/>
  <c r="HT20" i="14"/>
  <c r="HS20" i="14"/>
  <c r="HR20" i="14"/>
  <c r="HQ20" i="14"/>
  <c r="HP20" i="14"/>
  <c r="HO20" i="14"/>
  <c r="HN20" i="14"/>
  <c r="HM20" i="14"/>
  <c r="HL20" i="14"/>
  <c r="HK20" i="14"/>
  <c r="HJ20" i="14"/>
  <c r="HI20" i="14"/>
  <c r="HH20" i="14"/>
  <c r="HG20" i="14"/>
  <c r="HF20" i="14"/>
  <c r="HE20" i="14"/>
  <c r="HD20" i="14"/>
  <c r="HB20" i="14"/>
  <c r="HA20" i="14"/>
  <c r="GZ20"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FN20" i="14"/>
  <c r="FM20" i="14"/>
  <c r="FL20" i="14"/>
  <c r="FK20" i="14"/>
  <c r="FJ20" i="14"/>
  <c r="FI20" i="14"/>
  <c r="FH20" i="14"/>
  <c r="FG20" i="14"/>
  <c r="FF20" i="14"/>
  <c r="FE20" i="14"/>
  <c r="FD20" i="14"/>
  <c r="FC20" i="14"/>
  <c r="FB20" i="14"/>
  <c r="FA20" i="14"/>
  <c r="EZ20" i="14"/>
  <c r="EY20" i="14"/>
  <c r="EX20" i="14"/>
  <c r="EW20" i="14"/>
  <c r="EV20" i="14"/>
  <c r="EU20" i="14"/>
  <c r="ET20" i="14"/>
  <c r="ER20" i="14"/>
  <c r="EQ20" i="14"/>
  <c r="EP20" i="14"/>
  <c r="EO20" i="14"/>
  <c r="EN20" i="14"/>
  <c r="EM20" i="14"/>
  <c r="EL20" i="14"/>
  <c r="EK20" i="14"/>
  <c r="EJ20" i="14"/>
  <c r="EI20" i="14"/>
  <c r="EH20" i="14"/>
  <c r="EG20" i="14"/>
  <c r="EF20" i="14"/>
  <c r="EE20" i="14"/>
  <c r="ED20" i="14"/>
  <c r="EC20" i="14"/>
  <c r="EB20" i="14"/>
  <c r="EA20" i="14"/>
  <c r="DZ20" i="14"/>
  <c r="DY20" i="14"/>
  <c r="DX20" i="14"/>
  <c r="DW20" i="14"/>
  <c r="DV20" i="14"/>
  <c r="DU20" i="14"/>
  <c r="DT20" i="14"/>
  <c r="DS20" i="14"/>
  <c r="DR20" i="14"/>
  <c r="DQ20" i="14"/>
  <c r="DP20" i="14"/>
  <c r="DO20" i="14"/>
  <c r="DN20" i="14"/>
  <c r="DM20" i="14"/>
  <c r="DL20" i="14"/>
  <c r="DK20" i="14"/>
  <c r="DJ20" i="14"/>
  <c r="DI20" i="14"/>
  <c r="DH20" i="14"/>
  <c r="DG20" i="14"/>
  <c r="DF20" i="14"/>
  <c r="DE20" i="14"/>
  <c r="DD20" i="14"/>
  <c r="DC20" i="14"/>
  <c r="DB20" i="14"/>
  <c r="DA20" i="14"/>
  <c r="CZ20" i="14"/>
  <c r="CY20" i="14"/>
  <c r="CX20" i="14"/>
  <c r="CW20" i="14"/>
  <c r="CV20" i="14"/>
  <c r="CU20" i="14"/>
  <c r="CT20" i="14"/>
  <c r="CS20" i="14"/>
  <c r="CR20" i="14"/>
  <c r="CQ20" i="14"/>
  <c r="CP20" i="14"/>
  <c r="CO20" i="14"/>
  <c r="CN20" i="14"/>
  <c r="CM20" i="14"/>
  <c r="CL20" i="14"/>
  <c r="CK20" i="14"/>
  <c r="CJ20" i="14"/>
  <c r="CI20" i="14"/>
  <c r="CH20" i="14"/>
  <c r="CG20" i="14"/>
  <c r="CF20" i="14"/>
  <c r="CE20" i="14"/>
  <c r="CD20" i="14"/>
  <c r="CC20" i="14"/>
  <c r="CB20" i="14"/>
  <c r="CA20" i="14"/>
  <c r="BZ20" i="14"/>
  <c r="BY20" i="14"/>
  <c r="BX20" i="14"/>
  <c r="BW20" i="14"/>
  <c r="BV20" i="14"/>
  <c r="BU20" i="14"/>
  <c r="BT20" i="14"/>
  <c r="BS20" i="14"/>
  <c r="BR20" i="14"/>
  <c r="BR21" i="14" s="1"/>
  <c r="BS15" i="14" s="1"/>
  <c r="BQ20" i="14"/>
  <c r="BP20" i="14"/>
  <c r="BO20" i="14"/>
  <c r="BN20" i="14"/>
  <c r="BM20" i="14"/>
  <c r="BL20" i="14"/>
  <c r="BK20" i="14"/>
  <c r="BJ20" i="14"/>
  <c r="BI20" i="14"/>
  <c r="BH20" i="14"/>
  <c r="BG20" i="14"/>
  <c r="BF20" i="14"/>
  <c r="BE20" i="14"/>
  <c r="BD20" i="14"/>
  <c r="BB20" i="14"/>
  <c r="BA20" i="14"/>
  <c r="AZ20" i="14"/>
  <c r="AY20" i="14"/>
  <c r="AX20" i="14"/>
  <c r="AW20" i="14"/>
  <c r="AV20" i="14"/>
  <c r="AU20" i="14"/>
  <c r="AT20" i="14"/>
  <c r="AS20" i="14"/>
  <c r="AR20" i="14"/>
  <c r="AQ20" i="14"/>
  <c r="AP20" i="14"/>
  <c r="AO20" i="14"/>
  <c r="AN20" i="14"/>
  <c r="AM20" i="14"/>
  <c r="AL20" i="14"/>
  <c r="AK20" i="14"/>
  <c r="AJ20" i="14"/>
  <c r="AI20" i="14"/>
  <c r="AH20" i="14"/>
  <c r="AG20" i="14"/>
  <c r="AF20" i="14"/>
  <c r="AD20" i="14"/>
  <c r="AD21" i="14" s="1"/>
  <c r="AC20" i="14"/>
  <c r="AC21" i="14" s="1"/>
  <c r="AB20" i="14"/>
  <c r="AB21" i="14" s="1"/>
  <c r="AA20" i="14"/>
  <c r="AA21" i="14" s="1"/>
  <c r="Z20" i="14"/>
  <c r="Z21" i="14" s="1"/>
  <c r="Y20" i="14"/>
  <c r="Y21" i="14" s="1"/>
  <c r="X20" i="14"/>
  <c r="X21" i="14" s="1"/>
  <c r="W20" i="14"/>
  <c r="W21" i="14" s="1"/>
  <c r="V20" i="14"/>
  <c r="V21" i="14" s="1"/>
  <c r="U20" i="14"/>
  <c r="U21" i="14" s="1"/>
  <c r="T20" i="14"/>
  <c r="T21" i="14" s="1"/>
  <c r="S20" i="14"/>
  <c r="S21" i="14" s="1"/>
  <c r="R20" i="14"/>
  <c r="R21" i="14" s="1"/>
  <c r="Q20" i="14"/>
  <c r="Q21" i="14" s="1"/>
  <c r="P20" i="14"/>
  <c r="P21" i="14" s="1"/>
  <c r="O20" i="14"/>
  <c r="O21" i="14" s="1"/>
  <c r="N20" i="14"/>
  <c r="N21" i="14" s="1"/>
  <c r="M20" i="14"/>
  <c r="M21" i="14" s="1"/>
  <c r="L20" i="14"/>
  <c r="L21" i="14" s="1"/>
  <c r="K20" i="14"/>
  <c r="K21" i="14" s="1"/>
  <c r="J20" i="14"/>
  <c r="J21" i="14" s="1"/>
  <c r="I20" i="14"/>
  <c r="I21" i="14" s="1"/>
  <c r="H20" i="14"/>
  <c r="H21" i="14" s="1"/>
  <c r="G20" i="14"/>
  <c r="G21" i="14" s="1"/>
  <c r="F20" i="14"/>
  <c r="F21" i="14" s="1"/>
  <c r="E20" i="14"/>
  <c r="E21" i="14" s="1"/>
  <c r="D20" i="14"/>
  <c r="D21" i="14" s="1"/>
  <c r="HC19" i="14"/>
  <c r="HC65" i="14" s="1"/>
  <c r="ES18" i="14"/>
  <c r="ES20" i="14" s="1"/>
  <c r="JR57" i="14"/>
  <c r="BC16" i="14"/>
  <c r="BC20" i="14" s="1"/>
  <c r="AE16" i="14"/>
  <c r="AE20" i="14" s="1"/>
  <c r="AE21" i="14" s="1"/>
  <c r="AF15" i="14" s="1"/>
  <c r="AF21" i="14" s="1"/>
  <c r="AG15" i="14" s="1"/>
  <c r="CW15" i="14"/>
  <c r="IW11" i="14"/>
  <c r="IV11" i="14"/>
  <c r="IU11" i="14"/>
  <c r="IT11" i="14"/>
  <c r="IS11" i="14"/>
  <c r="IR11" i="14"/>
  <c r="IQ11" i="14"/>
  <c r="IP11" i="14"/>
  <c r="IO11" i="14"/>
  <c r="IN11" i="14"/>
  <c r="IM11" i="14"/>
  <c r="IL11" i="14"/>
  <c r="IK11" i="14"/>
  <c r="IJ11" i="14"/>
  <c r="II11" i="14"/>
  <c r="IH11" i="14"/>
  <c r="IG11" i="14"/>
  <c r="IF11" i="14"/>
  <c r="IE11" i="14"/>
  <c r="ID11" i="14"/>
  <c r="IC11" i="14"/>
  <c r="IB11" i="14"/>
  <c r="IA11" i="14"/>
  <c r="HZ11" i="14"/>
  <c r="HY11" i="14"/>
  <c r="HX11" i="14"/>
  <c r="HW11" i="14"/>
  <c r="HV11" i="14"/>
  <c r="HU11" i="14"/>
  <c r="HT11" i="14"/>
  <c r="HS11" i="14"/>
  <c r="HR11" i="14"/>
  <c r="HQ11" i="14"/>
  <c r="HP11" i="14"/>
  <c r="HO11" i="14"/>
  <c r="HN11" i="14"/>
  <c r="HM11" i="14"/>
  <c r="HL11" i="14"/>
  <c r="HK11" i="14"/>
  <c r="HJ11" i="14"/>
  <c r="HI11" i="14"/>
  <c r="HH11" i="14"/>
  <c r="HG11" i="14"/>
  <c r="HF11" i="14"/>
  <c r="HE11" i="14"/>
  <c r="HD11" i="14"/>
  <c r="HC11" i="14"/>
  <c r="HB11" i="14"/>
  <c r="HA11" i="14"/>
  <c r="GZ11" i="14"/>
  <c r="GY11" i="14"/>
  <c r="GX11" i="14"/>
  <c r="GW11" i="14"/>
  <c r="GV11" i="14"/>
  <c r="GU11" i="14"/>
  <c r="GT11" i="14"/>
  <c r="GS11" i="14"/>
  <c r="GR11" i="14"/>
  <c r="GQ11" i="14"/>
  <c r="GP11" i="14"/>
  <c r="GO11" i="14"/>
  <c r="GN11" i="14"/>
  <c r="GM11" i="14"/>
  <c r="GL11" i="14"/>
  <c r="GK11" i="14"/>
  <c r="GJ11" i="14"/>
  <c r="GI11" i="14"/>
  <c r="GH11" i="14"/>
  <c r="GG11" i="14"/>
  <c r="GF11" i="14"/>
  <c r="GE11" i="14"/>
  <c r="GD11" i="14"/>
  <c r="GC11" i="14"/>
  <c r="GB11" i="14"/>
  <c r="GA11" i="14"/>
  <c r="FZ11" i="14"/>
  <c r="FY11" i="14"/>
  <c r="FX11" i="14"/>
  <c r="FW11" i="14"/>
  <c r="FV11" i="14"/>
  <c r="FU11" i="14"/>
  <c r="FT11" i="14"/>
  <c r="FS11" i="14"/>
  <c r="FR11" i="14"/>
  <c r="FQ11" i="14"/>
  <c r="FP11" i="14"/>
  <c r="FO11" i="14"/>
  <c r="FN11" i="14"/>
  <c r="FM11" i="14"/>
  <c r="FL11" i="14"/>
  <c r="FK11" i="14"/>
  <c r="FJ11" i="14"/>
  <c r="FI11" i="14"/>
  <c r="FH11" i="14"/>
  <c r="FG11" i="14"/>
  <c r="FF11" i="14"/>
  <c r="FE11" i="14"/>
  <c r="FD11" i="14"/>
  <c r="FC11" i="14"/>
  <c r="FB11" i="14"/>
  <c r="FA11" i="14"/>
  <c r="EZ11" i="14"/>
  <c r="EY11" i="14"/>
  <c r="EX11" i="14"/>
  <c r="EW11" i="14"/>
  <c r="EV11" i="14"/>
  <c r="EU11" i="14"/>
  <c r="ET11" i="14"/>
  <c r="ER11" i="14"/>
  <c r="EQ11" i="14"/>
  <c r="EP11" i="14"/>
  <c r="EO11" i="14"/>
  <c r="EN11" i="14"/>
  <c r="EM11" i="14"/>
  <c r="EL11" i="14"/>
  <c r="EK11" i="14"/>
  <c r="EI11" i="14"/>
  <c r="EH11" i="14"/>
  <c r="EG11" i="14"/>
  <c r="EF11" i="14"/>
  <c r="EE11" i="14"/>
  <c r="ED11" i="14"/>
  <c r="EC11" i="14"/>
  <c r="EB11" i="14"/>
  <c r="EA11" i="14"/>
  <c r="DZ11" i="14"/>
  <c r="DY11" i="14"/>
  <c r="DW11" i="14"/>
  <c r="DV11" i="14"/>
  <c r="DU11" i="14"/>
  <c r="DT11" i="14"/>
  <c r="DS11" i="14"/>
  <c r="DR11" i="14"/>
  <c r="DQ11" i="14"/>
  <c r="DP11" i="14"/>
  <c r="DO11" i="14"/>
  <c r="DN11" i="14"/>
  <c r="DM11" i="14"/>
  <c r="DL11" i="14"/>
  <c r="DK11" i="14"/>
  <c r="DJ11" i="14"/>
  <c r="DI11" i="14"/>
  <c r="DH11" i="14"/>
  <c r="DG11" i="14"/>
  <c r="DF11" i="14"/>
  <c r="DE11" i="14"/>
  <c r="DD11" i="14"/>
  <c r="DC11" i="14"/>
  <c r="DB11" i="14"/>
  <c r="DA11" i="14"/>
  <c r="CZ11" i="14"/>
  <c r="CY11" i="14"/>
  <c r="CX11" i="14"/>
  <c r="CW11" i="14"/>
  <c r="CV11" i="14"/>
  <c r="CU11" i="14"/>
  <c r="CT11" i="14"/>
  <c r="CS11" i="14"/>
  <c r="CR11" i="14"/>
  <c r="CQ11" i="14"/>
  <c r="CP11" i="14"/>
  <c r="CO11" i="14"/>
  <c r="CN11" i="14"/>
  <c r="CM11" i="14"/>
  <c r="CL11" i="14"/>
  <c r="CK11" i="14"/>
  <c r="CJ11" i="14"/>
  <c r="CI11" i="14"/>
  <c r="CH11" i="14"/>
  <c r="CG11" i="14"/>
  <c r="CF11" i="14"/>
  <c r="CE11" i="14"/>
  <c r="CD11" i="14"/>
  <c r="CC11" i="14"/>
  <c r="CB11" i="14"/>
  <c r="CA11" i="14"/>
  <c r="BZ11" i="14"/>
  <c r="BY11" i="14"/>
  <c r="BW11" i="14"/>
  <c r="BV11" i="14"/>
  <c r="BU11" i="14"/>
  <c r="BT11" i="14"/>
  <c r="BS11" i="14"/>
  <c r="BR11" i="14"/>
  <c r="BQ11" i="14"/>
  <c r="BP11" i="14"/>
  <c r="BO11" i="14"/>
  <c r="BN11" i="14"/>
  <c r="BM11" i="14"/>
  <c r="BL11" i="14"/>
  <c r="BK11" i="14"/>
  <c r="BJ11" i="14"/>
  <c r="BI11" i="14"/>
  <c r="BH11" i="14"/>
  <c r="BG11" i="14"/>
  <c r="BF11" i="14"/>
  <c r="BE11" i="14"/>
  <c r="BD11" i="14"/>
  <c r="BB11" i="14"/>
  <c r="BA11" i="14"/>
  <c r="AZ11" i="14"/>
  <c r="AY11" i="14"/>
  <c r="AX11" i="14"/>
  <c r="AW11" i="14"/>
  <c r="AV11" i="14"/>
  <c r="AU11" i="14"/>
  <c r="AT11" i="14"/>
  <c r="AS11" i="14"/>
  <c r="AR11" i="14"/>
  <c r="AQ11" i="14"/>
  <c r="AP11" i="14"/>
  <c r="AO11" i="14"/>
  <c r="AN11" i="14"/>
  <c r="AM11" i="14"/>
  <c r="AL11" i="14"/>
  <c r="AK11" i="14"/>
  <c r="AJ11" i="14"/>
  <c r="AI11" i="14"/>
  <c r="AH11" i="14"/>
  <c r="AG11" i="14"/>
  <c r="AF11" i="14"/>
  <c r="AD11" i="14"/>
  <c r="AD12" i="14" s="1"/>
  <c r="AC11" i="14"/>
  <c r="AC12" i="14" s="1"/>
  <c r="AB11" i="14"/>
  <c r="AB12" i="14" s="1"/>
  <c r="AA11" i="14"/>
  <c r="AA12" i="14" s="1"/>
  <c r="Z11" i="14"/>
  <c r="Z12" i="14" s="1"/>
  <c r="Y11" i="14"/>
  <c r="Y12" i="14" s="1"/>
  <c r="X11" i="14"/>
  <c r="X12" i="14" s="1"/>
  <c r="W11" i="14"/>
  <c r="W12" i="14" s="1"/>
  <c r="V11" i="14"/>
  <c r="V12" i="14" s="1"/>
  <c r="U11" i="14"/>
  <c r="U12" i="14" s="1"/>
  <c r="T11" i="14"/>
  <c r="T12" i="14" s="1"/>
  <c r="S11" i="14"/>
  <c r="S12" i="14" s="1"/>
  <c r="R11" i="14"/>
  <c r="R12" i="14" s="1"/>
  <c r="Q11" i="14"/>
  <c r="Q12" i="14" s="1"/>
  <c r="P11" i="14"/>
  <c r="P12" i="14" s="1"/>
  <c r="O11" i="14"/>
  <c r="O12" i="14" s="1"/>
  <c r="N11" i="14"/>
  <c r="N12" i="14" s="1"/>
  <c r="M11" i="14"/>
  <c r="M12" i="14" s="1"/>
  <c r="L11" i="14"/>
  <c r="L12" i="14" s="1"/>
  <c r="K11" i="14"/>
  <c r="K12" i="14" s="1"/>
  <c r="J11" i="14"/>
  <c r="J12" i="14" s="1"/>
  <c r="I11" i="14"/>
  <c r="I12" i="14" s="1"/>
  <c r="H11" i="14"/>
  <c r="H12" i="14" s="1"/>
  <c r="G11" i="14"/>
  <c r="G12" i="14" s="1"/>
  <c r="F11" i="14"/>
  <c r="F12" i="14" s="1"/>
  <c r="E11" i="14"/>
  <c r="E12" i="14" s="1"/>
  <c r="D11" i="14"/>
  <c r="D12" i="14" s="1"/>
  <c r="ES9" i="14"/>
  <c r="EJ7" i="14"/>
  <c r="EJ57" i="14" s="1"/>
  <c r="DX7" i="14"/>
  <c r="DX57" i="14" s="1"/>
  <c r="BC7" i="14"/>
  <c r="BC11" i="14" s="1"/>
  <c r="AE7" i="14"/>
  <c r="AE11" i="14" s="1"/>
  <c r="AE12" i="14" s="1"/>
  <c r="AF6" i="14" s="1"/>
  <c r="AW3" i="14"/>
  <c r="AV3" i="14"/>
  <c r="AU3" i="14"/>
  <c r="AT3" i="14"/>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A10" i="5"/>
  <c r="A1" i="5"/>
  <c r="A11" i="4"/>
  <c r="A12" i="4" s="1"/>
  <c r="A13" i="4" s="1"/>
  <c r="A14" i="4" s="1"/>
  <c r="A15" i="4" s="1"/>
  <c r="A16" i="4" s="1"/>
  <c r="A17" i="4" s="1"/>
  <c r="A18" i="4" s="1"/>
  <c r="A19" i="4" s="1"/>
  <c r="A20" i="4" s="1"/>
  <c r="A21" i="4" s="1"/>
  <c r="A22" i="4" s="1"/>
  <c r="A23" i="4" s="1"/>
  <c r="A24" i="4" s="1"/>
  <c r="A25" i="4" s="1"/>
  <c r="A26" i="4" s="1"/>
  <c r="A27" i="4" s="1"/>
  <c r="A28" i="4" s="1"/>
  <c r="A29" i="4" s="1"/>
  <c r="A30" i="4" s="1"/>
  <c r="A31" i="4" s="1"/>
  <c r="A1" i="4"/>
  <c r="A1" i="19" s="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D138" i="16" l="1"/>
  <c r="E107" i="14"/>
  <c r="F102" i="14" s="1"/>
  <c r="F107" i="14" s="1"/>
  <c r="G102" i="14" s="1"/>
  <c r="G107" i="14" s="1"/>
  <c r="H102" i="14" s="1"/>
  <c r="H107" i="14" s="1"/>
  <c r="I102" i="14" s="1"/>
  <c r="I107" i="14" s="1"/>
  <c r="J102" i="14" s="1"/>
  <c r="J107" i="14" s="1"/>
  <c r="K102" i="14" s="1"/>
  <c r="K107" i="14" s="1"/>
  <c r="L102" i="14" s="1"/>
  <c r="L107" i="14" s="1"/>
  <c r="M102" i="14" s="1"/>
  <c r="M107" i="14" s="1"/>
  <c r="N102" i="14" s="1"/>
  <c r="N107" i="14" s="1"/>
  <c r="O102" i="14" s="1"/>
  <c r="O107" i="14" s="1"/>
  <c r="P102" i="14" s="1"/>
  <c r="P107" i="14" s="1"/>
  <c r="Q102" i="14" s="1"/>
  <c r="Q107" i="14" s="1"/>
  <c r="R102" i="14" s="1"/>
  <c r="R107" i="14" s="1"/>
  <c r="S102" i="14" s="1"/>
  <c r="S107" i="14" s="1"/>
  <c r="T102" i="14" s="1"/>
  <c r="T107" i="14" s="1"/>
  <c r="U102" i="14" s="1"/>
  <c r="U107" i="14" s="1"/>
  <c r="V102" i="14" s="1"/>
  <c r="V107" i="14" s="1"/>
  <c r="W102" i="14" s="1"/>
  <c r="W107" i="14" s="1"/>
  <c r="X102" i="14" s="1"/>
  <c r="X107" i="14" s="1"/>
  <c r="Y102" i="14" s="1"/>
  <c r="Y107" i="14" s="1"/>
  <c r="Z102" i="14" s="1"/>
  <c r="Z107" i="14" s="1"/>
  <c r="AA102" i="14" s="1"/>
  <c r="AA107" i="14" s="1"/>
  <c r="AB102" i="14" s="1"/>
  <c r="AB107" i="14" s="1"/>
  <c r="AC102" i="14" s="1"/>
  <c r="AC107" i="14" s="1"/>
  <c r="AD102" i="14" s="1"/>
  <c r="AD107" i="14" s="1"/>
  <c r="AE102" i="14" s="1"/>
  <c r="AE107" i="14" s="1"/>
  <c r="AF102" i="14" s="1"/>
  <c r="AF107" i="14" s="1"/>
  <c r="AG102" i="14" s="1"/>
  <c r="AG107" i="14" s="1"/>
  <c r="AH102" i="14" s="1"/>
  <c r="AH107" i="14" s="1"/>
  <c r="AI102" i="14" s="1"/>
  <c r="AI107" i="14" s="1"/>
  <c r="AJ102" i="14" s="1"/>
  <c r="AJ107" i="14" s="1"/>
  <c r="AK102" i="14" s="1"/>
  <c r="AK107" i="14" s="1"/>
  <c r="AL102" i="14" s="1"/>
  <c r="AL107" i="14" s="1"/>
  <c r="AM102" i="14" s="1"/>
  <c r="AM107" i="14" s="1"/>
  <c r="AN102" i="14" s="1"/>
  <c r="AN107" i="14" s="1"/>
  <c r="AO102" i="14" s="1"/>
  <c r="AO107" i="14" s="1"/>
  <c r="AP102" i="14" s="1"/>
  <c r="AP107" i="14" s="1"/>
  <c r="AQ102" i="14" s="1"/>
  <c r="AQ107" i="14" s="1"/>
  <c r="AR102" i="14" s="1"/>
  <c r="AR107" i="14" s="1"/>
  <c r="AS102" i="14" s="1"/>
  <c r="AS107" i="14" s="1"/>
  <c r="AT102" i="14" s="1"/>
  <c r="AT107" i="14" s="1"/>
  <c r="AU102" i="14" s="1"/>
  <c r="AU107" i="14" s="1"/>
  <c r="AV102" i="14" s="1"/>
  <c r="AV107" i="14" s="1"/>
  <c r="AW102" i="14" s="1"/>
  <c r="AW107" i="14" s="1"/>
  <c r="AX102" i="14" s="1"/>
  <c r="AX107" i="14" s="1"/>
  <c r="AY102" i="14" s="1"/>
  <c r="AY107" i="14" s="1"/>
  <c r="AZ102" i="14" s="1"/>
  <c r="AZ107" i="14" s="1"/>
  <c r="BA102" i="14" s="1"/>
  <c r="BA107" i="14" s="1"/>
  <c r="BB102" i="14" s="1"/>
  <c r="BB107" i="14" s="1"/>
  <c r="BC102" i="14" s="1"/>
  <c r="BC107" i="14" s="1"/>
  <c r="BD102" i="14" s="1"/>
  <c r="BD107" i="14" s="1"/>
  <c r="BE102" i="14" s="1"/>
  <c r="BE107" i="14" s="1"/>
  <c r="BF102" i="14" s="1"/>
  <c r="BF107" i="14" s="1"/>
  <c r="BG102" i="14" s="1"/>
  <c r="BG107" i="14" s="1"/>
  <c r="BH102" i="14" s="1"/>
  <c r="BH107" i="14" s="1"/>
  <c r="BI102" i="14" s="1"/>
  <c r="BI107" i="14" s="1"/>
  <c r="BJ102" i="14" s="1"/>
  <c r="BJ107" i="14" s="1"/>
  <c r="BK102" i="14" s="1"/>
  <c r="BK107" i="14" s="1"/>
  <c r="BL102" i="14" s="1"/>
  <c r="BL107" i="14" s="1"/>
  <c r="BM102" i="14" s="1"/>
  <c r="BM107" i="14" s="1"/>
  <c r="BN102" i="14" s="1"/>
  <c r="BN107" i="14" s="1"/>
  <c r="BO102" i="14" s="1"/>
  <c r="BO107" i="14" s="1"/>
  <c r="BP102" i="14" s="1"/>
  <c r="BP107" i="14" s="1"/>
  <c r="BQ102" i="14" s="1"/>
  <c r="BQ107" i="14" s="1"/>
  <c r="BR102" i="14" s="1"/>
  <c r="BR107" i="14" s="1"/>
  <c r="BS102" i="14" s="1"/>
  <c r="BS107" i="14" s="1"/>
  <c r="BT102" i="14" s="1"/>
  <c r="BT107" i="14" s="1"/>
  <c r="BU102" i="14" s="1"/>
  <c r="BU107" i="14" s="1"/>
  <c r="BV102" i="14" s="1"/>
  <c r="BV107" i="14" s="1"/>
  <c r="BW102" i="14" s="1"/>
  <c r="BW107" i="14" s="1"/>
  <c r="BX102" i="14" s="1"/>
  <c r="BX107" i="14" s="1"/>
  <c r="BY102" i="14" s="1"/>
  <c r="BY107" i="14" s="1"/>
  <c r="BZ102" i="14" s="1"/>
  <c r="BZ107" i="14" s="1"/>
  <c r="CA102" i="14" s="1"/>
  <c r="CA107" i="14" s="1"/>
  <c r="CB102" i="14" s="1"/>
  <c r="CB107" i="14" s="1"/>
  <c r="CC102" i="14" s="1"/>
  <c r="CC107" i="14" s="1"/>
  <c r="CD102" i="14" s="1"/>
  <c r="CD107" i="14" s="1"/>
  <c r="CE102" i="14" s="1"/>
  <c r="CE107" i="14" s="1"/>
  <c r="CF102" i="14" s="1"/>
  <c r="CF107" i="14" s="1"/>
  <c r="CG102" i="14" s="1"/>
  <c r="CG107" i="14" s="1"/>
  <c r="CH102" i="14" s="1"/>
  <c r="CH107" i="14" s="1"/>
  <c r="CI102" i="14" s="1"/>
  <c r="CI107" i="14" s="1"/>
  <c r="CJ102" i="14" s="1"/>
  <c r="CJ107" i="14" s="1"/>
  <c r="CK102" i="14" s="1"/>
  <c r="CK107" i="14" s="1"/>
  <c r="CL102" i="14" s="1"/>
  <c r="CL107" i="14" s="1"/>
  <c r="CM102" i="14" s="1"/>
  <c r="CM107" i="14" s="1"/>
  <c r="CN102" i="14" s="1"/>
  <c r="CN107" i="14" s="1"/>
  <c r="CO102" i="14" s="1"/>
  <c r="CO107" i="14" s="1"/>
  <c r="CP102" i="14" s="1"/>
  <c r="CP107" i="14" s="1"/>
  <c r="CQ102" i="14" s="1"/>
  <c r="CQ107" i="14" s="1"/>
  <c r="CR102" i="14" s="1"/>
  <c r="CR107" i="14" s="1"/>
  <c r="CS102" i="14" s="1"/>
  <c r="CS107" i="14" s="1"/>
  <c r="CT102" i="14" s="1"/>
  <c r="CT107" i="14" s="1"/>
  <c r="CU102" i="14" s="1"/>
  <c r="CU107" i="14" s="1"/>
  <c r="CV102" i="14" s="1"/>
  <c r="CV107" i="14" s="1"/>
  <c r="CW102" i="14" s="1"/>
  <c r="CW107" i="14" s="1"/>
  <c r="CX102" i="14" s="1"/>
  <c r="CX107" i="14" s="1"/>
  <c r="CY102" i="14" s="1"/>
  <c r="CY107" i="14" s="1"/>
  <c r="CZ102" i="14" s="1"/>
  <c r="CZ107" i="14" s="1"/>
  <c r="DA102" i="14" s="1"/>
  <c r="DA107" i="14" s="1"/>
  <c r="DB102" i="14" s="1"/>
  <c r="DB107" i="14" s="1"/>
  <c r="DC102" i="14" s="1"/>
  <c r="DC107" i="14" s="1"/>
  <c r="DD102" i="14" s="1"/>
  <c r="DD107" i="14" s="1"/>
  <c r="DE102" i="14" s="1"/>
  <c r="DE107" i="14" s="1"/>
  <c r="DF102" i="14" s="1"/>
  <c r="DF107" i="14" s="1"/>
  <c r="DG102" i="14" s="1"/>
  <c r="DG107" i="14" s="1"/>
  <c r="DH102" i="14" s="1"/>
  <c r="DH107" i="14" s="1"/>
  <c r="DI102" i="14" s="1"/>
  <c r="DI107" i="14" s="1"/>
  <c r="DJ102" i="14" s="1"/>
  <c r="DJ107" i="14" s="1"/>
  <c r="DK102" i="14" s="1"/>
  <c r="DK107" i="14" s="1"/>
  <c r="DL102" i="14" s="1"/>
  <c r="DL107" i="14" s="1"/>
  <c r="DM102" i="14" s="1"/>
  <c r="DM107" i="14" s="1"/>
  <c r="DN102" i="14" s="1"/>
  <c r="DN107" i="14" s="1"/>
  <c r="DO102" i="14" s="1"/>
  <c r="DO107" i="14" s="1"/>
  <c r="DP102" i="14" s="1"/>
  <c r="DP107" i="14" s="1"/>
  <c r="DQ102" i="14" s="1"/>
  <c r="DQ107" i="14" s="1"/>
  <c r="DR102" i="14" s="1"/>
  <c r="DR107" i="14" s="1"/>
  <c r="DS102" i="14" s="1"/>
  <c r="DS107" i="14" s="1"/>
  <c r="DT102" i="14" s="1"/>
  <c r="DT107" i="14" s="1"/>
  <c r="DU102" i="14" s="1"/>
  <c r="DU107" i="14" s="1"/>
  <c r="DV102" i="14" s="1"/>
  <c r="DV107" i="14" s="1"/>
  <c r="DW102" i="14" s="1"/>
  <c r="DW107" i="14" s="1"/>
  <c r="DX102" i="14" s="1"/>
  <c r="DX107" i="14" s="1"/>
  <c r="DY102" i="14" s="1"/>
  <c r="DY107" i="14" s="1"/>
  <c r="DZ102" i="14" s="1"/>
  <c r="DZ107" i="14" s="1"/>
  <c r="EA102" i="14" s="1"/>
  <c r="EA107" i="14" s="1"/>
  <c r="EB102" i="14" s="1"/>
  <c r="EB107" i="14" s="1"/>
  <c r="EC102" i="14" s="1"/>
  <c r="EC107" i="14" s="1"/>
  <c r="ED102" i="14" s="1"/>
  <c r="ED107" i="14" s="1"/>
  <c r="EE102" i="14" s="1"/>
  <c r="EE107" i="14" s="1"/>
  <c r="EF102" i="14" s="1"/>
  <c r="EF107" i="14" s="1"/>
  <c r="EG102" i="14" s="1"/>
  <c r="EG107" i="14" s="1"/>
  <c r="EH102" i="14" s="1"/>
  <c r="EH107" i="14" s="1"/>
  <c r="EI102" i="14" s="1"/>
  <c r="EI107" i="14" s="1"/>
  <c r="EJ102" i="14" s="1"/>
  <c r="EJ107" i="14" s="1"/>
  <c r="EK102" i="14" s="1"/>
  <c r="EK107" i="14" s="1"/>
  <c r="EL102" i="14" s="1"/>
  <c r="EL107" i="14" s="1"/>
  <c r="EM102" i="14" s="1"/>
  <c r="EM107" i="14" s="1"/>
  <c r="EN102" i="14" s="1"/>
  <c r="EN107" i="14" s="1"/>
  <c r="EO102" i="14" s="1"/>
  <c r="EO107" i="14" s="1"/>
  <c r="EP102" i="14" s="1"/>
  <c r="EP107" i="14" s="1"/>
  <c r="EQ102" i="14" s="1"/>
  <c r="EQ107" i="14" s="1"/>
  <c r="ER102" i="14" s="1"/>
  <c r="ER107" i="14" s="1"/>
  <c r="ES102" i="14" s="1"/>
  <c r="ES107" i="14" s="1"/>
  <c r="ET102" i="14" s="1"/>
  <c r="ET107" i="14" s="1"/>
  <c r="EU102" i="14" s="1"/>
  <c r="EU107" i="14" s="1"/>
  <c r="EV102" i="14" s="1"/>
  <c r="EV107" i="14" s="1"/>
  <c r="EW102" i="14" s="1"/>
  <c r="EW107" i="14" s="1"/>
  <c r="EX102" i="14" s="1"/>
  <c r="EX107" i="14" s="1"/>
  <c r="EY102" i="14" s="1"/>
  <c r="EY107" i="14" s="1"/>
  <c r="EZ102" i="14" s="1"/>
  <c r="EZ107" i="14" s="1"/>
  <c r="FA102" i="14" s="1"/>
  <c r="FA107" i="14" s="1"/>
  <c r="FB102" i="14" s="1"/>
  <c r="FB107" i="14" s="1"/>
  <c r="FC102" i="14" s="1"/>
  <c r="FC107" i="14" s="1"/>
  <c r="FD102" i="14" s="1"/>
  <c r="FD107" i="14" s="1"/>
  <c r="FE102" i="14" s="1"/>
  <c r="FE107" i="14" s="1"/>
  <c r="FF102" i="14" s="1"/>
  <c r="FF107" i="14" s="1"/>
  <c r="FG102" i="14" s="1"/>
  <c r="FG107" i="14" s="1"/>
  <c r="FH102" i="14" s="1"/>
  <c r="FH107" i="14" s="1"/>
  <c r="FI102" i="14" s="1"/>
  <c r="FI107" i="14" s="1"/>
  <c r="FJ102" i="14" s="1"/>
  <c r="FJ107" i="14" s="1"/>
  <c r="FK102" i="14" s="1"/>
  <c r="FK107" i="14" s="1"/>
  <c r="FL102" i="14" s="1"/>
  <c r="FL107" i="14" s="1"/>
  <c r="FM102" i="14" s="1"/>
  <c r="FM107" i="14" s="1"/>
  <c r="FN102" i="14" s="1"/>
  <c r="FN107" i="14" s="1"/>
  <c r="FO102" i="14" s="1"/>
  <c r="FO107" i="14" s="1"/>
  <c r="FP102" i="14" s="1"/>
  <c r="FP107" i="14" s="1"/>
  <c r="FQ102" i="14" s="1"/>
  <c r="FQ107" i="14" s="1"/>
  <c r="FR102" i="14" s="1"/>
  <c r="FR107" i="14" s="1"/>
  <c r="FS102" i="14" s="1"/>
  <c r="FS107" i="14" s="1"/>
  <c r="FT102" i="14" s="1"/>
  <c r="FT107" i="14" s="1"/>
  <c r="FU102" i="14" s="1"/>
  <c r="FU107" i="14" s="1"/>
  <c r="FV102" i="14" s="1"/>
  <c r="FV107" i="14" s="1"/>
  <c r="FW102" i="14" s="1"/>
  <c r="FW107" i="14" s="1"/>
  <c r="FX102" i="14" s="1"/>
  <c r="FX107" i="14" s="1"/>
  <c r="FY102" i="14" s="1"/>
  <c r="FY107" i="14" s="1"/>
  <c r="FZ102" i="14" s="1"/>
  <c r="FZ107" i="14" s="1"/>
  <c r="GA102" i="14" s="1"/>
  <c r="GA107" i="14" s="1"/>
  <c r="GB102" i="14" s="1"/>
  <c r="GB107" i="14" s="1"/>
  <c r="GC102" i="14" s="1"/>
  <c r="GC107" i="14" s="1"/>
  <c r="GD102" i="14" s="1"/>
  <c r="GD107" i="14" s="1"/>
  <c r="GE102" i="14" s="1"/>
  <c r="GE107" i="14" s="1"/>
  <c r="GF102" i="14" s="1"/>
  <c r="GF107" i="14" s="1"/>
  <c r="GG102" i="14" s="1"/>
  <c r="GG107" i="14" s="1"/>
  <c r="GH102" i="14" s="1"/>
  <c r="GH107" i="14" s="1"/>
  <c r="GI102" i="14" s="1"/>
  <c r="GI107" i="14" s="1"/>
  <c r="GJ102" i="14" s="1"/>
  <c r="GJ107" i="14" s="1"/>
  <c r="GK102" i="14" s="1"/>
  <c r="GK107" i="14" s="1"/>
  <c r="GL102" i="14" s="1"/>
  <c r="GL107" i="14" s="1"/>
  <c r="GM102" i="14" s="1"/>
  <c r="GM107" i="14" s="1"/>
  <c r="GN102" i="14" s="1"/>
  <c r="GN107" i="14" s="1"/>
  <c r="GO102" i="14" s="1"/>
  <c r="GO107" i="14" s="1"/>
  <c r="GP102" i="14" s="1"/>
  <c r="GP107" i="14" s="1"/>
  <c r="GQ102" i="14" s="1"/>
  <c r="GQ107" i="14" s="1"/>
  <c r="GR102" i="14" s="1"/>
  <c r="GR107" i="14" s="1"/>
  <c r="GS102" i="14" s="1"/>
  <c r="GS107" i="14" s="1"/>
  <c r="GT102" i="14" s="1"/>
  <c r="GT107" i="14" s="1"/>
  <c r="GU102" i="14" s="1"/>
  <c r="GU107" i="14" s="1"/>
  <c r="GV102" i="14" s="1"/>
  <c r="GV107" i="14" s="1"/>
  <c r="GW102" i="14" s="1"/>
  <c r="GW107" i="14" s="1"/>
  <c r="GX102" i="14" s="1"/>
  <c r="GX107" i="14" s="1"/>
  <c r="GY102" i="14" s="1"/>
  <c r="GY107" i="14" s="1"/>
  <c r="GZ102" i="14" s="1"/>
  <c r="GZ107" i="14" s="1"/>
  <c r="HA102" i="14" s="1"/>
  <c r="HA107" i="14" s="1"/>
  <c r="HB102" i="14" s="1"/>
  <c r="HB107" i="14" s="1"/>
  <c r="HC102" i="14" s="1"/>
  <c r="HC107" i="14" s="1"/>
  <c r="HD102" i="14" s="1"/>
  <c r="HD107" i="14" s="1"/>
  <c r="HE102" i="14" s="1"/>
  <c r="HE107" i="14" s="1"/>
  <c r="HF102" i="14" s="1"/>
  <c r="HF107" i="14" s="1"/>
  <c r="HG102" i="14" s="1"/>
  <c r="HG107" i="14" s="1"/>
  <c r="HH102" i="14" s="1"/>
  <c r="HH107" i="14" s="1"/>
  <c r="HI102" i="14" s="1"/>
  <c r="HI107" i="14" s="1"/>
  <c r="HJ102" i="14" s="1"/>
  <c r="HJ107" i="14" s="1"/>
  <c r="HK102" i="14" s="1"/>
  <c r="HK107" i="14" s="1"/>
  <c r="HL102" i="14" s="1"/>
  <c r="HL107" i="14" s="1"/>
  <c r="HM102" i="14" s="1"/>
  <c r="HM107" i="14" s="1"/>
  <c r="HN102" i="14" s="1"/>
  <c r="HN107" i="14" s="1"/>
  <c r="HO102" i="14" s="1"/>
  <c r="HO107" i="14" s="1"/>
  <c r="HP102" i="14" s="1"/>
  <c r="HP107" i="14" s="1"/>
  <c r="HQ102" i="14" s="1"/>
  <c r="HQ107" i="14" s="1"/>
  <c r="HR102" i="14" s="1"/>
  <c r="HR107" i="14" s="1"/>
  <c r="HS102" i="14" s="1"/>
  <c r="HS107" i="14" s="1"/>
  <c r="HT102" i="14" s="1"/>
  <c r="HT107" i="14" s="1"/>
  <c r="HU102" i="14" s="1"/>
  <c r="HU107" i="14" s="1"/>
  <c r="HV102" i="14" s="1"/>
  <c r="HV107" i="14" s="1"/>
  <c r="HW102" i="14" s="1"/>
  <c r="HW107" i="14" s="1"/>
  <c r="HX102" i="14" s="1"/>
  <c r="HX107" i="14" s="1"/>
  <c r="HY102" i="14" s="1"/>
  <c r="HY107" i="14" s="1"/>
  <c r="HZ102" i="14" s="1"/>
  <c r="HZ107" i="14" s="1"/>
  <c r="IA102" i="14" s="1"/>
  <c r="IA107" i="14" s="1"/>
  <c r="IB102" i="14" s="1"/>
  <c r="IB107" i="14" s="1"/>
  <c r="IC102" i="14" s="1"/>
  <c r="IC107" i="14" s="1"/>
  <c r="ID102" i="14" s="1"/>
  <c r="ID107" i="14" s="1"/>
  <c r="IE102" i="14" s="1"/>
  <c r="IE107" i="14" s="1"/>
  <c r="IF102" i="14" s="1"/>
  <c r="IF107" i="14" s="1"/>
  <c r="IG102" i="14" s="1"/>
  <c r="IG107" i="14" s="1"/>
  <c r="IH102" i="14" s="1"/>
  <c r="IH107" i="14" s="1"/>
  <c r="II102" i="14" s="1"/>
  <c r="II107" i="14" s="1"/>
  <c r="IJ102" i="14" s="1"/>
  <c r="IJ107" i="14" s="1"/>
  <c r="IK102" i="14" s="1"/>
  <c r="IK107" i="14" s="1"/>
  <c r="IL102" i="14" s="1"/>
  <c r="IL107" i="14" s="1"/>
  <c r="IM102" i="14" s="1"/>
  <c r="IM107" i="14" s="1"/>
  <c r="IN102" i="14" s="1"/>
  <c r="IN107" i="14" s="1"/>
  <c r="IO102" i="14" s="1"/>
  <c r="IO107" i="14" s="1"/>
  <c r="IP102" i="14" s="1"/>
  <c r="IP107" i="14" s="1"/>
  <c r="IQ102" i="14" s="1"/>
  <c r="IQ107" i="14" s="1"/>
  <c r="IR102" i="14" s="1"/>
  <c r="IR107" i="14" s="1"/>
  <c r="IS102" i="14" s="1"/>
  <c r="IS107" i="14" s="1"/>
  <c r="IT102" i="14" s="1"/>
  <c r="IT107" i="14" s="1"/>
  <c r="IU102" i="14" s="1"/>
  <c r="IU107" i="14" s="1"/>
  <c r="IV102" i="14" s="1"/>
  <c r="IV107" i="14" s="1"/>
  <c r="IW102" i="14" s="1"/>
  <c r="IW107" i="14" s="1"/>
  <c r="IX102" i="14" s="1"/>
  <c r="BH66" i="14"/>
  <c r="BP66" i="14"/>
  <c r="BP112" i="14" s="1"/>
  <c r="BD66" i="14"/>
  <c r="BD112" i="14" s="1"/>
  <c r="BT66" i="14"/>
  <c r="BT112" i="14" s="1"/>
  <c r="BC57" i="14"/>
  <c r="BC66" i="14" s="1"/>
  <c r="BC112" i="14" s="1"/>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DX11" i="14"/>
  <c r="ES63" i="14"/>
  <c r="ES66" i="14" s="1"/>
  <c r="ES112" i="14" s="1"/>
  <c r="IN42" i="14"/>
  <c r="E99" i="14"/>
  <c r="F94" i="14" s="1"/>
  <c r="C85" i="16"/>
  <c r="JJ53" i="14"/>
  <c r="JK46" i="14" s="1"/>
  <c r="JK52" i="14" s="1"/>
  <c r="D47" i="16"/>
  <c r="F99" i="14"/>
  <c r="G94" i="14" s="1"/>
  <c r="ES11" i="14"/>
  <c r="BS78" i="14"/>
  <c r="BT70" i="14" s="1"/>
  <c r="AF12" i="14"/>
  <c r="AG6" i="14" s="1"/>
  <c r="BL66" i="14"/>
  <c r="BL112" i="14" s="1"/>
  <c r="E91" i="14"/>
  <c r="F81" i="14" s="1"/>
  <c r="F91" i="14" s="1"/>
  <c r="G81" i="14" s="1"/>
  <c r="G91" i="14" s="1"/>
  <c r="H81" i="14" s="1"/>
  <c r="H91" i="14" s="1"/>
  <c r="I81" i="14" s="1"/>
  <c r="I91" i="14" s="1"/>
  <c r="J81" i="14" s="1"/>
  <c r="J91" i="14" s="1"/>
  <c r="K81" i="14" s="1"/>
  <c r="K91" i="14" s="1"/>
  <c r="L81" i="14" s="1"/>
  <c r="L91" i="14" s="1"/>
  <c r="M81" i="14" s="1"/>
  <c r="M91" i="14" s="1"/>
  <c r="N81" i="14" s="1"/>
  <c r="N91" i="14" s="1"/>
  <c r="O81" i="14" s="1"/>
  <c r="O91" i="14" s="1"/>
  <c r="P81" i="14" s="1"/>
  <c r="P91" i="14" s="1"/>
  <c r="Q81" i="14" s="1"/>
  <c r="Q91" i="14" s="1"/>
  <c r="R81" i="14" s="1"/>
  <c r="R91" i="14" s="1"/>
  <c r="S81" i="14" s="1"/>
  <c r="S91" i="14" s="1"/>
  <c r="T81" i="14" s="1"/>
  <c r="T91" i="14" s="1"/>
  <c r="U81" i="14" s="1"/>
  <c r="U91" i="14" s="1"/>
  <c r="V81" i="14" s="1"/>
  <c r="V91" i="14" s="1"/>
  <c r="W81" i="14" s="1"/>
  <c r="W91" i="14" s="1"/>
  <c r="X81" i="14" s="1"/>
  <c r="X91" i="14" s="1"/>
  <c r="Y81" i="14" s="1"/>
  <c r="Y91" i="14" s="1"/>
  <c r="Z81" i="14" s="1"/>
  <c r="Z91" i="14" s="1"/>
  <c r="AA81" i="14" s="1"/>
  <c r="AA91" i="14" s="1"/>
  <c r="AB81" i="14" s="1"/>
  <c r="AB91" i="14" s="1"/>
  <c r="AC81" i="14" s="1"/>
  <c r="AC91" i="14" s="1"/>
  <c r="AD81" i="14" s="1"/>
  <c r="AD91" i="14" s="1"/>
  <c r="AE81" i="14" s="1"/>
  <c r="AE91" i="14" s="1"/>
  <c r="AF81" i="14" s="1"/>
  <c r="AF91" i="14" s="1"/>
  <c r="AG81" i="14" s="1"/>
  <c r="AG91" i="14" s="1"/>
  <c r="AH81" i="14" s="1"/>
  <c r="AH91" i="14" s="1"/>
  <c r="AI81" i="14" s="1"/>
  <c r="AI91" i="14" s="1"/>
  <c r="AJ81" i="14" s="1"/>
  <c r="AJ91" i="14" s="1"/>
  <c r="AK81" i="14" s="1"/>
  <c r="AK91" i="14" s="1"/>
  <c r="AL81" i="14" s="1"/>
  <c r="AL91" i="14" s="1"/>
  <c r="AM81" i="14" s="1"/>
  <c r="AM91" i="14" s="1"/>
  <c r="AN81" i="14" s="1"/>
  <c r="AN91" i="14" s="1"/>
  <c r="AO81" i="14" s="1"/>
  <c r="AO91" i="14" s="1"/>
  <c r="AP81" i="14" s="1"/>
  <c r="AP91" i="14" s="1"/>
  <c r="AQ81" i="14" s="1"/>
  <c r="AQ91" i="14" s="1"/>
  <c r="AR81" i="14" s="1"/>
  <c r="AR91" i="14" s="1"/>
  <c r="AS81" i="14" s="1"/>
  <c r="AS91" i="14" s="1"/>
  <c r="AT81" i="14" s="1"/>
  <c r="AT91" i="14" s="1"/>
  <c r="AU81" i="14" s="1"/>
  <c r="AU91" i="14" s="1"/>
  <c r="AV81" i="14" s="1"/>
  <c r="AV91" i="14" s="1"/>
  <c r="AW81" i="14" s="1"/>
  <c r="AW91" i="14" s="1"/>
  <c r="AX81" i="14" s="1"/>
  <c r="AX91" i="14" s="1"/>
  <c r="AY81" i="14" s="1"/>
  <c r="AY91" i="14" s="1"/>
  <c r="AZ81" i="14" s="1"/>
  <c r="AZ91" i="14" s="1"/>
  <c r="BA81" i="14" s="1"/>
  <c r="BA91" i="14" s="1"/>
  <c r="BB81" i="14" s="1"/>
  <c r="BB91" i="14" s="1"/>
  <c r="BC81" i="14" s="1"/>
  <c r="BC91" i="14" s="1"/>
  <c r="BD81" i="14" s="1"/>
  <c r="BD91" i="14" s="1"/>
  <c r="BE81" i="14" s="1"/>
  <c r="BE91" i="14" s="1"/>
  <c r="BF81" i="14" s="1"/>
  <c r="BF91" i="14" s="1"/>
  <c r="BG81" i="14" s="1"/>
  <c r="BG91" i="14" s="1"/>
  <c r="BH81" i="14" s="1"/>
  <c r="BH91" i="14" s="1"/>
  <c r="BI81" i="14" s="1"/>
  <c r="BI91" i="14" s="1"/>
  <c r="BJ81" i="14" s="1"/>
  <c r="BJ91" i="14" s="1"/>
  <c r="BK81" i="14" s="1"/>
  <c r="BK91" i="14" s="1"/>
  <c r="BL81" i="14" s="1"/>
  <c r="BL91" i="14" s="1"/>
  <c r="BM81" i="14" s="1"/>
  <c r="BM91" i="14" s="1"/>
  <c r="BN81" i="14" s="1"/>
  <c r="BN91" i="14" s="1"/>
  <c r="BO81" i="14" s="1"/>
  <c r="BO91" i="14" s="1"/>
  <c r="BP81" i="14" s="1"/>
  <c r="BP91" i="14" s="1"/>
  <c r="BQ81" i="14" s="1"/>
  <c r="BQ91" i="14" s="1"/>
  <c r="BJ66" i="14"/>
  <c r="BJ112" i="14" s="1"/>
  <c r="BI66" i="14"/>
  <c r="BI112" i="14" s="1"/>
  <c r="DU66" i="14"/>
  <c r="DU112" i="14" s="1"/>
  <c r="ED66" i="14"/>
  <c r="ED112" i="14" s="1"/>
  <c r="EM66" i="14"/>
  <c r="EM112" i="14" s="1"/>
  <c r="EQ66" i="14"/>
  <c r="EQ112" i="14" s="1"/>
  <c r="EU66" i="14"/>
  <c r="EU112" i="14" s="1"/>
  <c r="EY66" i="14"/>
  <c r="EY112" i="14" s="1"/>
  <c r="FC66" i="14"/>
  <c r="FC112" i="14" s="1"/>
  <c r="FG66" i="14"/>
  <c r="FG112" i="14" s="1"/>
  <c r="FK66" i="14"/>
  <c r="FK112" i="14" s="1"/>
  <c r="FO66" i="14"/>
  <c r="FO112" i="14" s="1"/>
  <c r="FS66" i="14"/>
  <c r="FS112" i="14" s="1"/>
  <c r="FW66" i="14"/>
  <c r="FW112" i="14" s="1"/>
  <c r="GA66" i="14"/>
  <c r="GA112" i="14" s="1"/>
  <c r="GE66" i="14"/>
  <c r="GE112" i="14" s="1"/>
  <c r="GI66" i="14"/>
  <c r="GI112" i="14" s="1"/>
  <c r="GM66" i="14"/>
  <c r="GM112" i="14" s="1"/>
  <c r="GQ66" i="14"/>
  <c r="GQ112" i="14" s="1"/>
  <c r="GU66" i="14"/>
  <c r="GU112" i="14" s="1"/>
  <c r="GY66" i="14"/>
  <c r="GY112" i="14" s="1"/>
  <c r="AG12" i="14"/>
  <c r="AH6" i="14" s="1"/>
  <c r="AH12" i="14" s="1"/>
  <c r="AI6" i="14" s="1"/>
  <c r="AI12" i="14" s="1"/>
  <c r="AJ6" i="14" s="1"/>
  <c r="AJ12" i="14" s="1"/>
  <c r="AK6" i="14" s="1"/>
  <c r="AK12" i="14" s="1"/>
  <c r="AL6" i="14" s="1"/>
  <c r="AL12" i="14" s="1"/>
  <c r="AM6" i="14" s="1"/>
  <c r="AM12" i="14" s="1"/>
  <c r="AN6" i="14" s="1"/>
  <c r="AN12" i="14" s="1"/>
  <c r="AO6" i="14" s="1"/>
  <c r="AO12" i="14" s="1"/>
  <c r="AP6" i="14" s="1"/>
  <c r="AP12" i="14" s="1"/>
  <c r="AQ6" i="14" s="1"/>
  <c r="AQ12" i="14" s="1"/>
  <c r="AR6" i="14" s="1"/>
  <c r="AR12" i="14" s="1"/>
  <c r="AS6" i="14" s="1"/>
  <c r="AS12" i="14" s="1"/>
  <c r="AT6" i="14" s="1"/>
  <c r="AT12" i="14" s="1"/>
  <c r="AU6" i="14" s="1"/>
  <c r="AU12" i="14" s="1"/>
  <c r="AV6" i="14" s="1"/>
  <c r="AV12" i="14" s="1"/>
  <c r="AW6" i="14" s="1"/>
  <c r="AW12" i="14" s="1"/>
  <c r="AX6" i="14" s="1"/>
  <c r="AX12" i="14" s="1"/>
  <c r="AY6" i="14" s="1"/>
  <c r="AY12" i="14" s="1"/>
  <c r="AZ6" i="14" s="1"/>
  <c r="AZ12" i="14" s="1"/>
  <c r="BA6" i="14" s="1"/>
  <c r="BA12" i="14" s="1"/>
  <c r="BB6" i="14" s="1"/>
  <c r="BB12" i="14" s="1"/>
  <c r="BC6" i="14" s="1"/>
  <c r="BC12" i="14" s="1"/>
  <c r="BD6" i="14" s="1"/>
  <c r="BD12" i="14" s="1"/>
  <c r="BE6" i="14" s="1"/>
  <c r="BE12" i="14" s="1"/>
  <c r="BF6" i="14" s="1"/>
  <c r="BF12" i="14" s="1"/>
  <c r="BG6" i="14" s="1"/>
  <c r="BG12" i="14" s="1"/>
  <c r="BH6" i="14" s="1"/>
  <c r="BH12" i="14" s="1"/>
  <c r="BI6" i="14" s="1"/>
  <c r="BI12" i="14" s="1"/>
  <c r="BJ6" i="14" s="1"/>
  <c r="BJ12" i="14" s="1"/>
  <c r="BK6" i="14" s="1"/>
  <c r="BK12" i="14" s="1"/>
  <c r="BL6" i="14" s="1"/>
  <c r="BL12" i="14" s="1"/>
  <c r="BM6" i="14" s="1"/>
  <c r="BM12" i="14" s="1"/>
  <c r="BN6" i="14" s="1"/>
  <c r="BN12" i="14" s="1"/>
  <c r="BO6" i="14" s="1"/>
  <c r="BO12" i="14" s="1"/>
  <c r="BP6" i="14" s="1"/>
  <c r="BP12" i="14" s="1"/>
  <c r="BQ6" i="14" s="1"/>
  <c r="BQ12" i="14" s="1"/>
  <c r="BR6" i="14" s="1"/>
  <c r="BR12" i="14" s="1"/>
  <c r="BS6" i="14" s="1"/>
  <c r="BS12" i="14" s="1"/>
  <c r="BT6" i="14" s="1"/>
  <c r="BT12" i="14" s="1"/>
  <c r="BU6" i="14" s="1"/>
  <c r="BU12" i="14" s="1"/>
  <c r="BV6" i="14" s="1"/>
  <c r="BV12" i="14" s="1"/>
  <c r="BW6" i="14" s="1"/>
  <c r="BW12" i="14" s="1"/>
  <c r="BX6" i="14" s="1"/>
  <c r="BX10" i="14" s="1"/>
  <c r="AG21" i="14"/>
  <c r="AH15" i="14" s="1"/>
  <c r="AH21" i="14" s="1"/>
  <c r="AI15" i="14" s="1"/>
  <c r="AI21" i="14" s="1"/>
  <c r="AJ15" i="14" s="1"/>
  <c r="AJ21" i="14" s="1"/>
  <c r="AK15" i="14" s="1"/>
  <c r="AK21" i="14" s="1"/>
  <c r="AL15" i="14" s="1"/>
  <c r="AL21" i="14" s="1"/>
  <c r="AM15" i="14" s="1"/>
  <c r="AM21" i="14" s="1"/>
  <c r="AN15" i="14" s="1"/>
  <c r="AN21" i="14" s="1"/>
  <c r="AO15" i="14" s="1"/>
  <c r="AO21" i="14" s="1"/>
  <c r="AP15" i="14" s="1"/>
  <c r="AP21" i="14" s="1"/>
  <c r="AQ15" i="14" s="1"/>
  <c r="AQ21" i="14" s="1"/>
  <c r="AR15" i="14" s="1"/>
  <c r="AR21" i="14" s="1"/>
  <c r="AS15" i="14" s="1"/>
  <c r="AS21" i="14" s="1"/>
  <c r="AT15" i="14" s="1"/>
  <c r="AT21" i="14" s="1"/>
  <c r="AU15" i="14" s="1"/>
  <c r="AU21" i="14" s="1"/>
  <c r="AV15" i="14" s="1"/>
  <c r="AV21" i="14" s="1"/>
  <c r="AW15" i="14" s="1"/>
  <c r="AW21" i="14" s="1"/>
  <c r="AX15" i="14" s="1"/>
  <c r="AX21" i="14" s="1"/>
  <c r="AY15" i="14" s="1"/>
  <c r="AY21" i="14" s="1"/>
  <c r="AZ15" i="14" s="1"/>
  <c r="AZ21" i="14" s="1"/>
  <c r="BA15" i="14" s="1"/>
  <c r="BA21" i="14" s="1"/>
  <c r="BB15" i="14" s="1"/>
  <c r="BB21" i="14" s="1"/>
  <c r="BC15" i="14" s="1"/>
  <c r="BC21" i="14" s="1"/>
  <c r="BD15" i="14" s="1"/>
  <c r="BD21" i="14" s="1"/>
  <c r="BE15" i="14" s="1"/>
  <c r="BE21" i="14" s="1"/>
  <c r="BF15" i="14" s="1"/>
  <c r="BF21" i="14" s="1"/>
  <c r="BG15" i="14" s="1"/>
  <c r="BG21" i="14" s="1"/>
  <c r="BH15" i="14" s="1"/>
  <c r="BH21" i="14" s="1"/>
  <c r="BI15" i="14" s="1"/>
  <c r="BI21" i="14" s="1"/>
  <c r="BJ15" i="14" s="1"/>
  <c r="BJ21" i="14" s="1"/>
  <c r="BK15" i="14" s="1"/>
  <c r="BK21" i="14" s="1"/>
  <c r="BL15" i="14" s="1"/>
  <c r="BL21" i="14" s="1"/>
  <c r="BM15" i="14" s="1"/>
  <c r="BM21" i="14" s="1"/>
  <c r="BN15" i="14" s="1"/>
  <c r="BN21" i="14" s="1"/>
  <c r="BO15" i="14" s="1"/>
  <c r="BO21" i="14" s="1"/>
  <c r="BP15" i="14" s="1"/>
  <c r="BP21" i="14" s="1"/>
  <c r="BQ15" i="14" s="1"/>
  <c r="BQ21" i="14" s="1"/>
  <c r="BR66" i="14"/>
  <c r="BR112" i="14" s="1"/>
  <c r="BZ66" i="14"/>
  <c r="BZ112" i="14" s="1"/>
  <c r="CH66" i="14"/>
  <c r="CH112" i="14" s="1"/>
  <c r="CP66" i="14"/>
  <c r="CP112" i="14" s="1"/>
  <c r="CX66" i="14"/>
  <c r="CX112" i="14" s="1"/>
  <c r="DF66" i="14"/>
  <c r="DF112" i="14" s="1"/>
  <c r="DV66" i="14"/>
  <c r="DV112" i="14" s="1"/>
  <c r="EA66" i="14"/>
  <c r="EA112" i="14" s="1"/>
  <c r="EE66" i="14"/>
  <c r="EE112" i="14" s="1"/>
  <c r="EI66" i="14"/>
  <c r="EI112" i="14" s="1"/>
  <c r="AL66" i="14"/>
  <c r="AL112" i="14" s="1"/>
  <c r="BG66" i="14"/>
  <c r="BG112" i="14" s="1"/>
  <c r="BK66" i="14"/>
  <c r="BK112" i="14" s="1"/>
  <c r="BO66" i="14"/>
  <c r="BO112" i="14" s="1"/>
  <c r="BS66" i="14"/>
  <c r="BS112" i="14" s="1"/>
  <c r="BW66" i="14"/>
  <c r="BW112" i="14" s="1"/>
  <c r="CA66" i="14"/>
  <c r="CA112" i="14" s="1"/>
  <c r="CE66" i="14"/>
  <c r="CE112" i="14" s="1"/>
  <c r="CI66" i="14"/>
  <c r="CI112" i="14" s="1"/>
  <c r="CM66" i="14"/>
  <c r="CM112" i="14" s="1"/>
  <c r="CQ66" i="14"/>
  <c r="CQ112" i="14" s="1"/>
  <c r="CU66" i="14"/>
  <c r="CU112" i="14" s="1"/>
  <c r="CY66" i="14"/>
  <c r="CY112" i="14" s="1"/>
  <c r="DC66" i="14"/>
  <c r="DC112" i="14" s="1"/>
  <c r="IT66" i="14"/>
  <c r="IT112" i="14" s="1"/>
  <c r="CW21" i="14"/>
  <c r="CX15" i="14" s="1"/>
  <c r="CX21" i="14" s="1"/>
  <c r="CY15" i="14" s="1"/>
  <c r="CY21" i="14" s="1"/>
  <c r="CZ15" i="14" s="1"/>
  <c r="CZ21" i="14" s="1"/>
  <c r="DA15" i="14" s="1"/>
  <c r="DA21" i="14" s="1"/>
  <c r="DB15" i="14" s="1"/>
  <c r="DB21" i="14" s="1"/>
  <c r="DC15" i="14" s="1"/>
  <c r="DC21" i="14" s="1"/>
  <c r="DD15" i="14" s="1"/>
  <c r="DD21" i="14" s="1"/>
  <c r="DE15" i="14" s="1"/>
  <c r="DE21" i="14" s="1"/>
  <c r="DF15" i="14" s="1"/>
  <c r="DF21" i="14" s="1"/>
  <c r="DG15" i="14" s="1"/>
  <c r="DG21" i="14" s="1"/>
  <c r="DH15" i="14" s="1"/>
  <c r="DH21" i="14" s="1"/>
  <c r="DI15" i="14" s="1"/>
  <c r="DI21" i="14" s="1"/>
  <c r="DJ15" i="14" s="1"/>
  <c r="DJ21" i="14" s="1"/>
  <c r="DK15" i="14" s="1"/>
  <c r="DK21" i="14" s="1"/>
  <c r="DL15" i="14" s="1"/>
  <c r="DL21" i="14" s="1"/>
  <c r="DM15" i="14" s="1"/>
  <c r="DM21" i="14" s="1"/>
  <c r="DN15" i="14" s="1"/>
  <c r="DN21" i="14" s="1"/>
  <c r="DO15" i="14" s="1"/>
  <c r="DO21" i="14" s="1"/>
  <c r="DP15" i="14" s="1"/>
  <c r="DP21" i="14" s="1"/>
  <c r="DQ15" i="14" s="1"/>
  <c r="DQ21" i="14" s="1"/>
  <c r="DR15" i="14" s="1"/>
  <c r="DR21" i="14" s="1"/>
  <c r="DS15" i="14" s="1"/>
  <c r="DS21" i="14" s="1"/>
  <c r="DT15" i="14" s="1"/>
  <c r="DT21" i="14" s="1"/>
  <c r="DU15" i="14" s="1"/>
  <c r="DU21" i="14" s="1"/>
  <c r="DV15" i="14" s="1"/>
  <c r="DV21" i="14" s="1"/>
  <c r="DW15" i="14" s="1"/>
  <c r="DW21" i="14" s="1"/>
  <c r="DX15" i="14" s="1"/>
  <c r="DX21" i="14" s="1"/>
  <c r="DY15" i="14" s="1"/>
  <c r="DY21" i="14" s="1"/>
  <c r="DZ15" i="14" s="1"/>
  <c r="DZ21" i="14" s="1"/>
  <c r="EA15" i="14" s="1"/>
  <c r="EA21" i="14" s="1"/>
  <c r="EB15" i="14" s="1"/>
  <c r="EB21" i="14" s="1"/>
  <c r="EC15" i="14" s="1"/>
  <c r="EC21" i="14" s="1"/>
  <c r="ED15" i="14" s="1"/>
  <c r="ED21" i="14" s="1"/>
  <c r="EE15" i="14" s="1"/>
  <c r="EE21" i="14" s="1"/>
  <c r="EF15" i="14" s="1"/>
  <c r="EF21" i="14" s="1"/>
  <c r="EG15" i="14" s="1"/>
  <c r="EG21" i="14" s="1"/>
  <c r="EH15" i="14" s="1"/>
  <c r="EH21" i="14" s="1"/>
  <c r="EI15" i="14" s="1"/>
  <c r="EI21" i="14" s="1"/>
  <c r="EJ15" i="14" s="1"/>
  <c r="EJ21" i="14" s="1"/>
  <c r="EK15" i="14" s="1"/>
  <c r="EK21" i="14" s="1"/>
  <c r="EL15" i="14" s="1"/>
  <c r="EL21" i="14" s="1"/>
  <c r="EM15" i="14" s="1"/>
  <c r="EM21" i="14" s="1"/>
  <c r="EN15" i="14" s="1"/>
  <c r="EN21" i="14" s="1"/>
  <c r="EO15" i="14" s="1"/>
  <c r="EO21" i="14" s="1"/>
  <c r="EP15" i="14" s="1"/>
  <c r="EP21" i="14" s="1"/>
  <c r="EQ15" i="14" s="1"/>
  <c r="EQ21" i="14" s="1"/>
  <c r="ER15" i="14" s="1"/>
  <c r="ER21" i="14" s="1"/>
  <c r="ES15" i="14" s="1"/>
  <c r="ES21" i="14" s="1"/>
  <c r="ET15" i="14" s="1"/>
  <c r="ET21" i="14" s="1"/>
  <c r="EU15" i="14" s="1"/>
  <c r="EU21" i="14" s="1"/>
  <c r="EV15" i="14" s="1"/>
  <c r="EV21" i="14" s="1"/>
  <c r="EW15" i="14" s="1"/>
  <c r="EW21" i="14" s="1"/>
  <c r="EX15" i="14" s="1"/>
  <c r="EX21" i="14" s="1"/>
  <c r="EY15" i="14" s="1"/>
  <c r="EY21" i="14" s="1"/>
  <c r="EZ15" i="14" s="1"/>
  <c r="EZ21" i="14" s="1"/>
  <c r="FA15" i="14" s="1"/>
  <c r="FA21" i="14" s="1"/>
  <c r="FB15" i="14" s="1"/>
  <c r="FB21" i="14" s="1"/>
  <c r="FC15" i="14" s="1"/>
  <c r="FC21" i="14" s="1"/>
  <c r="FD15" i="14" s="1"/>
  <c r="FD21" i="14" s="1"/>
  <c r="FE15" i="14" s="1"/>
  <c r="FE21" i="14" s="1"/>
  <c r="FF15" i="14" s="1"/>
  <c r="FF21" i="14" s="1"/>
  <c r="FG15" i="14" s="1"/>
  <c r="FG21" i="14" s="1"/>
  <c r="FH15" i="14" s="1"/>
  <c r="FH21" i="14" s="1"/>
  <c r="FI15" i="14" s="1"/>
  <c r="FI21" i="14" s="1"/>
  <c r="FJ15" i="14" s="1"/>
  <c r="FJ21" i="14" s="1"/>
  <c r="FK15" i="14" s="1"/>
  <c r="FK21" i="14" s="1"/>
  <c r="FL15" i="14" s="1"/>
  <c r="FL21" i="14" s="1"/>
  <c r="FM15" i="14" s="1"/>
  <c r="FM21" i="14" s="1"/>
  <c r="FN15" i="14" s="1"/>
  <c r="FN21" i="14" s="1"/>
  <c r="FO15" i="14" s="1"/>
  <c r="FO21" i="14" s="1"/>
  <c r="FP15" i="14" s="1"/>
  <c r="FP21" i="14" s="1"/>
  <c r="FQ15" i="14" s="1"/>
  <c r="FQ21" i="14" s="1"/>
  <c r="FR15" i="14" s="1"/>
  <c r="FR21" i="14" s="1"/>
  <c r="FS15" i="14" s="1"/>
  <c r="FS21" i="14" s="1"/>
  <c r="FT15" i="14" s="1"/>
  <c r="FT21" i="14" s="1"/>
  <c r="FU15" i="14" s="1"/>
  <c r="FU21" i="14" s="1"/>
  <c r="FV15" i="14" s="1"/>
  <c r="FV21" i="14" s="1"/>
  <c r="FW15" i="14" s="1"/>
  <c r="FW21" i="14" s="1"/>
  <c r="FX15" i="14" s="1"/>
  <c r="FX21" i="14" s="1"/>
  <c r="FY15" i="14" s="1"/>
  <c r="FY21" i="14" s="1"/>
  <c r="FZ15" i="14" s="1"/>
  <c r="FZ21" i="14" s="1"/>
  <c r="GA15" i="14" s="1"/>
  <c r="GA21" i="14" s="1"/>
  <c r="GB15" i="14" s="1"/>
  <c r="GB21" i="14" s="1"/>
  <c r="GC15" i="14" s="1"/>
  <c r="GC21" i="14" s="1"/>
  <c r="GD15" i="14" s="1"/>
  <c r="GD21" i="14" s="1"/>
  <c r="GE15" i="14" s="1"/>
  <c r="GE21" i="14" s="1"/>
  <c r="GF15" i="14" s="1"/>
  <c r="GF21" i="14" s="1"/>
  <c r="GG15" i="14" s="1"/>
  <c r="GG21" i="14" s="1"/>
  <c r="GH15" i="14" s="1"/>
  <c r="GH21" i="14" s="1"/>
  <c r="GI15" i="14" s="1"/>
  <c r="GI21" i="14" s="1"/>
  <c r="GJ15" i="14" s="1"/>
  <c r="GJ21" i="14" s="1"/>
  <c r="GK15" i="14" s="1"/>
  <c r="GK21" i="14" s="1"/>
  <c r="GL15" i="14" s="1"/>
  <c r="GL21" i="14" s="1"/>
  <c r="GM15" i="14" s="1"/>
  <c r="GM21" i="14" s="1"/>
  <c r="GN15" i="14" s="1"/>
  <c r="GN21" i="14" s="1"/>
  <c r="GO15" i="14" s="1"/>
  <c r="GO21" i="14" s="1"/>
  <c r="GP15" i="14" s="1"/>
  <c r="GP21" i="14" s="1"/>
  <c r="GQ15" i="14" s="1"/>
  <c r="GQ21" i="14" s="1"/>
  <c r="GR15" i="14" s="1"/>
  <c r="GR21" i="14" s="1"/>
  <c r="GS15" i="14" s="1"/>
  <c r="GS21" i="14" s="1"/>
  <c r="GT15" i="14" s="1"/>
  <c r="GT21" i="14" s="1"/>
  <c r="GU15" i="14" s="1"/>
  <c r="GU21" i="14" s="1"/>
  <c r="GV15" i="14" s="1"/>
  <c r="GV21" i="14" s="1"/>
  <c r="GW15" i="14" s="1"/>
  <c r="GW21" i="14" s="1"/>
  <c r="GX15" i="14" s="1"/>
  <c r="GX21" i="14" s="1"/>
  <c r="GY15" i="14" s="1"/>
  <c r="GY21" i="14" s="1"/>
  <c r="GZ15" i="14" s="1"/>
  <c r="GZ21" i="14" s="1"/>
  <c r="HA15" i="14" s="1"/>
  <c r="HA21" i="14" s="1"/>
  <c r="HB15" i="14" s="1"/>
  <c r="HB21" i="14" s="1"/>
  <c r="HC15" i="14" s="1"/>
  <c r="BS21" i="14"/>
  <c r="BT15" i="14" s="1"/>
  <c r="BT21" i="14" s="1"/>
  <c r="BU15" i="14" s="1"/>
  <c r="BU21" i="14" s="1"/>
  <c r="BV15" i="14" s="1"/>
  <c r="BV21" i="14" s="1"/>
  <c r="BW15" i="14" s="1"/>
  <c r="BW21" i="14" s="1"/>
  <c r="BX15" i="14" s="1"/>
  <c r="BX21" i="14" s="1"/>
  <c r="BY15" i="14" s="1"/>
  <c r="BY21" i="14" s="1"/>
  <c r="BZ15" i="14" s="1"/>
  <c r="BZ21" i="14" s="1"/>
  <c r="CA15" i="14" s="1"/>
  <c r="CA21" i="14" s="1"/>
  <c r="CB15" i="14" s="1"/>
  <c r="CB21" i="14" s="1"/>
  <c r="CC15" i="14" s="1"/>
  <c r="CC21" i="14" s="1"/>
  <c r="CD15" i="14" s="1"/>
  <c r="CD21" i="14" s="1"/>
  <c r="CE15" i="14" s="1"/>
  <c r="CE21" i="14" s="1"/>
  <c r="CF15" i="14" s="1"/>
  <c r="CF21" i="14" s="1"/>
  <c r="CG15" i="14" s="1"/>
  <c r="CG21" i="14" s="1"/>
  <c r="CH15" i="14" s="1"/>
  <c r="CH21" i="14" s="1"/>
  <c r="CI15" i="14" s="1"/>
  <c r="CI21" i="14" s="1"/>
  <c r="CJ15" i="14" s="1"/>
  <c r="CJ21" i="14" s="1"/>
  <c r="CK15" i="14" s="1"/>
  <c r="CK21" i="14" s="1"/>
  <c r="CL15" i="14" s="1"/>
  <c r="CL21" i="14" s="1"/>
  <c r="CM15" i="14" s="1"/>
  <c r="CM21" i="14" s="1"/>
  <c r="CN15" i="14" s="1"/>
  <c r="CN21" i="14" s="1"/>
  <c r="CO15" i="14" s="1"/>
  <c r="CO21" i="14" s="1"/>
  <c r="CP15" i="14" s="1"/>
  <c r="CP21" i="14" s="1"/>
  <c r="CQ15" i="14" s="1"/>
  <c r="CQ21" i="14" s="1"/>
  <c r="CR15" i="14" s="1"/>
  <c r="CR21" i="14" s="1"/>
  <c r="CS15" i="14" s="1"/>
  <c r="CS21" i="14" s="1"/>
  <c r="CT15" i="14" s="1"/>
  <c r="CT21" i="14" s="1"/>
  <c r="CU15" i="14" s="1"/>
  <c r="CU21" i="14" s="1"/>
  <c r="CV15" i="14" s="1"/>
  <c r="IN66" i="14"/>
  <c r="IN112" i="14" s="1"/>
  <c r="AI66" i="14"/>
  <c r="AI112" i="14" s="1"/>
  <c r="AM66" i="14"/>
  <c r="AM112" i="14" s="1"/>
  <c r="AQ66" i="14"/>
  <c r="AQ112" i="14" s="1"/>
  <c r="AU66" i="14"/>
  <c r="AU112" i="14" s="1"/>
  <c r="AY66" i="14"/>
  <c r="AY112" i="14" s="1"/>
  <c r="BH112" i="14"/>
  <c r="CB66" i="14"/>
  <c r="CB112" i="14" s="1"/>
  <c r="CF66" i="14"/>
  <c r="CF112" i="14" s="1"/>
  <c r="CJ66" i="14"/>
  <c r="CJ112" i="14" s="1"/>
  <c r="CN66" i="14"/>
  <c r="CN112" i="14" s="1"/>
  <c r="CR66" i="14"/>
  <c r="CR112" i="14" s="1"/>
  <c r="CV66" i="14"/>
  <c r="CV112" i="14" s="1"/>
  <c r="CZ66" i="14"/>
  <c r="CZ112" i="14" s="1"/>
  <c r="DD66" i="14"/>
  <c r="DD112" i="14" s="1"/>
  <c r="DH66" i="14"/>
  <c r="DH112" i="14" s="1"/>
  <c r="DL66" i="14"/>
  <c r="DL112" i="14" s="1"/>
  <c r="DP66" i="14"/>
  <c r="DP112" i="14" s="1"/>
  <c r="DT66" i="14"/>
  <c r="DT112" i="14" s="1"/>
  <c r="DY66" i="14"/>
  <c r="DY112" i="14" s="1"/>
  <c r="EC66" i="14"/>
  <c r="EC112" i="14" s="1"/>
  <c r="EG66" i="14"/>
  <c r="EG112" i="14" s="1"/>
  <c r="EL66" i="14"/>
  <c r="EL112" i="14" s="1"/>
  <c r="ET66" i="14"/>
  <c r="ET112" i="14" s="1"/>
  <c r="FB66" i="14"/>
  <c r="FB112" i="14" s="1"/>
  <c r="FJ66" i="14"/>
  <c r="FJ112" i="14" s="1"/>
  <c r="FR66" i="14"/>
  <c r="FR112" i="14" s="1"/>
  <c r="FZ66" i="14"/>
  <c r="FZ112" i="14" s="1"/>
  <c r="GH66" i="14"/>
  <c r="GH112" i="14" s="1"/>
  <c r="GP66" i="14"/>
  <c r="GP112" i="14" s="1"/>
  <c r="GX66" i="14"/>
  <c r="GX112" i="14" s="1"/>
  <c r="HF66" i="14"/>
  <c r="HF112" i="14" s="1"/>
  <c r="HN66" i="14"/>
  <c r="HN112" i="14" s="1"/>
  <c r="HV66" i="14"/>
  <c r="HV112" i="14" s="1"/>
  <c r="ID66" i="14"/>
  <c r="ID112" i="14" s="1"/>
  <c r="IL66" i="14"/>
  <c r="IL112" i="14" s="1"/>
  <c r="IQ66" i="14"/>
  <c r="IQ112" i="14" s="1"/>
  <c r="IU66" i="14"/>
  <c r="IU112" i="14" s="1"/>
  <c r="CO66" i="14"/>
  <c r="CO112" i="14" s="1"/>
  <c r="DN66" i="14"/>
  <c r="DN112" i="14" s="1"/>
  <c r="E112" i="14"/>
  <c r="I112" i="14"/>
  <c r="M112" i="14"/>
  <c r="Q112" i="14"/>
  <c r="U112" i="14"/>
  <c r="Y112" i="14"/>
  <c r="AC112" i="14"/>
  <c r="E78" i="14"/>
  <c r="F70" i="14" s="1"/>
  <c r="F78" i="14" s="1"/>
  <c r="G70" i="14" s="1"/>
  <c r="G78" i="14" s="1"/>
  <c r="H70" i="14" s="1"/>
  <c r="H78" i="14" s="1"/>
  <c r="I70" i="14" s="1"/>
  <c r="I78" i="14" s="1"/>
  <c r="J70" i="14" s="1"/>
  <c r="J78" i="14" s="1"/>
  <c r="K70" i="14" s="1"/>
  <c r="K78" i="14" s="1"/>
  <c r="L70" i="14" s="1"/>
  <c r="L78" i="14" s="1"/>
  <c r="M70" i="14" s="1"/>
  <c r="M78" i="14" s="1"/>
  <c r="N70" i="14" s="1"/>
  <c r="N78" i="14" s="1"/>
  <c r="O70" i="14" s="1"/>
  <c r="O78" i="14" s="1"/>
  <c r="P70" i="14" s="1"/>
  <c r="P78" i="14" s="1"/>
  <c r="Q70" i="14" s="1"/>
  <c r="Q78" i="14" s="1"/>
  <c r="R70" i="14" s="1"/>
  <c r="R78" i="14" s="1"/>
  <c r="S70" i="14" s="1"/>
  <c r="S78" i="14" s="1"/>
  <c r="T70" i="14" s="1"/>
  <c r="T78" i="14" s="1"/>
  <c r="U70" i="14" s="1"/>
  <c r="U78" i="14" s="1"/>
  <c r="V70" i="14" s="1"/>
  <c r="V78" i="14" s="1"/>
  <c r="W70" i="14" s="1"/>
  <c r="W78" i="14" s="1"/>
  <c r="X70" i="14" s="1"/>
  <c r="X78" i="14" s="1"/>
  <c r="Y70" i="14" s="1"/>
  <c r="Y78" i="14" s="1"/>
  <c r="Z70" i="14" s="1"/>
  <c r="Z78" i="14" s="1"/>
  <c r="AA70" i="14" s="1"/>
  <c r="AA78" i="14" s="1"/>
  <c r="AB70" i="14" s="1"/>
  <c r="AB78" i="14" s="1"/>
  <c r="AC70" i="14" s="1"/>
  <c r="AC78" i="14" s="1"/>
  <c r="AD70" i="14" s="1"/>
  <c r="AD78" i="14" s="1"/>
  <c r="AE70" i="14" s="1"/>
  <c r="AE78" i="14" s="1"/>
  <c r="AF70" i="14" s="1"/>
  <c r="AF78" i="14" s="1"/>
  <c r="AG70" i="14" s="1"/>
  <c r="AG78" i="14" s="1"/>
  <c r="AH70" i="14" s="1"/>
  <c r="AH78" i="14" s="1"/>
  <c r="AI70" i="14" s="1"/>
  <c r="AI78" i="14" s="1"/>
  <c r="AJ70" i="14" s="1"/>
  <c r="AJ78" i="14" s="1"/>
  <c r="AK70" i="14" s="1"/>
  <c r="AK78" i="14" s="1"/>
  <c r="AL70" i="14" s="1"/>
  <c r="AL78" i="14" s="1"/>
  <c r="AM70" i="14" s="1"/>
  <c r="AM78" i="14" s="1"/>
  <c r="AN70" i="14" s="1"/>
  <c r="AN78" i="14" s="1"/>
  <c r="AO70" i="14" s="1"/>
  <c r="AO78" i="14" s="1"/>
  <c r="AP70" i="14" s="1"/>
  <c r="AP78" i="14" s="1"/>
  <c r="AQ70" i="14" s="1"/>
  <c r="AQ78" i="14" s="1"/>
  <c r="AR70" i="14" s="1"/>
  <c r="AR78" i="14" s="1"/>
  <c r="AS70" i="14" s="1"/>
  <c r="AS78" i="14" s="1"/>
  <c r="AT70" i="14" s="1"/>
  <c r="AT78" i="14" s="1"/>
  <c r="AU70" i="14" s="1"/>
  <c r="AU78" i="14" s="1"/>
  <c r="AV70" i="14" s="1"/>
  <c r="AV78" i="14" s="1"/>
  <c r="AW70" i="14" s="1"/>
  <c r="AW78" i="14" s="1"/>
  <c r="AX70" i="14" s="1"/>
  <c r="AX78" i="14" s="1"/>
  <c r="AY70" i="14" s="1"/>
  <c r="AY78" i="14" s="1"/>
  <c r="AZ70" i="14" s="1"/>
  <c r="AZ78" i="14" s="1"/>
  <c r="BA70" i="14" s="1"/>
  <c r="BA78" i="14" s="1"/>
  <c r="BB70" i="14" s="1"/>
  <c r="BB78" i="14" s="1"/>
  <c r="BC70" i="14" s="1"/>
  <c r="BC78" i="14" s="1"/>
  <c r="BD70" i="14" s="1"/>
  <c r="BD78" i="14" s="1"/>
  <c r="BE70" i="14" s="1"/>
  <c r="BE78" i="14" s="1"/>
  <c r="BF70" i="14" s="1"/>
  <c r="BF78" i="14" s="1"/>
  <c r="BG70" i="14" s="1"/>
  <c r="BG78" i="14" s="1"/>
  <c r="BH70" i="14" s="1"/>
  <c r="BH78" i="14" s="1"/>
  <c r="BI70" i="14" s="1"/>
  <c r="BI78" i="14" s="1"/>
  <c r="BJ70" i="14" s="1"/>
  <c r="BJ78" i="14" s="1"/>
  <c r="BK70" i="14" s="1"/>
  <c r="BK78" i="14" s="1"/>
  <c r="BL70" i="14" s="1"/>
  <c r="BL78" i="14" s="1"/>
  <c r="BM70" i="14" s="1"/>
  <c r="BM78" i="14" s="1"/>
  <c r="BN70" i="14" s="1"/>
  <c r="BN78" i="14" s="1"/>
  <c r="BO70" i="14" s="1"/>
  <c r="BO78" i="14" s="1"/>
  <c r="BP70" i="14" s="1"/>
  <c r="BP78" i="14" s="1"/>
  <c r="BQ70" i="14" s="1"/>
  <c r="BQ78" i="14" s="1"/>
  <c r="AF66" i="14"/>
  <c r="AF112" i="14" s="1"/>
  <c r="AN66" i="14"/>
  <c r="AN112" i="14" s="1"/>
  <c r="AV66" i="14"/>
  <c r="AV112" i="14" s="1"/>
  <c r="BQ66" i="14"/>
  <c r="BQ112" i="14" s="1"/>
  <c r="BY66" i="14"/>
  <c r="BY112" i="14" s="1"/>
  <c r="CG66" i="14"/>
  <c r="CG112" i="14" s="1"/>
  <c r="CW66" i="14"/>
  <c r="CW112" i="14" s="1"/>
  <c r="DE66" i="14"/>
  <c r="DE112" i="14" s="1"/>
  <c r="DM66" i="14"/>
  <c r="DM112" i="14" s="1"/>
  <c r="HG66" i="14"/>
  <c r="HG112" i="14" s="1"/>
  <c r="HK66" i="14"/>
  <c r="HK112" i="14" s="1"/>
  <c r="HO66" i="14"/>
  <c r="HO112" i="14" s="1"/>
  <c r="HS66" i="14"/>
  <c r="HS112" i="14" s="1"/>
  <c r="HW66" i="14"/>
  <c r="HW112" i="14" s="1"/>
  <c r="IA66" i="14"/>
  <c r="IA112" i="14" s="1"/>
  <c r="IE66" i="14"/>
  <c r="IE112" i="14" s="1"/>
  <c r="II66" i="14"/>
  <c r="II112" i="14" s="1"/>
  <c r="IM66" i="14"/>
  <c r="IM112" i="14" s="1"/>
  <c r="IR66" i="14"/>
  <c r="IR112" i="14" s="1"/>
  <c r="IV66" i="14"/>
  <c r="IV112" i="14" s="1"/>
  <c r="F112" i="14"/>
  <c r="J112" i="14"/>
  <c r="N112" i="14"/>
  <c r="R112" i="14"/>
  <c r="V112" i="14"/>
  <c r="Z112" i="14"/>
  <c r="AD112" i="14"/>
  <c r="DX66" i="14"/>
  <c r="DX112" i="14" s="1"/>
  <c r="AK66" i="14"/>
  <c r="AK112" i="14" s="1"/>
  <c r="AS66" i="14"/>
  <c r="AS112" i="14" s="1"/>
  <c r="BA66" i="14"/>
  <c r="BA112" i="14" s="1"/>
  <c r="EN66" i="14"/>
  <c r="EN112" i="14" s="1"/>
  <c r="ER66" i="14"/>
  <c r="ER112" i="14" s="1"/>
  <c r="EV66" i="14"/>
  <c r="EV112" i="14" s="1"/>
  <c r="EZ66" i="14"/>
  <c r="EZ112" i="14" s="1"/>
  <c r="FD66" i="14"/>
  <c r="FD112" i="14" s="1"/>
  <c r="FH66" i="14"/>
  <c r="FH112" i="14" s="1"/>
  <c r="FL66" i="14"/>
  <c r="FL112" i="14" s="1"/>
  <c r="FP66" i="14"/>
  <c r="FP112" i="14" s="1"/>
  <c r="FT66" i="14"/>
  <c r="FT112" i="14" s="1"/>
  <c r="FX66" i="14"/>
  <c r="FX112" i="14" s="1"/>
  <c r="GB66" i="14"/>
  <c r="GB112" i="14" s="1"/>
  <c r="GF66" i="14"/>
  <c r="GF112" i="14" s="1"/>
  <c r="GJ66" i="14"/>
  <c r="GJ112" i="14" s="1"/>
  <c r="GN66" i="14"/>
  <c r="GN112" i="14" s="1"/>
  <c r="GR66" i="14"/>
  <c r="GR112" i="14" s="1"/>
  <c r="GV66" i="14"/>
  <c r="GV112" i="14" s="1"/>
  <c r="GZ66" i="14"/>
  <c r="GZ112" i="14" s="1"/>
  <c r="HD66" i="14"/>
  <c r="HD112" i="14" s="1"/>
  <c r="HH66" i="14"/>
  <c r="HH112" i="14" s="1"/>
  <c r="HL66" i="14"/>
  <c r="HL112" i="14" s="1"/>
  <c r="HP66" i="14"/>
  <c r="HP112" i="14" s="1"/>
  <c r="HT66" i="14"/>
  <c r="HT112" i="14" s="1"/>
  <c r="HX66" i="14"/>
  <c r="HX112" i="14" s="1"/>
  <c r="IB66" i="14"/>
  <c r="IB112" i="14" s="1"/>
  <c r="IF66" i="14"/>
  <c r="IF112" i="14" s="1"/>
  <c r="IJ66" i="14"/>
  <c r="IJ112" i="14" s="1"/>
  <c r="IS66" i="14"/>
  <c r="IS112" i="14" s="1"/>
  <c r="BS91" i="14"/>
  <c r="BT81" i="14" s="1"/>
  <c r="BT91" i="14" s="1"/>
  <c r="BU81" i="14" s="1"/>
  <c r="BU91" i="14" s="1"/>
  <c r="BV81" i="14" s="1"/>
  <c r="BV91" i="14" s="1"/>
  <c r="BW81" i="14" s="1"/>
  <c r="BW91" i="14" s="1"/>
  <c r="BX81" i="14" s="1"/>
  <c r="BX91" i="14" s="1"/>
  <c r="BY81" i="14" s="1"/>
  <c r="BY91" i="14" s="1"/>
  <c r="BZ81" i="14" s="1"/>
  <c r="BZ91" i="14" s="1"/>
  <c r="CA81" i="14" s="1"/>
  <c r="CA91" i="14" s="1"/>
  <c r="CB81" i="14" s="1"/>
  <c r="CB91" i="14" s="1"/>
  <c r="CC81" i="14" s="1"/>
  <c r="CC91" i="14" s="1"/>
  <c r="CD81" i="14" s="1"/>
  <c r="CD91" i="14" s="1"/>
  <c r="CE81" i="14" s="1"/>
  <c r="CE91" i="14" s="1"/>
  <c r="CF81" i="14" s="1"/>
  <c r="CF91" i="14" s="1"/>
  <c r="CG81" i="14" s="1"/>
  <c r="CG91" i="14" s="1"/>
  <c r="CH81" i="14" s="1"/>
  <c r="CH91" i="14" s="1"/>
  <c r="CI81" i="14" s="1"/>
  <c r="CI91" i="14" s="1"/>
  <c r="CJ81" i="14" s="1"/>
  <c r="CJ91" i="14" s="1"/>
  <c r="CK81" i="14" s="1"/>
  <c r="CK91" i="14" s="1"/>
  <c r="CL81" i="14" s="1"/>
  <c r="CL91" i="14" s="1"/>
  <c r="CM81" i="14" s="1"/>
  <c r="CM91" i="14" s="1"/>
  <c r="CN81" i="14" s="1"/>
  <c r="CN91" i="14" s="1"/>
  <c r="CO81" i="14" s="1"/>
  <c r="CO91" i="14" s="1"/>
  <c r="CP81" i="14" s="1"/>
  <c r="CP91" i="14" s="1"/>
  <c r="CQ81" i="14" s="1"/>
  <c r="CQ91" i="14" s="1"/>
  <c r="CR81" i="14" s="1"/>
  <c r="CR91" i="14" s="1"/>
  <c r="CS81" i="14" s="1"/>
  <c r="CS91" i="14" s="1"/>
  <c r="CT81" i="14" s="1"/>
  <c r="CT91" i="14" s="1"/>
  <c r="CU81" i="14" s="1"/>
  <c r="CU91" i="14" s="1"/>
  <c r="CV81" i="14" s="1"/>
  <c r="CV91" i="14" s="1"/>
  <c r="CW81" i="14" s="1"/>
  <c r="CW91" i="14" s="1"/>
  <c r="CX81" i="14" s="1"/>
  <c r="CX91" i="14" s="1"/>
  <c r="CY81" i="14" s="1"/>
  <c r="CY91" i="14" s="1"/>
  <c r="CZ81" i="14" s="1"/>
  <c r="CZ91" i="14" s="1"/>
  <c r="DA81" i="14" s="1"/>
  <c r="DA91" i="14" s="1"/>
  <c r="DB81" i="14" s="1"/>
  <c r="DB91" i="14" s="1"/>
  <c r="DC81" i="14" s="1"/>
  <c r="DC91" i="14" s="1"/>
  <c r="DD81" i="14" s="1"/>
  <c r="DD91" i="14" s="1"/>
  <c r="DE81" i="14" s="1"/>
  <c r="DE91" i="14" s="1"/>
  <c r="DF81" i="14" s="1"/>
  <c r="DF91" i="14" s="1"/>
  <c r="DG81" i="14" s="1"/>
  <c r="DG91" i="14" s="1"/>
  <c r="DH81" i="14" s="1"/>
  <c r="DH91" i="14" s="1"/>
  <c r="DI81" i="14" s="1"/>
  <c r="DI91" i="14" s="1"/>
  <c r="DJ81" i="14" s="1"/>
  <c r="DJ91" i="14" s="1"/>
  <c r="DK81" i="14" s="1"/>
  <c r="DK91" i="14" s="1"/>
  <c r="DL81" i="14" s="1"/>
  <c r="DL91" i="14" s="1"/>
  <c r="DM81" i="14" s="1"/>
  <c r="DM91" i="14" s="1"/>
  <c r="DN81" i="14" s="1"/>
  <c r="DN91" i="14" s="1"/>
  <c r="DO81" i="14" s="1"/>
  <c r="DO91" i="14" s="1"/>
  <c r="DP81" i="14" s="1"/>
  <c r="DP91" i="14" s="1"/>
  <c r="DQ81" i="14" s="1"/>
  <c r="DQ91" i="14" s="1"/>
  <c r="DR81" i="14" s="1"/>
  <c r="DR91" i="14" s="1"/>
  <c r="DS81" i="14" s="1"/>
  <c r="DS91" i="14" s="1"/>
  <c r="DT81" i="14" s="1"/>
  <c r="DT91" i="14" s="1"/>
  <c r="DU81" i="14" s="1"/>
  <c r="DU91" i="14" s="1"/>
  <c r="DV81" i="14" s="1"/>
  <c r="DV91" i="14" s="1"/>
  <c r="DW81" i="14" s="1"/>
  <c r="DW91" i="14" s="1"/>
  <c r="DX81" i="14" s="1"/>
  <c r="DX91" i="14" s="1"/>
  <c r="DY81" i="14" s="1"/>
  <c r="DY91" i="14" s="1"/>
  <c r="DZ81" i="14" s="1"/>
  <c r="DZ91" i="14" s="1"/>
  <c r="EA81" i="14" s="1"/>
  <c r="EA91" i="14" s="1"/>
  <c r="EB81" i="14" s="1"/>
  <c r="EB91" i="14" s="1"/>
  <c r="EC81" i="14" s="1"/>
  <c r="EC91" i="14" s="1"/>
  <c r="ED81" i="14" s="1"/>
  <c r="ED91" i="14" s="1"/>
  <c r="EE81" i="14" s="1"/>
  <c r="EE91" i="14" s="1"/>
  <c r="EF81" i="14" s="1"/>
  <c r="EF91" i="14" s="1"/>
  <c r="EG81" i="14" s="1"/>
  <c r="EG91" i="14" s="1"/>
  <c r="EH81" i="14" s="1"/>
  <c r="EH91" i="14" s="1"/>
  <c r="EI81" i="14" s="1"/>
  <c r="EI91" i="14" s="1"/>
  <c r="EJ81" i="14" s="1"/>
  <c r="EJ91" i="14" s="1"/>
  <c r="EK81" i="14" s="1"/>
  <c r="EK91" i="14" s="1"/>
  <c r="EL81" i="14" s="1"/>
  <c r="EL91" i="14" s="1"/>
  <c r="EM81" i="14" s="1"/>
  <c r="EM91" i="14" s="1"/>
  <c r="EN81" i="14" s="1"/>
  <c r="EN91" i="14" s="1"/>
  <c r="EO81" i="14" s="1"/>
  <c r="EO91" i="14" s="1"/>
  <c r="EP81" i="14" s="1"/>
  <c r="EP91" i="14" s="1"/>
  <c r="EQ81" i="14" s="1"/>
  <c r="EQ91" i="14" s="1"/>
  <c r="ER81" i="14" s="1"/>
  <c r="ER91" i="14" s="1"/>
  <c r="ES81" i="14" s="1"/>
  <c r="ES91" i="14" s="1"/>
  <c r="ET81" i="14" s="1"/>
  <c r="ET91" i="14" s="1"/>
  <c r="EU81" i="14" s="1"/>
  <c r="EU91" i="14" s="1"/>
  <c r="EV81" i="14" s="1"/>
  <c r="EV91" i="14" s="1"/>
  <c r="EW81" i="14" s="1"/>
  <c r="EW91" i="14" s="1"/>
  <c r="EX81" i="14" s="1"/>
  <c r="EX91" i="14" s="1"/>
  <c r="EY81" i="14" s="1"/>
  <c r="EY91" i="14" s="1"/>
  <c r="EZ81" i="14" s="1"/>
  <c r="EZ91" i="14" s="1"/>
  <c r="FA81" i="14" s="1"/>
  <c r="FA91" i="14" s="1"/>
  <c r="FB81" i="14" s="1"/>
  <c r="FB91" i="14" s="1"/>
  <c r="FC81" i="14" s="1"/>
  <c r="FC91" i="14" s="1"/>
  <c r="FD81" i="14" s="1"/>
  <c r="FD91" i="14" s="1"/>
  <c r="FE81" i="14" s="1"/>
  <c r="FE91" i="14" s="1"/>
  <c r="FF81" i="14" s="1"/>
  <c r="FF91" i="14" s="1"/>
  <c r="FG81" i="14" s="1"/>
  <c r="FG91" i="14" s="1"/>
  <c r="FH81" i="14" s="1"/>
  <c r="FH91" i="14" s="1"/>
  <c r="FI81" i="14" s="1"/>
  <c r="FI91" i="14" s="1"/>
  <c r="FJ81" i="14" s="1"/>
  <c r="FJ91" i="14" s="1"/>
  <c r="FK81" i="14" s="1"/>
  <c r="FK91" i="14" s="1"/>
  <c r="FL81" i="14" s="1"/>
  <c r="FL91" i="14" s="1"/>
  <c r="FM81" i="14" s="1"/>
  <c r="FM91" i="14" s="1"/>
  <c r="FN81" i="14" s="1"/>
  <c r="FN91" i="14" s="1"/>
  <c r="FO81" i="14" s="1"/>
  <c r="FO91" i="14" s="1"/>
  <c r="FP81" i="14" s="1"/>
  <c r="FP91" i="14" s="1"/>
  <c r="FQ81" i="14" s="1"/>
  <c r="FQ91" i="14" s="1"/>
  <c r="FR81" i="14" s="1"/>
  <c r="FR91" i="14" s="1"/>
  <c r="FS81" i="14" s="1"/>
  <c r="FS91" i="14" s="1"/>
  <c r="FT81" i="14" s="1"/>
  <c r="FT91" i="14" s="1"/>
  <c r="FU81" i="14" s="1"/>
  <c r="FU91" i="14" s="1"/>
  <c r="FV81" i="14" s="1"/>
  <c r="FV91" i="14" s="1"/>
  <c r="FW81" i="14" s="1"/>
  <c r="FW91" i="14" s="1"/>
  <c r="FX81" i="14" s="1"/>
  <c r="FX91" i="14" s="1"/>
  <c r="FY81" i="14" s="1"/>
  <c r="FY91" i="14" s="1"/>
  <c r="FZ81" i="14" s="1"/>
  <c r="FZ91" i="14" s="1"/>
  <c r="GA81" i="14" s="1"/>
  <c r="GA91" i="14" s="1"/>
  <c r="GB81" i="14" s="1"/>
  <c r="GB91" i="14" s="1"/>
  <c r="GC81" i="14" s="1"/>
  <c r="GC91" i="14" s="1"/>
  <c r="GD81" i="14" s="1"/>
  <c r="GD91" i="14" s="1"/>
  <c r="GE81" i="14" s="1"/>
  <c r="GE91" i="14" s="1"/>
  <c r="GF81" i="14" s="1"/>
  <c r="GF91" i="14" s="1"/>
  <c r="GG81" i="14" s="1"/>
  <c r="GG91" i="14" s="1"/>
  <c r="GH81" i="14" s="1"/>
  <c r="GH91" i="14" s="1"/>
  <c r="GI81" i="14" s="1"/>
  <c r="GI91" i="14" s="1"/>
  <c r="GJ81" i="14" s="1"/>
  <c r="GJ91" i="14" s="1"/>
  <c r="GK81" i="14" s="1"/>
  <c r="GK91" i="14" s="1"/>
  <c r="GL81" i="14" s="1"/>
  <c r="GL91" i="14" s="1"/>
  <c r="GM81" i="14" s="1"/>
  <c r="GM91" i="14" s="1"/>
  <c r="GN81" i="14" s="1"/>
  <c r="GN91" i="14" s="1"/>
  <c r="GO81" i="14" s="1"/>
  <c r="GO91" i="14" s="1"/>
  <c r="GP81" i="14" s="1"/>
  <c r="GP91" i="14" s="1"/>
  <c r="GQ81" i="14" s="1"/>
  <c r="GQ91" i="14" s="1"/>
  <c r="GR81" i="14" s="1"/>
  <c r="GR91" i="14" s="1"/>
  <c r="GS81" i="14" s="1"/>
  <c r="GS91" i="14" s="1"/>
  <c r="GT81" i="14" s="1"/>
  <c r="GT91" i="14" s="1"/>
  <c r="GU81" i="14" s="1"/>
  <c r="GU91" i="14" s="1"/>
  <c r="GV81" i="14" s="1"/>
  <c r="GV91" i="14" s="1"/>
  <c r="GW81" i="14" s="1"/>
  <c r="GW91" i="14" s="1"/>
  <c r="GX81" i="14" s="1"/>
  <c r="GX91" i="14" s="1"/>
  <c r="GY81" i="14" s="1"/>
  <c r="GY91" i="14" s="1"/>
  <c r="GZ81" i="14" s="1"/>
  <c r="GZ91" i="14" s="1"/>
  <c r="HA81" i="14" s="1"/>
  <c r="HA91" i="14" s="1"/>
  <c r="HB81" i="14" s="1"/>
  <c r="HB91" i="14" s="1"/>
  <c r="HC81" i="14" s="1"/>
  <c r="HC91" i="14" s="1"/>
  <c r="HD81" i="14" s="1"/>
  <c r="HD91" i="14" s="1"/>
  <c r="HE81" i="14" s="1"/>
  <c r="HE91" i="14" s="1"/>
  <c r="HF81" i="14" s="1"/>
  <c r="HF91" i="14" s="1"/>
  <c r="HG81" i="14" s="1"/>
  <c r="HG91" i="14" s="1"/>
  <c r="HH81" i="14" s="1"/>
  <c r="HH91" i="14" s="1"/>
  <c r="HI81" i="14" s="1"/>
  <c r="HI91" i="14" s="1"/>
  <c r="HJ81" i="14" s="1"/>
  <c r="HJ91" i="14" s="1"/>
  <c r="HK81" i="14" s="1"/>
  <c r="HK91" i="14" s="1"/>
  <c r="HL81" i="14" s="1"/>
  <c r="HL91" i="14" s="1"/>
  <c r="HM81" i="14" s="1"/>
  <c r="HM91" i="14" s="1"/>
  <c r="HN81" i="14" s="1"/>
  <c r="HN91" i="14" s="1"/>
  <c r="HO81" i="14" s="1"/>
  <c r="HO91" i="14" s="1"/>
  <c r="HP81" i="14" s="1"/>
  <c r="HP91" i="14" s="1"/>
  <c r="HQ81" i="14" s="1"/>
  <c r="HQ91" i="14" s="1"/>
  <c r="HR81" i="14" s="1"/>
  <c r="HR91" i="14" s="1"/>
  <c r="HS81" i="14" s="1"/>
  <c r="HS91" i="14" s="1"/>
  <c r="HT81" i="14" s="1"/>
  <c r="HT91" i="14" s="1"/>
  <c r="HU81" i="14" s="1"/>
  <c r="HU91" i="14" s="1"/>
  <c r="HV81" i="14" s="1"/>
  <c r="HV91" i="14" s="1"/>
  <c r="HW81" i="14" s="1"/>
  <c r="HW91" i="14" s="1"/>
  <c r="HX81" i="14" s="1"/>
  <c r="HX91" i="14" s="1"/>
  <c r="HY81" i="14" s="1"/>
  <c r="HY91" i="14" s="1"/>
  <c r="HZ81" i="14" s="1"/>
  <c r="HZ91" i="14" s="1"/>
  <c r="IA81" i="14" s="1"/>
  <c r="IA91" i="14" s="1"/>
  <c r="IB81" i="14" s="1"/>
  <c r="IB91" i="14" s="1"/>
  <c r="IC81" i="14" s="1"/>
  <c r="IC91" i="14" s="1"/>
  <c r="ID81" i="14" s="1"/>
  <c r="ID91" i="14" s="1"/>
  <c r="IE81" i="14" s="1"/>
  <c r="IE91" i="14" s="1"/>
  <c r="IF81" i="14" s="1"/>
  <c r="IF91" i="14" s="1"/>
  <c r="IG81" i="14" s="1"/>
  <c r="IG91" i="14" s="1"/>
  <c r="IH81" i="14" s="1"/>
  <c r="IH91" i="14" s="1"/>
  <c r="II81" i="14" s="1"/>
  <c r="II91" i="14" s="1"/>
  <c r="IJ81" i="14" s="1"/>
  <c r="IJ91" i="14" s="1"/>
  <c r="IK81" i="14" s="1"/>
  <c r="IK91" i="14" s="1"/>
  <c r="IL81" i="14" s="1"/>
  <c r="IL91" i="14" s="1"/>
  <c r="IM81" i="14" s="1"/>
  <c r="IM91" i="14" s="1"/>
  <c r="IN81" i="14" s="1"/>
  <c r="IN91" i="14" s="1"/>
  <c r="IO81" i="14" s="1"/>
  <c r="IO91" i="14" s="1"/>
  <c r="IP81" i="14" s="1"/>
  <c r="IP91" i="14" s="1"/>
  <c r="IQ81" i="14" s="1"/>
  <c r="IQ91" i="14" s="1"/>
  <c r="IR81" i="14" s="1"/>
  <c r="IR91" i="14" s="1"/>
  <c r="IS81" i="14" s="1"/>
  <c r="IS91" i="14" s="1"/>
  <c r="IT81" i="14" s="1"/>
  <c r="IT91" i="14" s="1"/>
  <c r="IU81" i="14" s="1"/>
  <c r="IU91" i="14" s="1"/>
  <c r="IV81" i="14" s="1"/>
  <c r="IV91" i="14" s="1"/>
  <c r="IW81" i="14" s="1"/>
  <c r="IW91" i="14" s="1"/>
  <c r="IX81" i="14" s="1"/>
  <c r="EJ66" i="14"/>
  <c r="EJ112" i="14" s="1"/>
  <c r="AH66" i="14"/>
  <c r="AH112" i="14" s="1"/>
  <c r="AP66" i="14"/>
  <c r="AP112" i="14" s="1"/>
  <c r="AT66" i="14"/>
  <c r="AT112" i="14" s="1"/>
  <c r="AX66" i="14"/>
  <c r="AX112" i="14" s="1"/>
  <c r="BB66" i="14"/>
  <c r="BB112" i="14" s="1"/>
  <c r="DG66" i="14"/>
  <c r="DG112" i="14" s="1"/>
  <c r="DK66" i="14"/>
  <c r="DK112" i="14" s="1"/>
  <c r="DO66" i="14"/>
  <c r="DO112" i="14" s="1"/>
  <c r="DS66" i="14"/>
  <c r="DS112" i="14" s="1"/>
  <c r="DW66" i="14"/>
  <c r="DW112" i="14" s="1"/>
  <c r="EB66" i="14"/>
  <c r="EB112" i="14" s="1"/>
  <c r="EF66" i="14"/>
  <c r="EF112" i="14" s="1"/>
  <c r="EK66" i="14"/>
  <c r="EK112" i="14" s="1"/>
  <c r="EO66" i="14"/>
  <c r="EO112" i="14" s="1"/>
  <c r="EW66" i="14"/>
  <c r="EW112" i="14" s="1"/>
  <c r="FA66" i="14"/>
  <c r="FA112" i="14" s="1"/>
  <c r="FE66" i="14"/>
  <c r="FE112" i="14" s="1"/>
  <c r="FI66" i="14"/>
  <c r="FI112" i="14" s="1"/>
  <c r="FM66" i="14"/>
  <c r="FM112" i="14" s="1"/>
  <c r="FQ66" i="14"/>
  <c r="FQ112" i="14" s="1"/>
  <c r="FU66" i="14"/>
  <c r="FU112" i="14" s="1"/>
  <c r="FY66" i="14"/>
  <c r="FY112" i="14" s="1"/>
  <c r="GC66" i="14"/>
  <c r="GC112" i="14" s="1"/>
  <c r="GG66" i="14"/>
  <c r="GG112" i="14" s="1"/>
  <c r="GK66" i="14"/>
  <c r="GK112" i="14" s="1"/>
  <c r="GO66" i="14"/>
  <c r="GO112" i="14" s="1"/>
  <c r="GS66" i="14"/>
  <c r="GS112" i="14" s="1"/>
  <c r="GW66" i="14"/>
  <c r="GW112" i="14" s="1"/>
  <c r="HA66" i="14"/>
  <c r="HA112" i="14" s="1"/>
  <c r="HE66" i="14"/>
  <c r="HE112" i="14" s="1"/>
  <c r="HI66" i="14"/>
  <c r="HI112" i="14" s="1"/>
  <c r="HM66" i="14"/>
  <c r="HM112" i="14" s="1"/>
  <c r="HQ66" i="14"/>
  <c r="HQ112" i="14" s="1"/>
  <c r="HU66" i="14"/>
  <c r="HU112" i="14" s="1"/>
  <c r="HY66" i="14"/>
  <c r="HY112" i="14" s="1"/>
  <c r="IC66" i="14"/>
  <c r="IC112" i="14" s="1"/>
  <c r="IG66" i="14"/>
  <c r="IG112" i="14" s="1"/>
  <c r="IK66" i="14"/>
  <c r="IK112" i="14" s="1"/>
  <c r="IP66" i="14"/>
  <c r="IP112" i="14" s="1"/>
  <c r="H112" i="14"/>
  <c r="P112" i="14"/>
  <c r="X112" i="14"/>
  <c r="BT78" i="14"/>
  <c r="BU70" i="14" s="1"/>
  <c r="BU78" i="14" s="1"/>
  <c r="BV70" i="14" s="1"/>
  <c r="BV78" i="14" s="1"/>
  <c r="BW70" i="14" s="1"/>
  <c r="BW78" i="14" s="1"/>
  <c r="BX70" i="14" s="1"/>
  <c r="BX78" i="14" s="1"/>
  <c r="BY70" i="14" s="1"/>
  <c r="BY78" i="14" s="1"/>
  <c r="BZ70" i="14" s="1"/>
  <c r="BZ78" i="14" s="1"/>
  <c r="CA70" i="14" s="1"/>
  <c r="CA78" i="14" s="1"/>
  <c r="CB70" i="14" s="1"/>
  <c r="CB78" i="14" s="1"/>
  <c r="CC70" i="14" s="1"/>
  <c r="CC78" i="14" s="1"/>
  <c r="CD70" i="14" s="1"/>
  <c r="CD78" i="14" s="1"/>
  <c r="CE70" i="14" s="1"/>
  <c r="CE78" i="14" s="1"/>
  <c r="CF70" i="14" s="1"/>
  <c r="CF78" i="14" s="1"/>
  <c r="CG70" i="14" s="1"/>
  <c r="CG78" i="14" s="1"/>
  <c r="CH70" i="14" s="1"/>
  <c r="CH78" i="14" s="1"/>
  <c r="CI70" i="14" s="1"/>
  <c r="CI78" i="14" s="1"/>
  <c r="CJ70" i="14" s="1"/>
  <c r="CJ78" i="14" s="1"/>
  <c r="CK70" i="14" s="1"/>
  <c r="CK78" i="14" s="1"/>
  <c r="CL70" i="14" s="1"/>
  <c r="CL78" i="14" s="1"/>
  <c r="CM70" i="14" s="1"/>
  <c r="CM78" i="14" s="1"/>
  <c r="CN70" i="14" s="1"/>
  <c r="CN78" i="14" s="1"/>
  <c r="CO70" i="14" s="1"/>
  <c r="CO78" i="14" s="1"/>
  <c r="CP70" i="14" s="1"/>
  <c r="CP78" i="14" s="1"/>
  <c r="CQ70" i="14" s="1"/>
  <c r="CQ78" i="14" s="1"/>
  <c r="CR70" i="14" s="1"/>
  <c r="CR78" i="14" s="1"/>
  <c r="CS70" i="14" s="1"/>
  <c r="CS78" i="14" s="1"/>
  <c r="CT70" i="14" s="1"/>
  <c r="CT78" i="14" s="1"/>
  <c r="CU70" i="14" s="1"/>
  <c r="CU78" i="14" s="1"/>
  <c r="CV70" i="14" s="1"/>
  <c r="CV78" i="14" s="1"/>
  <c r="CW70" i="14" s="1"/>
  <c r="CW78" i="14" s="1"/>
  <c r="CX70" i="14" s="1"/>
  <c r="CX78" i="14" s="1"/>
  <c r="CY70" i="14" s="1"/>
  <c r="CY78" i="14" s="1"/>
  <c r="CZ70" i="14" s="1"/>
  <c r="CZ78" i="14" s="1"/>
  <c r="DA70" i="14" s="1"/>
  <c r="DA78" i="14" s="1"/>
  <c r="DB70" i="14" s="1"/>
  <c r="DB78" i="14" s="1"/>
  <c r="DC70" i="14" s="1"/>
  <c r="DC78" i="14" s="1"/>
  <c r="DD70" i="14" s="1"/>
  <c r="DD78" i="14" s="1"/>
  <c r="DE70" i="14" s="1"/>
  <c r="DE78" i="14" s="1"/>
  <c r="DF70" i="14" s="1"/>
  <c r="DF78" i="14" s="1"/>
  <c r="DG70" i="14" s="1"/>
  <c r="DG78" i="14" s="1"/>
  <c r="DH70" i="14" s="1"/>
  <c r="DH78" i="14" s="1"/>
  <c r="DI70" i="14" s="1"/>
  <c r="DI78" i="14" s="1"/>
  <c r="DJ70" i="14" s="1"/>
  <c r="DJ78" i="14" s="1"/>
  <c r="DK70" i="14" s="1"/>
  <c r="DK78" i="14" s="1"/>
  <c r="DL70" i="14" s="1"/>
  <c r="DL78" i="14" s="1"/>
  <c r="DM70" i="14" s="1"/>
  <c r="DM78" i="14" s="1"/>
  <c r="DN70" i="14" s="1"/>
  <c r="DN78" i="14" s="1"/>
  <c r="DO70" i="14" s="1"/>
  <c r="DO78" i="14" s="1"/>
  <c r="DP70" i="14" s="1"/>
  <c r="DP78" i="14" s="1"/>
  <c r="DQ70" i="14" s="1"/>
  <c r="DQ78" i="14" s="1"/>
  <c r="DR70" i="14" s="1"/>
  <c r="DR78" i="14" s="1"/>
  <c r="DS70" i="14" s="1"/>
  <c r="DS78" i="14" s="1"/>
  <c r="DT70" i="14" s="1"/>
  <c r="DT78" i="14" s="1"/>
  <c r="DU70" i="14" s="1"/>
  <c r="DU78" i="14" s="1"/>
  <c r="DV70" i="14" s="1"/>
  <c r="DV78" i="14" s="1"/>
  <c r="DW70" i="14" s="1"/>
  <c r="DW78" i="14" s="1"/>
  <c r="DX70" i="14" s="1"/>
  <c r="DX78" i="14" s="1"/>
  <c r="DY70" i="14" s="1"/>
  <c r="DY78" i="14" s="1"/>
  <c r="DZ70" i="14" s="1"/>
  <c r="DZ78" i="14" s="1"/>
  <c r="EA70" i="14" s="1"/>
  <c r="EA78" i="14" s="1"/>
  <c r="EB70" i="14" s="1"/>
  <c r="EB78" i="14" s="1"/>
  <c r="EC70" i="14" s="1"/>
  <c r="EC78" i="14" s="1"/>
  <c r="ED70" i="14" s="1"/>
  <c r="ED78" i="14" s="1"/>
  <c r="EE70" i="14" s="1"/>
  <c r="EE78" i="14" s="1"/>
  <c r="EF70" i="14" s="1"/>
  <c r="EF78" i="14" s="1"/>
  <c r="EG70" i="14" s="1"/>
  <c r="EG78" i="14" s="1"/>
  <c r="EH70" i="14" s="1"/>
  <c r="EH78" i="14" s="1"/>
  <c r="EI70" i="14" s="1"/>
  <c r="EI78" i="14" s="1"/>
  <c r="EJ70" i="14" s="1"/>
  <c r="EJ78" i="14" s="1"/>
  <c r="EK70" i="14" s="1"/>
  <c r="EK78" i="14" s="1"/>
  <c r="EL70" i="14" s="1"/>
  <c r="EL78" i="14" s="1"/>
  <c r="EM70" i="14" s="1"/>
  <c r="EM78" i="14" s="1"/>
  <c r="EN70" i="14" s="1"/>
  <c r="EN78" i="14" s="1"/>
  <c r="EO70" i="14" s="1"/>
  <c r="EO78" i="14" s="1"/>
  <c r="EP70" i="14" s="1"/>
  <c r="EP78" i="14" s="1"/>
  <c r="EQ70" i="14" s="1"/>
  <c r="EQ78" i="14" s="1"/>
  <c r="ER70" i="14" s="1"/>
  <c r="ER78" i="14" s="1"/>
  <c r="ES70" i="14" s="1"/>
  <c r="ES78" i="14" s="1"/>
  <c r="ET70" i="14" s="1"/>
  <c r="ET78" i="14" s="1"/>
  <c r="EU70" i="14" s="1"/>
  <c r="EU78" i="14" s="1"/>
  <c r="EV70" i="14" s="1"/>
  <c r="EV78" i="14" s="1"/>
  <c r="EW70" i="14" s="1"/>
  <c r="EW78" i="14" s="1"/>
  <c r="EX70" i="14" s="1"/>
  <c r="EX78" i="14" s="1"/>
  <c r="EY70" i="14" s="1"/>
  <c r="EY78" i="14" s="1"/>
  <c r="EZ70" i="14" s="1"/>
  <c r="EZ78" i="14" s="1"/>
  <c r="FA70" i="14" s="1"/>
  <c r="FA78" i="14" s="1"/>
  <c r="FB70" i="14" s="1"/>
  <c r="FB78" i="14" s="1"/>
  <c r="FC70" i="14" s="1"/>
  <c r="FC78" i="14" s="1"/>
  <c r="FD70" i="14" s="1"/>
  <c r="FD78" i="14" s="1"/>
  <c r="FE70" i="14" s="1"/>
  <c r="FE78" i="14" s="1"/>
  <c r="FF70" i="14" s="1"/>
  <c r="FF78" i="14" s="1"/>
  <c r="FG70" i="14" s="1"/>
  <c r="FG78" i="14" s="1"/>
  <c r="FH70" i="14" s="1"/>
  <c r="FH78" i="14" s="1"/>
  <c r="FI70" i="14" s="1"/>
  <c r="FI78" i="14" s="1"/>
  <c r="FJ70" i="14" s="1"/>
  <c r="FJ78" i="14" s="1"/>
  <c r="FK70" i="14" s="1"/>
  <c r="FK78" i="14" s="1"/>
  <c r="FL70" i="14" s="1"/>
  <c r="FL78" i="14" s="1"/>
  <c r="FM70" i="14" s="1"/>
  <c r="FM78" i="14" s="1"/>
  <c r="FN70" i="14" s="1"/>
  <c r="FN78" i="14" s="1"/>
  <c r="FO70" i="14" s="1"/>
  <c r="FO78" i="14" s="1"/>
  <c r="FP70" i="14" s="1"/>
  <c r="FP78" i="14" s="1"/>
  <c r="FQ70" i="14" s="1"/>
  <c r="FQ78" i="14" s="1"/>
  <c r="FR70" i="14" s="1"/>
  <c r="FR78" i="14" s="1"/>
  <c r="FS70" i="14" s="1"/>
  <c r="FS78" i="14" s="1"/>
  <c r="FT70" i="14" s="1"/>
  <c r="FT78" i="14" s="1"/>
  <c r="FU70" i="14" s="1"/>
  <c r="FU78" i="14" s="1"/>
  <c r="FV70" i="14" s="1"/>
  <c r="FV78" i="14" s="1"/>
  <c r="FW70" i="14" s="1"/>
  <c r="FW78" i="14" s="1"/>
  <c r="FX70" i="14" s="1"/>
  <c r="FX78" i="14" s="1"/>
  <c r="FY70" i="14" s="1"/>
  <c r="FY78" i="14" s="1"/>
  <c r="FZ70" i="14" s="1"/>
  <c r="FZ78" i="14" s="1"/>
  <c r="GA70" i="14" s="1"/>
  <c r="GA78" i="14" s="1"/>
  <c r="GB70" i="14" s="1"/>
  <c r="GB78" i="14" s="1"/>
  <c r="GC70" i="14" s="1"/>
  <c r="GC78" i="14" s="1"/>
  <c r="GD70" i="14" s="1"/>
  <c r="GD78" i="14" s="1"/>
  <c r="GE70" i="14" s="1"/>
  <c r="GE78" i="14" s="1"/>
  <c r="GF70" i="14" s="1"/>
  <c r="GF78" i="14" s="1"/>
  <c r="GG70" i="14" s="1"/>
  <c r="GG78" i="14" s="1"/>
  <c r="GH70" i="14" s="1"/>
  <c r="GH78" i="14" s="1"/>
  <c r="GI70" i="14" s="1"/>
  <c r="GI78" i="14" s="1"/>
  <c r="GJ70" i="14" s="1"/>
  <c r="GJ78" i="14" s="1"/>
  <c r="GK70" i="14" s="1"/>
  <c r="GK78" i="14" s="1"/>
  <c r="GL70" i="14" s="1"/>
  <c r="GL78" i="14" s="1"/>
  <c r="GM70" i="14" s="1"/>
  <c r="GM78" i="14" s="1"/>
  <c r="GN70" i="14" s="1"/>
  <c r="GN78" i="14" s="1"/>
  <c r="GO70" i="14" s="1"/>
  <c r="GO78" i="14" s="1"/>
  <c r="GP70" i="14" s="1"/>
  <c r="GP78" i="14" s="1"/>
  <c r="GQ70" i="14" s="1"/>
  <c r="GQ78" i="14" s="1"/>
  <c r="GR70" i="14" s="1"/>
  <c r="GR78" i="14" s="1"/>
  <c r="GS70" i="14" s="1"/>
  <c r="GS78" i="14" s="1"/>
  <c r="GT70" i="14" s="1"/>
  <c r="GT78" i="14" s="1"/>
  <c r="GU70" i="14" s="1"/>
  <c r="GU78" i="14" s="1"/>
  <c r="GV70" i="14" s="1"/>
  <c r="GV78" i="14" s="1"/>
  <c r="GW70" i="14" s="1"/>
  <c r="GW78" i="14" s="1"/>
  <c r="GX70" i="14" s="1"/>
  <c r="GX78" i="14" s="1"/>
  <c r="GY70" i="14" s="1"/>
  <c r="GY78" i="14" s="1"/>
  <c r="GZ70" i="14" s="1"/>
  <c r="GZ78" i="14" s="1"/>
  <c r="HA70" i="14" s="1"/>
  <c r="HA78" i="14" s="1"/>
  <c r="HB70" i="14" s="1"/>
  <c r="HB78" i="14" s="1"/>
  <c r="HC70" i="14" s="1"/>
  <c r="HC78" i="14" s="1"/>
  <c r="HD70" i="14" s="1"/>
  <c r="HD78" i="14" s="1"/>
  <c r="HE70" i="14" s="1"/>
  <c r="HE78" i="14" s="1"/>
  <c r="HF70" i="14" s="1"/>
  <c r="HF78" i="14" s="1"/>
  <c r="HG70" i="14" s="1"/>
  <c r="HG78" i="14" s="1"/>
  <c r="HH70" i="14" s="1"/>
  <c r="HH78" i="14" s="1"/>
  <c r="HI70" i="14" s="1"/>
  <c r="HI78" i="14" s="1"/>
  <c r="HJ70" i="14" s="1"/>
  <c r="HJ78" i="14" s="1"/>
  <c r="HK70" i="14" s="1"/>
  <c r="HK78" i="14" s="1"/>
  <c r="HL70" i="14" s="1"/>
  <c r="HL78" i="14" s="1"/>
  <c r="HM70" i="14" s="1"/>
  <c r="HM78" i="14" s="1"/>
  <c r="HN70" i="14" s="1"/>
  <c r="HN78" i="14" s="1"/>
  <c r="HO70" i="14" s="1"/>
  <c r="HO78" i="14" s="1"/>
  <c r="HP70" i="14" s="1"/>
  <c r="HP78" i="14" s="1"/>
  <c r="HQ70" i="14" s="1"/>
  <c r="HQ78" i="14" s="1"/>
  <c r="HR70" i="14" s="1"/>
  <c r="HR78" i="14" s="1"/>
  <c r="HS70" i="14" s="1"/>
  <c r="HS78" i="14" s="1"/>
  <c r="HT70" i="14" s="1"/>
  <c r="HT78" i="14" s="1"/>
  <c r="HU70" i="14" s="1"/>
  <c r="HU78" i="14" s="1"/>
  <c r="HV70" i="14" s="1"/>
  <c r="HV78" i="14" s="1"/>
  <c r="HW70" i="14" s="1"/>
  <c r="HW78" i="14" s="1"/>
  <c r="HX70" i="14" s="1"/>
  <c r="HX78" i="14" s="1"/>
  <c r="HY70" i="14" s="1"/>
  <c r="HY78" i="14" s="1"/>
  <c r="HZ70" i="14" s="1"/>
  <c r="HZ78" i="14" s="1"/>
  <c r="IA70" i="14" s="1"/>
  <c r="IA78" i="14" s="1"/>
  <c r="IB70" i="14" s="1"/>
  <c r="IB78" i="14" s="1"/>
  <c r="IC70" i="14" s="1"/>
  <c r="IC78" i="14" s="1"/>
  <c r="ID70" i="14" s="1"/>
  <c r="ID78" i="14" s="1"/>
  <c r="IE70" i="14" s="1"/>
  <c r="IE78" i="14" s="1"/>
  <c r="IF70" i="14" s="1"/>
  <c r="IF78" i="14" s="1"/>
  <c r="IG70" i="14" s="1"/>
  <c r="IG78" i="14" s="1"/>
  <c r="IH70" i="14" s="1"/>
  <c r="IH78" i="14" s="1"/>
  <c r="II70" i="14" s="1"/>
  <c r="II78" i="14" s="1"/>
  <c r="IJ70" i="14" s="1"/>
  <c r="IJ78" i="14" s="1"/>
  <c r="IK70" i="14" s="1"/>
  <c r="IK78" i="14" s="1"/>
  <c r="IL70" i="14" s="1"/>
  <c r="IL78" i="14" s="1"/>
  <c r="IM70" i="14" s="1"/>
  <c r="IM78" i="14" s="1"/>
  <c r="IN70" i="14" s="1"/>
  <c r="IN78" i="14" s="1"/>
  <c r="IO70" i="14" s="1"/>
  <c r="IO78" i="14" s="1"/>
  <c r="IP70" i="14" s="1"/>
  <c r="IP78" i="14" s="1"/>
  <c r="IQ70" i="14" s="1"/>
  <c r="IQ78" i="14" s="1"/>
  <c r="IR70" i="14" s="1"/>
  <c r="IR78" i="14" s="1"/>
  <c r="IS70" i="14" s="1"/>
  <c r="IS78" i="14" s="1"/>
  <c r="IT70" i="14" s="1"/>
  <c r="IT78" i="14" s="1"/>
  <c r="IU70" i="14" s="1"/>
  <c r="IU78" i="14" s="1"/>
  <c r="IV70" i="14" s="1"/>
  <c r="IV78" i="14" s="1"/>
  <c r="IW70" i="14" s="1"/>
  <c r="IW78" i="14" s="1"/>
  <c r="IX70" i="14" s="1"/>
  <c r="F47" i="16"/>
  <c r="B43" i="5"/>
  <c r="B10" i="3"/>
  <c r="B24" i="3" s="1"/>
  <c r="D40" i="16"/>
  <c r="C42" i="16"/>
  <c r="D57" i="16"/>
  <c r="C41" i="16"/>
  <c r="I43" i="16"/>
  <c r="C46" i="16"/>
  <c r="C39" i="16"/>
  <c r="D44" i="16"/>
  <c r="P14" i="17"/>
  <c r="G29" i="17"/>
  <c r="O29" i="17"/>
  <c r="I29" i="17"/>
  <c r="P12" i="16"/>
  <c r="E43" i="16"/>
  <c r="E20" i="16"/>
  <c r="D89" i="16"/>
  <c r="P11" i="17"/>
  <c r="F11" i="16"/>
  <c r="O7" i="16"/>
  <c r="O12" i="16" s="1"/>
  <c r="P13" i="17"/>
  <c r="C36" i="16"/>
  <c r="C37" i="16"/>
  <c r="H29" i="17"/>
  <c r="L29" i="17"/>
  <c r="P28" i="17"/>
  <c r="I8" i="16"/>
  <c r="I12" i="16" s="1"/>
  <c r="G6" i="16"/>
  <c r="F44" i="16"/>
  <c r="H43" i="16"/>
  <c r="F46" i="16"/>
  <c r="F45" i="16"/>
  <c r="J31" i="16"/>
  <c r="F43" i="16"/>
  <c r="F26" i="18"/>
  <c r="E43" i="14"/>
  <c r="F35" i="14" s="1"/>
  <c r="F43" i="14" s="1"/>
  <c r="G35" i="14" s="1"/>
  <c r="G43" i="14" s="1"/>
  <c r="H35" i="14" s="1"/>
  <c r="H43" i="14" s="1"/>
  <c r="I35" i="14" s="1"/>
  <c r="I43" i="14" s="1"/>
  <c r="J35" i="14" s="1"/>
  <c r="J43" i="14" s="1"/>
  <c r="K35" i="14" s="1"/>
  <c r="K43" i="14" s="1"/>
  <c r="L35" i="14" s="1"/>
  <c r="L43" i="14" s="1"/>
  <c r="M35" i="14" s="1"/>
  <c r="M43" i="14" s="1"/>
  <c r="N35" i="14" s="1"/>
  <c r="N43" i="14" s="1"/>
  <c r="O35" i="14" s="1"/>
  <c r="O43" i="14" s="1"/>
  <c r="P35" i="14" s="1"/>
  <c r="P43" i="14" s="1"/>
  <c r="Q35" i="14" s="1"/>
  <c r="Q43" i="14" s="1"/>
  <c r="R35" i="14" s="1"/>
  <c r="R43" i="14" s="1"/>
  <c r="S35" i="14" s="1"/>
  <c r="S43" i="14" s="1"/>
  <c r="T35" i="14" s="1"/>
  <c r="T43" i="14" s="1"/>
  <c r="U35" i="14" s="1"/>
  <c r="U43" i="14" s="1"/>
  <c r="V35" i="14" s="1"/>
  <c r="V43" i="14" s="1"/>
  <c r="W35" i="14" s="1"/>
  <c r="W43" i="14" s="1"/>
  <c r="X35" i="14" s="1"/>
  <c r="X43" i="14" s="1"/>
  <c r="Y35" i="14" s="1"/>
  <c r="Y43" i="14" s="1"/>
  <c r="Z35" i="14" s="1"/>
  <c r="Z43" i="14" s="1"/>
  <c r="AA35" i="14" s="1"/>
  <c r="AA43" i="14" s="1"/>
  <c r="AB35" i="14" s="1"/>
  <c r="AB43" i="14" s="1"/>
  <c r="AC35" i="14" s="1"/>
  <c r="AC43" i="14" s="1"/>
  <c r="AD35" i="14" s="1"/>
  <c r="AD43" i="14" s="1"/>
  <c r="AE35" i="14" s="1"/>
  <c r="AE43" i="14" s="1"/>
  <c r="AF35" i="14" s="1"/>
  <c r="AF43" i="14" s="1"/>
  <c r="AG35" i="14" s="1"/>
  <c r="AG43" i="14" s="1"/>
  <c r="AH35" i="14" s="1"/>
  <c r="AH43" i="14" s="1"/>
  <c r="AI35" i="14" s="1"/>
  <c r="AI43" i="14" s="1"/>
  <c r="AJ35" i="14" s="1"/>
  <c r="AJ43" i="14" s="1"/>
  <c r="AK35" i="14" s="1"/>
  <c r="AK43" i="14" s="1"/>
  <c r="AL35" i="14" s="1"/>
  <c r="AL43" i="14" s="1"/>
  <c r="AM35" i="14" s="1"/>
  <c r="AM43" i="14" s="1"/>
  <c r="AN35" i="14" s="1"/>
  <c r="AN43" i="14" s="1"/>
  <c r="AO35" i="14" s="1"/>
  <c r="AO43" i="14" s="1"/>
  <c r="AP35" i="14" s="1"/>
  <c r="AP43" i="14" s="1"/>
  <c r="AQ35" i="14" s="1"/>
  <c r="AQ43" i="14" s="1"/>
  <c r="AR35" i="14" s="1"/>
  <c r="AR43" i="14" s="1"/>
  <c r="AS35" i="14" s="1"/>
  <c r="AS43" i="14" s="1"/>
  <c r="AT35" i="14" s="1"/>
  <c r="AT43" i="14" s="1"/>
  <c r="AU35" i="14" s="1"/>
  <c r="AU43" i="14" s="1"/>
  <c r="AV35" i="14" s="1"/>
  <c r="AV43" i="14" s="1"/>
  <c r="AW35" i="14" s="1"/>
  <c r="AW43" i="14" s="1"/>
  <c r="AX35" i="14" s="1"/>
  <c r="AX43" i="14" s="1"/>
  <c r="AY35" i="14" s="1"/>
  <c r="AY43" i="14" s="1"/>
  <c r="AZ35" i="14" s="1"/>
  <c r="AZ43" i="14" s="1"/>
  <c r="BA35" i="14" s="1"/>
  <c r="BA43" i="14" s="1"/>
  <c r="BB35" i="14" s="1"/>
  <c r="BB43" i="14" s="1"/>
  <c r="BC35" i="14" s="1"/>
  <c r="BC43" i="14" s="1"/>
  <c r="BD35" i="14" s="1"/>
  <c r="BD43" i="14" s="1"/>
  <c r="BE35" i="14" s="1"/>
  <c r="BE43" i="14" s="1"/>
  <c r="BF35" i="14" s="1"/>
  <c r="BF43" i="14" s="1"/>
  <c r="BG35" i="14" s="1"/>
  <c r="BG43" i="14" s="1"/>
  <c r="BH35" i="14" s="1"/>
  <c r="BH43" i="14" s="1"/>
  <c r="BI35" i="14" s="1"/>
  <c r="BI43" i="14" s="1"/>
  <c r="BJ35" i="14" s="1"/>
  <c r="BJ43" i="14" s="1"/>
  <c r="BK35" i="14" s="1"/>
  <c r="BK43" i="14" s="1"/>
  <c r="BL35" i="14" s="1"/>
  <c r="BL43" i="14" s="1"/>
  <c r="BM35" i="14" s="1"/>
  <c r="BM43" i="14" s="1"/>
  <c r="BN35" i="14" s="1"/>
  <c r="BN43" i="14" s="1"/>
  <c r="BO35" i="14" s="1"/>
  <c r="BO43" i="14" s="1"/>
  <c r="BP35" i="14" s="1"/>
  <c r="BP43" i="14" s="1"/>
  <c r="BQ35" i="14" s="1"/>
  <c r="BQ43" i="14" s="1"/>
  <c r="BR35" i="14" s="1"/>
  <c r="BR43" i="14" s="1"/>
  <c r="BS35" i="14" s="1"/>
  <c r="BS43" i="14" s="1"/>
  <c r="BT35" i="14" s="1"/>
  <c r="BT43" i="14" s="1"/>
  <c r="BU35" i="14" s="1"/>
  <c r="BU43" i="14" s="1"/>
  <c r="BV35" i="14" s="1"/>
  <c r="BV43" i="14" s="1"/>
  <c r="BW35" i="14" s="1"/>
  <c r="BW43" i="14" s="1"/>
  <c r="BX35" i="14" s="1"/>
  <c r="BX43" i="14" s="1"/>
  <c r="BY35" i="14" s="1"/>
  <c r="BY43" i="14" s="1"/>
  <c r="BZ35" i="14" s="1"/>
  <c r="BZ43" i="14" s="1"/>
  <c r="CA35" i="14" s="1"/>
  <c r="CA43" i="14" s="1"/>
  <c r="CB35" i="14" s="1"/>
  <c r="CB43" i="14" s="1"/>
  <c r="CC35" i="14" s="1"/>
  <c r="CC43" i="14" s="1"/>
  <c r="CD35" i="14" s="1"/>
  <c r="CD43" i="14" s="1"/>
  <c r="CE35" i="14" s="1"/>
  <c r="CE43" i="14" s="1"/>
  <c r="CF35" i="14" s="1"/>
  <c r="CF43" i="14" s="1"/>
  <c r="CG35" i="14" s="1"/>
  <c r="CG43" i="14" s="1"/>
  <c r="CH35" i="14" s="1"/>
  <c r="CH43" i="14" s="1"/>
  <c r="CI35" i="14" s="1"/>
  <c r="CI43" i="14" s="1"/>
  <c r="CJ35" i="14" s="1"/>
  <c r="CJ43" i="14" s="1"/>
  <c r="CK35" i="14" s="1"/>
  <c r="CK43" i="14" s="1"/>
  <c r="CL35" i="14" s="1"/>
  <c r="CL43" i="14" s="1"/>
  <c r="CM35" i="14" s="1"/>
  <c r="CM43" i="14" s="1"/>
  <c r="CN35" i="14" s="1"/>
  <c r="CN43" i="14" s="1"/>
  <c r="CO35" i="14" s="1"/>
  <c r="CO43" i="14" s="1"/>
  <c r="CP35" i="14" s="1"/>
  <c r="CP43" i="14" s="1"/>
  <c r="CQ35" i="14" s="1"/>
  <c r="CQ43" i="14" s="1"/>
  <c r="CR35" i="14" s="1"/>
  <c r="CR43" i="14" s="1"/>
  <c r="CS35" i="14" s="1"/>
  <c r="CS43" i="14" s="1"/>
  <c r="CT35" i="14" s="1"/>
  <c r="CT43" i="14" s="1"/>
  <c r="CU35" i="14" s="1"/>
  <c r="CU43" i="14" s="1"/>
  <c r="CV35" i="14" s="1"/>
  <c r="CV43" i="14" s="1"/>
  <c r="CW35" i="14" s="1"/>
  <c r="CW43" i="14" s="1"/>
  <c r="CX35" i="14" s="1"/>
  <c r="CX43" i="14" s="1"/>
  <c r="CY35" i="14" s="1"/>
  <c r="CY43" i="14" s="1"/>
  <c r="CZ35" i="14" s="1"/>
  <c r="CZ43" i="14" s="1"/>
  <c r="DA35" i="14" s="1"/>
  <c r="DA43" i="14" s="1"/>
  <c r="DB35" i="14" s="1"/>
  <c r="DB43" i="14" s="1"/>
  <c r="DC35" i="14" s="1"/>
  <c r="DC43" i="14" s="1"/>
  <c r="DD35" i="14" s="1"/>
  <c r="DD43" i="14" s="1"/>
  <c r="DE35" i="14" s="1"/>
  <c r="DE43" i="14" s="1"/>
  <c r="DF35" i="14" s="1"/>
  <c r="DF43" i="14" s="1"/>
  <c r="DG35" i="14" s="1"/>
  <c r="DG43" i="14" s="1"/>
  <c r="DH35" i="14" s="1"/>
  <c r="DH43" i="14" s="1"/>
  <c r="DI35" i="14" s="1"/>
  <c r="DI43" i="14" s="1"/>
  <c r="DJ35" i="14" s="1"/>
  <c r="DJ43" i="14" s="1"/>
  <c r="DK35" i="14" s="1"/>
  <c r="DK43" i="14" s="1"/>
  <c r="DL35" i="14" s="1"/>
  <c r="DL43" i="14" s="1"/>
  <c r="DM35" i="14" s="1"/>
  <c r="DM43" i="14" s="1"/>
  <c r="DN35" i="14" s="1"/>
  <c r="DN43" i="14" s="1"/>
  <c r="DO35" i="14" s="1"/>
  <c r="DO43" i="14" s="1"/>
  <c r="DP35" i="14" s="1"/>
  <c r="DP43" i="14" s="1"/>
  <c r="DQ35" i="14" s="1"/>
  <c r="DQ43" i="14" s="1"/>
  <c r="DR35" i="14" s="1"/>
  <c r="DR43" i="14" s="1"/>
  <c r="DS35" i="14" s="1"/>
  <c r="DS43" i="14" s="1"/>
  <c r="DT35" i="14" s="1"/>
  <c r="DT43" i="14" s="1"/>
  <c r="DU35" i="14" s="1"/>
  <c r="DU43" i="14" s="1"/>
  <c r="DV35" i="14" s="1"/>
  <c r="DV43" i="14" s="1"/>
  <c r="DW35" i="14" s="1"/>
  <c r="DW43" i="14" s="1"/>
  <c r="DX35" i="14" s="1"/>
  <c r="DX43" i="14" s="1"/>
  <c r="DY35" i="14" s="1"/>
  <c r="DY43" i="14" s="1"/>
  <c r="DZ35" i="14" s="1"/>
  <c r="DZ43" i="14" s="1"/>
  <c r="EA35" i="14" s="1"/>
  <c r="EA43" i="14" s="1"/>
  <c r="EB35" i="14" s="1"/>
  <c r="EB43" i="14" s="1"/>
  <c r="EC35" i="14" s="1"/>
  <c r="EC43" i="14" s="1"/>
  <c r="ED35" i="14" s="1"/>
  <c r="ED43" i="14" s="1"/>
  <c r="EE35" i="14" s="1"/>
  <c r="EE43" i="14" s="1"/>
  <c r="EF35" i="14" s="1"/>
  <c r="EF43" i="14" s="1"/>
  <c r="EG35" i="14" s="1"/>
  <c r="EG43" i="14" s="1"/>
  <c r="EH35" i="14" s="1"/>
  <c r="EH43" i="14" s="1"/>
  <c r="EI35" i="14" s="1"/>
  <c r="EI43" i="14" s="1"/>
  <c r="EJ35" i="14" s="1"/>
  <c r="EJ43" i="14" s="1"/>
  <c r="EK35" i="14" s="1"/>
  <c r="EK43" i="14" s="1"/>
  <c r="EL35" i="14" s="1"/>
  <c r="EL43" i="14" s="1"/>
  <c r="EM35" i="14" s="1"/>
  <c r="EM43" i="14" s="1"/>
  <c r="EN35" i="14" s="1"/>
  <c r="EN43" i="14" s="1"/>
  <c r="EO35" i="14" s="1"/>
  <c r="EO43" i="14" s="1"/>
  <c r="EP35" i="14" s="1"/>
  <c r="EP43" i="14" s="1"/>
  <c r="EQ35" i="14" s="1"/>
  <c r="EQ43" i="14" s="1"/>
  <c r="ER35" i="14" s="1"/>
  <c r="ER43" i="14" s="1"/>
  <c r="ES35" i="14" s="1"/>
  <c r="ES43" i="14" s="1"/>
  <c r="ET35" i="14" s="1"/>
  <c r="ET43" i="14" s="1"/>
  <c r="EU35" i="14" s="1"/>
  <c r="EU43" i="14" s="1"/>
  <c r="EV35" i="14" s="1"/>
  <c r="EV43" i="14" s="1"/>
  <c r="EW35" i="14" s="1"/>
  <c r="EW43" i="14" s="1"/>
  <c r="EX35" i="14" s="1"/>
  <c r="EX43" i="14" s="1"/>
  <c r="EY35" i="14" s="1"/>
  <c r="EY43" i="14" s="1"/>
  <c r="EZ35" i="14" s="1"/>
  <c r="EZ43" i="14" s="1"/>
  <c r="FA35" i="14" s="1"/>
  <c r="FA43" i="14" s="1"/>
  <c r="FB35" i="14" s="1"/>
  <c r="FB43" i="14" s="1"/>
  <c r="FC35" i="14" s="1"/>
  <c r="FC43" i="14" s="1"/>
  <c r="FD35" i="14" s="1"/>
  <c r="FD43" i="14" s="1"/>
  <c r="FE35" i="14" s="1"/>
  <c r="FE43" i="14" s="1"/>
  <c r="FF35" i="14" s="1"/>
  <c r="FF43" i="14" s="1"/>
  <c r="FG35" i="14" s="1"/>
  <c r="FG43" i="14" s="1"/>
  <c r="FH35" i="14" s="1"/>
  <c r="FH43" i="14" s="1"/>
  <c r="FI35" i="14" s="1"/>
  <c r="FI43" i="14" s="1"/>
  <c r="FJ35" i="14" s="1"/>
  <c r="FJ43" i="14" s="1"/>
  <c r="FK35" i="14" s="1"/>
  <c r="FK43" i="14" s="1"/>
  <c r="FL35" i="14" s="1"/>
  <c r="FL43" i="14" s="1"/>
  <c r="FM35" i="14" s="1"/>
  <c r="FM43" i="14" s="1"/>
  <c r="FN35" i="14" s="1"/>
  <c r="FN43" i="14" s="1"/>
  <c r="FO35" i="14" s="1"/>
  <c r="FO43" i="14" s="1"/>
  <c r="FP35" i="14" s="1"/>
  <c r="FP43" i="14" s="1"/>
  <c r="FQ35" i="14" s="1"/>
  <c r="FQ43" i="14" s="1"/>
  <c r="FR35" i="14" s="1"/>
  <c r="FR43" i="14" s="1"/>
  <c r="FS35" i="14" s="1"/>
  <c r="FS43" i="14" s="1"/>
  <c r="FT35" i="14" s="1"/>
  <c r="FT43" i="14" s="1"/>
  <c r="FU35" i="14" s="1"/>
  <c r="FU43" i="14" s="1"/>
  <c r="FV35" i="14" s="1"/>
  <c r="FV43" i="14" s="1"/>
  <c r="FW35" i="14" s="1"/>
  <c r="FW43" i="14" s="1"/>
  <c r="FX35" i="14" s="1"/>
  <c r="FX43" i="14" s="1"/>
  <c r="FY35" i="14" s="1"/>
  <c r="FY43" i="14" s="1"/>
  <c r="FZ35" i="14" s="1"/>
  <c r="FZ43" i="14" s="1"/>
  <c r="GA35" i="14" s="1"/>
  <c r="GA43" i="14" s="1"/>
  <c r="GB35" i="14" s="1"/>
  <c r="GB43" i="14" s="1"/>
  <c r="GC35" i="14" s="1"/>
  <c r="GC43" i="14" s="1"/>
  <c r="GD35" i="14" s="1"/>
  <c r="GD43" i="14" s="1"/>
  <c r="GE35" i="14" s="1"/>
  <c r="GE43" i="14" s="1"/>
  <c r="GF35" i="14" s="1"/>
  <c r="GF43" i="14" s="1"/>
  <c r="GG35" i="14" s="1"/>
  <c r="GG43" i="14" s="1"/>
  <c r="GH35" i="14" s="1"/>
  <c r="GH43" i="14" s="1"/>
  <c r="GI35" i="14" s="1"/>
  <c r="GI43" i="14" s="1"/>
  <c r="GJ35" i="14" s="1"/>
  <c r="GJ43" i="14" s="1"/>
  <c r="GK35" i="14" s="1"/>
  <c r="GK43" i="14" s="1"/>
  <c r="GL35" i="14" s="1"/>
  <c r="GL43" i="14" s="1"/>
  <c r="GM35" i="14" s="1"/>
  <c r="GM43" i="14" s="1"/>
  <c r="GN35" i="14" s="1"/>
  <c r="GN43" i="14" s="1"/>
  <c r="GO35" i="14" s="1"/>
  <c r="GO43" i="14" s="1"/>
  <c r="GP35" i="14" s="1"/>
  <c r="GP43" i="14" s="1"/>
  <c r="GQ35" i="14" s="1"/>
  <c r="GQ43" i="14" s="1"/>
  <c r="GR35" i="14" s="1"/>
  <c r="GR43" i="14" s="1"/>
  <c r="GS35" i="14" s="1"/>
  <c r="GS43" i="14" s="1"/>
  <c r="GT35" i="14" s="1"/>
  <c r="GT43" i="14" s="1"/>
  <c r="GU35" i="14" s="1"/>
  <c r="GU43" i="14" s="1"/>
  <c r="GV35" i="14" s="1"/>
  <c r="GV43" i="14" s="1"/>
  <c r="GW35" i="14" s="1"/>
  <c r="GW43" i="14" s="1"/>
  <c r="GX35" i="14" s="1"/>
  <c r="GX43" i="14" s="1"/>
  <c r="GY35" i="14" s="1"/>
  <c r="GY43" i="14" s="1"/>
  <c r="GZ35" i="14" s="1"/>
  <c r="GZ43" i="14" s="1"/>
  <c r="HA35" i="14" s="1"/>
  <c r="HA43" i="14" s="1"/>
  <c r="HB35" i="14" s="1"/>
  <c r="HB43" i="14" s="1"/>
  <c r="HC35" i="14" s="1"/>
  <c r="HC43" i="14" s="1"/>
  <c r="HD35" i="14" s="1"/>
  <c r="HD43" i="14" s="1"/>
  <c r="HE35" i="14" s="1"/>
  <c r="HE43" i="14" s="1"/>
  <c r="HF35" i="14" s="1"/>
  <c r="HF43" i="14" s="1"/>
  <c r="HG35" i="14" s="1"/>
  <c r="HG43" i="14" s="1"/>
  <c r="HH35" i="14" s="1"/>
  <c r="HH43" i="14" s="1"/>
  <c r="HI35" i="14" s="1"/>
  <c r="HI43" i="14" s="1"/>
  <c r="HJ35" i="14" s="1"/>
  <c r="HJ43" i="14" s="1"/>
  <c r="HK35" i="14" s="1"/>
  <c r="HK43" i="14" s="1"/>
  <c r="HL35" i="14" s="1"/>
  <c r="HL43" i="14" s="1"/>
  <c r="HM35" i="14" s="1"/>
  <c r="HM43" i="14" s="1"/>
  <c r="HN35" i="14" s="1"/>
  <c r="HN43" i="14" s="1"/>
  <c r="HO35" i="14" s="1"/>
  <c r="HO43" i="14" s="1"/>
  <c r="HP35" i="14" s="1"/>
  <c r="HP43" i="14" s="1"/>
  <c r="HQ35" i="14" s="1"/>
  <c r="HQ43" i="14" s="1"/>
  <c r="HR35" i="14" s="1"/>
  <c r="HR43" i="14" s="1"/>
  <c r="HS35" i="14" s="1"/>
  <c r="HS43" i="14" s="1"/>
  <c r="HT35" i="14" s="1"/>
  <c r="HT43" i="14" s="1"/>
  <c r="HU35" i="14" s="1"/>
  <c r="HU43" i="14" s="1"/>
  <c r="HV35" i="14" s="1"/>
  <c r="HV43" i="14" s="1"/>
  <c r="HW35" i="14" s="1"/>
  <c r="HW43" i="14" s="1"/>
  <c r="HX35" i="14" s="1"/>
  <c r="HX43" i="14" s="1"/>
  <c r="HY35" i="14" s="1"/>
  <c r="HY43" i="14" s="1"/>
  <c r="HZ35" i="14" s="1"/>
  <c r="HZ43" i="14" s="1"/>
  <c r="IA35" i="14" s="1"/>
  <c r="IA43" i="14" s="1"/>
  <c r="IB35" i="14" s="1"/>
  <c r="IB43" i="14" s="1"/>
  <c r="IC35" i="14" s="1"/>
  <c r="IC43" i="14" s="1"/>
  <c r="ID35" i="14" s="1"/>
  <c r="ID43" i="14" s="1"/>
  <c r="IE35" i="14" s="1"/>
  <c r="IE43" i="14" s="1"/>
  <c r="IF35" i="14" s="1"/>
  <c r="IF43" i="14" s="1"/>
  <c r="IG35" i="14" s="1"/>
  <c r="IG43" i="14" s="1"/>
  <c r="IH35" i="14" s="1"/>
  <c r="IH43" i="14" s="1"/>
  <c r="II35" i="14" s="1"/>
  <c r="II43" i="14" s="1"/>
  <c r="IJ35" i="14" s="1"/>
  <c r="IJ43" i="14" s="1"/>
  <c r="IK35" i="14" s="1"/>
  <c r="IK43" i="14" s="1"/>
  <c r="IL35" i="14" s="1"/>
  <c r="IL43" i="14" s="1"/>
  <c r="IM35" i="14" s="1"/>
  <c r="IM43" i="14" s="1"/>
  <c r="IN35" i="14" s="1"/>
  <c r="IN43" i="14" s="1"/>
  <c r="IO35" i="14" s="1"/>
  <c r="IO43" i="14" s="1"/>
  <c r="IP35" i="14" s="1"/>
  <c r="IP43" i="14" s="1"/>
  <c r="IQ35" i="14" s="1"/>
  <c r="IQ43" i="14" s="1"/>
  <c r="IR35" i="14" s="1"/>
  <c r="IR43" i="14" s="1"/>
  <c r="IS35" i="14" s="1"/>
  <c r="IS43" i="14" s="1"/>
  <c r="IT35" i="14" s="1"/>
  <c r="IT43" i="14" s="1"/>
  <c r="IU35" i="14" s="1"/>
  <c r="IU43" i="14" s="1"/>
  <c r="IV35" i="14" s="1"/>
  <c r="IV43" i="14" s="1"/>
  <c r="IW35" i="14" s="1"/>
  <c r="AE57" i="14"/>
  <c r="AE66" i="14" s="1"/>
  <c r="AE112" i="14" s="1"/>
  <c r="E25" i="14"/>
  <c r="E31" i="14" s="1"/>
  <c r="E32" i="14" s="1"/>
  <c r="F24" i="14" s="1"/>
  <c r="F32" i="14" s="1"/>
  <c r="G24" i="14" s="1"/>
  <c r="G32" i="14" s="1"/>
  <c r="H24" i="14" s="1"/>
  <c r="H32" i="14" s="1"/>
  <c r="I24" i="14" s="1"/>
  <c r="I32" i="14" s="1"/>
  <c r="J24" i="14" s="1"/>
  <c r="J32" i="14" s="1"/>
  <c r="K24" i="14" s="1"/>
  <c r="K32" i="14" s="1"/>
  <c r="L24" i="14" s="1"/>
  <c r="L32" i="14" s="1"/>
  <c r="M24" i="14" s="1"/>
  <c r="M32" i="14" s="1"/>
  <c r="N24" i="14" s="1"/>
  <c r="N32" i="14" s="1"/>
  <c r="O24" i="14" s="1"/>
  <c r="O32" i="14" s="1"/>
  <c r="P24" i="14" s="1"/>
  <c r="P32" i="14" s="1"/>
  <c r="Q24" i="14" s="1"/>
  <c r="Q32" i="14" s="1"/>
  <c r="R24" i="14" s="1"/>
  <c r="R32" i="14" s="1"/>
  <c r="S24" i="14" s="1"/>
  <c r="S32" i="14" s="1"/>
  <c r="T24" i="14" s="1"/>
  <c r="T32" i="14" s="1"/>
  <c r="U24" i="14" s="1"/>
  <c r="U32" i="14" s="1"/>
  <c r="V24" i="14" s="1"/>
  <c r="V32" i="14" s="1"/>
  <c r="W24" i="14" s="1"/>
  <c r="W32" i="14" s="1"/>
  <c r="X24" i="14" s="1"/>
  <c r="X32" i="14" s="1"/>
  <c r="Y24" i="14" s="1"/>
  <c r="Y32" i="14" s="1"/>
  <c r="Z24" i="14" s="1"/>
  <c r="Z32" i="14" s="1"/>
  <c r="AA24" i="14" s="1"/>
  <c r="AA32" i="14" s="1"/>
  <c r="AB24" i="14" s="1"/>
  <c r="AB32" i="14" s="1"/>
  <c r="AC24" i="14" s="1"/>
  <c r="AC32" i="14" s="1"/>
  <c r="AD24" i="14" s="1"/>
  <c r="AD32" i="14" s="1"/>
  <c r="AE24" i="14" s="1"/>
  <c r="AE32" i="14" s="1"/>
  <c r="AF24" i="14" s="1"/>
  <c r="AF32" i="14" s="1"/>
  <c r="AG24" i="14" s="1"/>
  <c r="AG32" i="14" s="1"/>
  <c r="AH24" i="14" s="1"/>
  <c r="AH32" i="14" s="1"/>
  <c r="AI24" i="14" s="1"/>
  <c r="AI32" i="14" s="1"/>
  <c r="AJ24" i="14" s="1"/>
  <c r="AJ32" i="14" s="1"/>
  <c r="AK24" i="14" s="1"/>
  <c r="AK32" i="14" s="1"/>
  <c r="AL24" i="14" s="1"/>
  <c r="AL32" i="14" s="1"/>
  <c r="AM24" i="14" s="1"/>
  <c r="AM32" i="14" s="1"/>
  <c r="AN24" i="14" s="1"/>
  <c r="AN32" i="14" s="1"/>
  <c r="AO24" i="14" s="1"/>
  <c r="AO32" i="14" s="1"/>
  <c r="AP24" i="14" s="1"/>
  <c r="AP32" i="14" s="1"/>
  <c r="AQ24" i="14" s="1"/>
  <c r="AQ32" i="14" s="1"/>
  <c r="AR24" i="14" s="1"/>
  <c r="AR32" i="14" s="1"/>
  <c r="AS24" i="14" s="1"/>
  <c r="AS32" i="14" s="1"/>
  <c r="AT24" i="14" s="1"/>
  <c r="AT32" i="14" s="1"/>
  <c r="AU24" i="14" s="1"/>
  <c r="AU32" i="14" s="1"/>
  <c r="AV24" i="14" s="1"/>
  <c r="AV32" i="14" s="1"/>
  <c r="AW24" i="14" s="1"/>
  <c r="AW32" i="14" s="1"/>
  <c r="AX24" i="14" s="1"/>
  <c r="AX32" i="14" s="1"/>
  <c r="AY24" i="14" s="1"/>
  <c r="AY32" i="14" s="1"/>
  <c r="AZ24" i="14" s="1"/>
  <c r="AZ32" i="14" s="1"/>
  <c r="BA24" i="14" s="1"/>
  <c r="BA32" i="14" s="1"/>
  <c r="BB24" i="14" s="1"/>
  <c r="BB32" i="14" s="1"/>
  <c r="BC24" i="14" s="1"/>
  <c r="BC32" i="14" s="1"/>
  <c r="BD24" i="14" s="1"/>
  <c r="BD32" i="14" s="1"/>
  <c r="BE24" i="14" s="1"/>
  <c r="BE32" i="14" s="1"/>
  <c r="BF24" i="14" s="1"/>
  <c r="BF32" i="14" s="1"/>
  <c r="BG24" i="14" s="1"/>
  <c r="BG32" i="14" s="1"/>
  <c r="BH24" i="14" s="1"/>
  <c r="BH32" i="14" s="1"/>
  <c r="BI24" i="14" s="1"/>
  <c r="BI32" i="14" s="1"/>
  <c r="BJ24" i="14" s="1"/>
  <c r="BJ32" i="14" s="1"/>
  <c r="BK24" i="14" s="1"/>
  <c r="BK32" i="14" s="1"/>
  <c r="BL24" i="14" s="1"/>
  <c r="BL32" i="14" s="1"/>
  <c r="BM24" i="14" s="1"/>
  <c r="BM32" i="14" s="1"/>
  <c r="BN24" i="14" s="1"/>
  <c r="BN32" i="14" s="1"/>
  <c r="BO24" i="14" s="1"/>
  <c r="BO32" i="14" s="1"/>
  <c r="BP24" i="14" s="1"/>
  <c r="BP32" i="14" s="1"/>
  <c r="BQ24" i="14" s="1"/>
  <c r="BQ32" i="14" s="1"/>
  <c r="BR24" i="14" s="1"/>
  <c r="BR32" i="14" s="1"/>
  <c r="BS24" i="14" s="1"/>
  <c r="BS32" i="14" s="1"/>
  <c r="BT24" i="14" s="1"/>
  <c r="BT32" i="14" s="1"/>
  <c r="BU24" i="14" s="1"/>
  <c r="BU32" i="14" s="1"/>
  <c r="BV24" i="14" s="1"/>
  <c r="BV32" i="14" s="1"/>
  <c r="BW24" i="14" s="1"/>
  <c r="BW32" i="14" s="1"/>
  <c r="BX24" i="14" s="1"/>
  <c r="BX32" i="14" s="1"/>
  <c r="BY24" i="14" s="1"/>
  <c r="BY32" i="14" s="1"/>
  <c r="BZ24" i="14" s="1"/>
  <c r="BZ32" i="14" s="1"/>
  <c r="CA24" i="14" s="1"/>
  <c r="CA32" i="14" s="1"/>
  <c r="CB24" i="14" s="1"/>
  <c r="CB32" i="14" s="1"/>
  <c r="CC24" i="14" s="1"/>
  <c r="CC32" i="14" s="1"/>
  <c r="CD24" i="14" s="1"/>
  <c r="CD32" i="14" s="1"/>
  <c r="CE24" i="14" s="1"/>
  <c r="CE32" i="14" s="1"/>
  <c r="CF24" i="14" s="1"/>
  <c r="CF32" i="14" s="1"/>
  <c r="CG24" i="14" s="1"/>
  <c r="CG32" i="14" s="1"/>
  <c r="CH24" i="14" s="1"/>
  <c r="CH32" i="14" s="1"/>
  <c r="CI24" i="14" s="1"/>
  <c r="CI32" i="14" s="1"/>
  <c r="CJ24" i="14" s="1"/>
  <c r="CJ32" i="14" s="1"/>
  <c r="CK24" i="14" s="1"/>
  <c r="CK32" i="14" s="1"/>
  <c r="CL24" i="14" s="1"/>
  <c r="CL32" i="14" s="1"/>
  <c r="CM24" i="14" s="1"/>
  <c r="CM32" i="14" s="1"/>
  <c r="CN24" i="14" s="1"/>
  <c r="CN32" i="14" s="1"/>
  <c r="CO24" i="14" s="1"/>
  <c r="CO32" i="14" s="1"/>
  <c r="CP24" i="14" s="1"/>
  <c r="CP32" i="14" s="1"/>
  <c r="CQ24" i="14" s="1"/>
  <c r="CQ32" i="14" s="1"/>
  <c r="CR24" i="14" s="1"/>
  <c r="CR32" i="14" s="1"/>
  <c r="CS24" i="14" s="1"/>
  <c r="CS32" i="14" s="1"/>
  <c r="CT24" i="14" s="1"/>
  <c r="CT32" i="14" s="1"/>
  <c r="CU24" i="14" s="1"/>
  <c r="CU32" i="14" s="1"/>
  <c r="CV24" i="14" s="1"/>
  <c r="CV32" i="14" s="1"/>
  <c r="CW24" i="14" s="1"/>
  <c r="CW32" i="14" s="1"/>
  <c r="CX24" i="14" s="1"/>
  <c r="CX32" i="14" s="1"/>
  <c r="CY24" i="14" s="1"/>
  <c r="CY32" i="14" s="1"/>
  <c r="CZ24" i="14" s="1"/>
  <c r="CZ32" i="14" s="1"/>
  <c r="DA24" i="14" s="1"/>
  <c r="DA32" i="14" s="1"/>
  <c r="DB24" i="14" s="1"/>
  <c r="DB32" i="14" s="1"/>
  <c r="DC24" i="14" s="1"/>
  <c r="DC32" i="14" s="1"/>
  <c r="DD24" i="14" s="1"/>
  <c r="DD32" i="14" s="1"/>
  <c r="DE24" i="14" s="1"/>
  <c r="DE32" i="14" s="1"/>
  <c r="DF24" i="14" s="1"/>
  <c r="DF32" i="14" s="1"/>
  <c r="DG24" i="14" s="1"/>
  <c r="DG32" i="14" s="1"/>
  <c r="DH24" i="14" s="1"/>
  <c r="DH32" i="14" s="1"/>
  <c r="DI24" i="14" s="1"/>
  <c r="DI32" i="14" s="1"/>
  <c r="DJ24" i="14" s="1"/>
  <c r="DJ32" i="14" s="1"/>
  <c r="DK24" i="14" s="1"/>
  <c r="DK32" i="14" s="1"/>
  <c r="DL24" i="14" s="1"/>
  <c r="DL32" i="14" s="1"/>
  <c r="DM24" i="14" s="1"/>
  <c r="DM32" i="14" s="1"/>
  <c r="DN24" i="14" s="1"/>
  <c r="DN32" i="14" s="1"/>
  <c r="DO24" i="14" s="1"/>
  <c r="DO32" i="14" s="1"/>
  <c r="DP24" i="14" s="1"/>
  <c r="DP32" i="14" s="1"/>
  <c r="DQ24" i="14" s="1"/>
  <c r="DQ32" i="14" s="1"/>
  <c r="DR24" i="14" s="1"/>
  <c r="DR32" i="14" s="1"/>
  <c r="DS24" i="14" s="1"/>
  <c r="DS32" i="14" s="1"/>
  <c r="DT24" i="14" s="1"/>
  <c r="DT32" i="14" s="1"/>
  <c r="DU24" i="14" s="1"/>
  <c r="DU32" i="14" s="1"/>
  <c r="DV24" i="14" s="1"/>
  <c r="DV32" i="14" s="1"/>
  <c r="DW24" i="14" s="1"/>
  <c r="DW32" i="14" s="1"/>
  <c r="DX24" i="14" s="1"/>
  <c r="DX32" i="14" s="1"/>
  <c r="DY24" i="14" s="1"/>
  <c r="DY32" i="14" s="1"/>
  <c r="DZ24" i="14" s="1"/>
  <c r="DZ32" i="14" s="1"/>
  <c r="EA24" i="14" s="1"/>
  <c r="EA32" i="14" s="1"/>
  <c r="EB24" i="14" s="1"/>
  <c r="EB32" i="14" s="1"/>
  <c r="EC24" i="14" s="1"/>
  <c r="EC32" i="14" s="1"/>
  <c r="ED24" i="14" s="1"/>
  <c r="ED32" i="14" s="1"/>
  <c r="EE24" i="14" s="1"/>
  <c r="EE32" i="14" s="1"/>
  <c r="EF24" i="14" s="1"/>
  <c r="EF32" i="14" s="1"/>
  <c r="EG24" i="14" s="1"/>
  <c r="EG32" i="14" s="1"/>
  <c r="EH24" i="14" s="1"/>
  <c r="EH32" i="14" s="1"/>
  <c r="EI24" i="14" s="1"/>
  <c r="EI32" i="14" s="1"/>
  <c r="EJ24" i="14" s="1"/>
  <c r="EJ32" i="14" s="1"/>
  <c r="EK24" i="14" s="1"/>
  <c r="EK32" i="14" s="1"/>
  <c r="EL24" i="14" s="1"/>
  <c r="EL32" i="14" s="1"/>
  <c r="EM24" i="14" s="1"/>
  <c r="EM32" i="14" s="1"/>
  <c r="EN24" i="14" s="1"/>
  <c r="EN32" i="14" s="1"/>
  <c r="EO24" i="14" s="1"/>
  <c r="EO32" i="14" s="1"/>
  <c r="EP24" i="14" s="1"/>
  <c r="EP32" i="14" s="1"/>
  <c r="EQ24" i="14" s="1"/>
  <c r="EQ32" i="14" s="1"/>
  <c r="ER24" i="14" s="1"/>
  <c r="ER32" i="14" s="1"/>
  <c r="ES24" i="14" s="1"/>
  <c r="ES32" i="14" s="1"/>
  <c r="ET24" i="14" s="1"/>
  <c r="ET32" i="14" s="1"/>
  <c r="EU24" i="14" s="1"/>
  <c r="EU32" i="14" s="1"/>
  <c r="EV24" i="14" s="1"/>
  <c r="EV32" i="14" s="1"/>
  <c r="EW24" i="14" s="1"/>
  <c r="EW32" i="14" s="1"/>
  <c r="EX24" i="14" s="1"/>
  <c r="EX32" i="14" s="1"/>
  <c r="EY24" i="14" s="1"/>
  <c r="EY32" i="14" s="1"/>
  <c r="EZ24" i="14" s="1"/>
  <c r="EZ32" i="14" s="1"/>
  <c r="FA24" i="14" s="1"/>
  <c r="FA32" i="14" s="1"/>
  <c r="FB24" i="14" s="1"/>
  <c r="FB32" i="14" s="1"/>
  <c r="FC24" i="14" s="1"/>
  <c r="FC32" i="14" s="1"/>
  <c r="FD24" i="14" s="1"/>
  <c r="FD32" i="14" s="1"/>
  <c r="FE24" i="14" s="1"/>
  <c r="FE32" i="14" s="1"/>
  <c r="FF24" i="14" s="1"/>
  <c r="FF32" i="14" s="1"/>
  <c r="FG24" i="14" s="1"/>
  <c r="FG32" i="14" s="1"/>
  <c r="FH24" i="14" s="1"/>
  <c r="FH32" i="14" s="1"/>
  <c r="FI24" i="14" s="1"/>
  <c r="FI32" i="14" s="1"/>
  <c r="FJ24" i="14" s="1"/>
  <c r="FJ32" i="14" s="1"/>
  <c r="FK24" i="14" s="1"/>
  <c r="FK32" i="14" s="1"/>
  <c r="FL24" i="14" s="1"/>
  <c r="FL32" i="14" s="1"/>
  <c r="FM24" i="14" s="1"/>
  <c r="FM32" i="14" s="1"/>
  <c r="FN24" i="14" s="1"/>
  <c r="FN32" i="14" s="1"/>
  <c r="FO24" i="14" s="1"/>
  <c r="FO32" i="14" s="1"/>
  <c r="FP24" i="14" s="1"/>
  <c r="FP32" i="14" s="1"/>
  <c r="FQ24" i="14" s="1"/>
  <c r="FQ32" i="14" s="1"/>
  <c r="FR24" i="14" s="1"/>
  <c r="FR32" i="14" s="1"/>
  <c r="FS24" i="14" s="1"/>
  <c r="FS32" i="14" s="1"/>
  <c r="FT24" i="14" s="1"/>
  <c r="FT32" i="14" s="1"/>
  <c r="FU24" i="14" s="1"/>
  <c r="FU32" i="14" s="1"/>
  <c r="FV24" i="14" s="1"/>
  <c r="FV32" i="14" s="1"/>
  <c r="FW24" i="14" s="1"/>
  <c r="FW32" i="14" s="1"/>
  <c r="FX24" i="14" s="1"/>
  <c r="FX32" i="14" s="1"/>
  <c r="FY24" i="14" s="1"/>
  <c r="FY32" i="14" s="1"/>
  <c r="FZ24" i="14" s="1"/>
  <c r="FZ32" i="14" s="1"/>
  <c r="GA24" i="14" s="1"/>
  <c r="GA32" i="14" s="1"/>
  <c r="GB24" i="14" s="1"/>
  <c r="GB32" i="14" s="1"/>
  <c r="GC24" i="14" s="1"/>
  <c r="GC32" i="14" s="1"/>
  <c r="GD24" i="14" s="1"/>
  <c r="GD32" i="14" s="1"/>
  <c r="GE24" i="14" s="1"/>
  <c r="GE32" i="14" s="1"/>
  <c r="GF24" i="14" s="1"/>
  <c r="GF32" i="14" s="1"/>
  <c r="GG24" i="14" s="1"/>
  <c r="GG32" i="14" s="1"/>
  <c r="GH24" i="14" s="1"/>
  <c r="GH32" i="14" s="1"/>
  <c r="GI24" i="14" s="1"/>
  <c r="GI32" i="14" s="1"/>
  <c r="GJ24" i="14" s="1"/>
  <c r="GJ32" i="14" s="1"/>
  <c r="GK24" i="14" s="1"/>
  <c r="GK32" i="14" s="1"/>
  <c r="GL24" i="14" s="1"/>
  <c r="GL32" i="14" s="1"/>
  <c r="GM24" i="14" s="1"/>
  <c r="GM32" i="14" s="1"/>
  <c r="GN24" i="14" s="1"/>
  <c r="GN32" i="14" s="1"/>
  <c r="GO24" i="14" s="1"/>
  <c r="GO32" i="14" s="1"/>
  <c r="GP24" i="14" s="1"/>
  <c r="GP32" i="14" s="1"/>
  <c r="GQ24" i="14" s="1"/>
  <c r="GQ32" i="14" s="1"/>
  <c r="GR24" i="14" s="1"/>
  <c r="GR32" i="14" s="1"/>
  <c r="GS24" i="14" s="1"/>
  <c r="GS32" i="14" s="1"/>
  <c r="GT24" i="14" s="1"/>
  <c r="GT32" i="14" s="1"/>
  <c r="GU24" i="14" s="1"/>
  <c r="GU32" i="14" s="1"/>
  <c r="GV24" i="14" s="1"/>
  <c r="GV32" i="14" s="1"/>
  <c r="GW24" i="14" s="1"/>
  <c r="GW32" i="14" s="1"/>
  <c r="GX24" i="14" s="1"/>
  <c r="GX32" i="14" s="1"/>
  <c r="GY24" i="14" s="1"/>
  <c r="GY32" i="14" s="1"/>
  <c r="GZ24" i="14" s="1"/>
  <c r="GZ32" i="14" s="1"/>
  <c r="HA24" i="14" s="1"/>
  <c r="HA32" i="14" s="1"/>
  <c r="HB24" i="14" s="1"/>
  <c r="HB32" i="14" s="1"/>
  <c r="HC24" i="14" s="1"/>
  <c r="HC32" i="14" s="1"/>
  <c r="HD24" i="14" s="1"/>
  <c r="HD32" i="14" s="1"/>
  <c r="HE24" i="14" s="1"/>
  <c r="HE32" i="14" s="1"/>
  <c r="HF24" i="14" s="1"/>
  <c r="HF32" i="14" s="1"/>
  <c r="HG24" i="14" s="1"/>
  <c r="HG32" i="14" s="1"/>
  <c r="HH24" i="14" s="1"/>
  <c r="HH32" i="14" s="1"/>
  <c r="HI24" i="14" s="1"/>
  <c r="HI32" i="14" s="1"/>
  <c r="HJ24" i="14" s="1"/>
  <c r="HJ32" i="14" s="1"/>
  <c r="HK24" i="14" s="1"/>
  <c r="HK32" i="14" s="1"/>
  <c r="HL24" i="14" s="1"/>
  <c r="HL32" i="14" s="1"/>
  <c r="HM24" i="14" s="1"/>
  <c r="HM32" i="14" s="1"/>
  <c r="HN24" i="14" s="1"/>
  <c r="HN32" i="14" s="1"/>
  <c r="HO24" i="14" s="1"/>
  <c r="HO32" i="14" s="1"/>
  <c r="HP24" i="14" s="1"/>
  <c r="HP32" i="14" s="1"/>
  <c r="HQ24" i="14" s="1"/>
  <c r="HQ32" i="14" s="1"/>
  <c r="HR24" i="14" s="1"/>
  <c r="HR32" i="14" s="1"/>
  <c r="HS24" i="14" s="1"/>
  <c r="HS32" i="14" s="1"/>
  <c r="HT24" i="14" s="1"/>
  <c r="HT32" i="14" s="1"/>
  <c r="HU24" i="14" s="1"/>
  <c r="HU32" i="14" s="1"/>
  <c r="HV24" i="14" s="1"/>
  <c r="HV32" i="14" s="1"/>
  <c r="HW24" i="14" s="1"/>
  <c r="HW32" i="14" s="1"/>
  <c r="HX24" i="14" s="1"/>
  <c r="HX32" i="14" s="1"/>
  <c r="HY24" i="14" s="1"/>
  <c r="HY32" i="14" s="1"/>
  <c r="HZ24" i="14" s="1"/>
  <c r="HZ32" i="14" s="1"/>
  <c r="IA24" i="14" s="1"/>
  <c r="IA32" i="14" s="1"/>
  <c r="IB24" i="14" s="1"/>
  <c r="IB32" i="14" s="1"/>
  <c r="IC24" i="14" s="1"/>
  <c r="IC32" i="14" s="1"/>
  <c r="ID24" i="14" s="1"/>
  <c r="ID32" i="14" s="1"/>
  <c r="IE24" i="14" s="1"/>
  <c r="IE32" i="14" s="1"/>
  <c r="IF24" i="14" s="1"/>
  <c r="IF32" i="14" s="1"/>
  <c r="IG24" i="14" s="1"/>
  <c r="IG32" i="14" s="1"/>
  <c r="IH24" i="14" s="1"/>
  <c r="IH32" i="14" s="1"/>
  <c r="II24" i="14" s="1"/>
  <c r="II32" i="14" s="1"/>
  <c r="IJ24" i="14" s="1"/>
  <c r="IJ32" i="14" s="1"/>
  <c r="IK24" i="14" s="1"/>
  <c r="IK32" i="14" s="1"/>
  <c r="IL24" i="14" s="1"/>
  <c r="IL32" i="14" s="1"/>
  <c r="IM24" i="14" s="1"/>
  <c r="IM32" i="14" s="1"/>
  <c r="IN24" i="14" s="1"/>
  <c r="IN32" i="14" s="1"/>
  <c r="IO24" i="14" s="1"/>
  <c r="IO32" i="14" s="1"/>
  <c r="IP24" i="14" s="1"/>
  <c r="IP32" i="14" s="1"/>
  <c r="IQ24" i="14" s="1"/>
  <c r="IQ32" i="14" s="1"/>
  <c r="IR24" i="14" s="1"/>
  <c r="IR32" i="14" s="1"/>
  <c r="IS24" i="14" s="1"/>
  <c r="IS32" i="14" s="1"/>
  <c r="IT24" i="14" s="1"/>
  <c r="IT32" i="14" s="1"/>
  <c r="IU24" i="14" s="1"/>
  <c r="IU32" i="14" s="1"/>
  <c r="IV24" i="14" s="1"/>
  <c r="IV32" i="14" s="1"/>
  <c r="IW24" i="14" s="1"/>
  <c r="IW32" i="14" s="1"/>
  <c r="IX24" i="14" s="1"/>
  <c r="IX32" i="14" s="1"/>
  <c r="EJ11" i="14"/>
  <c r="HC20" i="14"/>
  <c r="AJ66" i="14"/>
  <c r="AJ112" i="14" s="1"/>
  <c r="AR66" i="14"/>
  <c r="AR112" i="14" s="1"/>
  <c r="AZ66" i="14"/>
  <c r="AZ112" i="14" s="1"/>
  <c r="IO66" i="14"/>
  <c r="IO112" i="14" s="1"/>
  <c r="IW66" i="14"/>
  <c r="IW112" i="14" s="1"/>
  <c r="BE66" i="14"/>
  <c r="BE112" i="14" s="1"/>
  <c r="BM66" i="14"/>
  <c r="BM112" i="14" s="1"/>
  <c r="BU66" i="14"/>
  <c r="BU112" i="14" s="1"/>
  <c r="CC66" i="14"/>
  <c r="CC112" i="14" s="1"/>
  <c r="CK66" i="14"/>
  <c r="CK112" i="14" s="1"/>
  <c r="CS66" i="14"/>
  <c r="CS112" i="14" s="1"/>
  <c r="DA66" i="14"/>
  <c r="DA112" i="14" s="1"/>
  <c r="DI66" i="14"/>
  <c r="DI112" i="14" s="1"/>
  <c r="DQ66" i="14"/>
  <c r="DQ112" i="14" s="1"/>
  <c r="DZ66" i="14"/>
  <c r="DZ112" i="14" s="1"/>
  <c r="EH66" i="14"/>
  <c r="EH112" i="14" s="1"/>
  <c r="EP66" i="14"/>
  <c r="EP112" i="14" s="1"/>
  <c r="EX66" i="14"/>
  <c r="EX112" i="14" s="1"/>
  <c r="FF66" i="14"/>
  <c r="FF112" i="14" s="1"/>
  <c r="FN66" i="14"/>
  <c r="FN112" i="14" s="1"/>
  <c r="FV66" i="14"/>
  <c r="FV112" i="14" s="1"/>
  <c r="GD66" i="14"/>
  <c r="GD112" i="14" s="1"/>
  <c r="GL66" i="14"/>
  <c r="GL112" i="14" s="1"/>
  <c r="GT66" i="14"/>
  <c r="GT112" i="14" s="1"/>
  <c r="HB66" i="14"/>
  <c r="HB112" i="14" s="1"/>
  <c r="HJ66" i="14"/>
  <c r="HJ112" i="14" s="1"/>
  <c r="HR66" i="14"/>
  <c r="HR112" i="14" s="1"/>
  <c r="HZ66" i="14"/>
  <c r="HZ112" i="14" s="1"/>
  <c r="IH66" i="14"/>
  <c r="IH112" i="14" s="1"/>
  <c r="AG66" i="14"/>
  <c r="AG112" i="14" s="1"/>
  <c r="AO66" i="14"/>
  <c r="AO112" i="14" s="1"/>
  <c r="AW66" i="14"/>
  <c r="AW112" i="14" s="1"/>
  <c r="BF66" i="14"/>
  <c r="BF112" i="14" s="1"/>
  <c r="BN66" i="14"/>
  <c r="BN112" i="14" s="1"/>
  <c r="BV66" i="14"/>
  <c r="BV112" i="14" s="1"/>
  <c r="CD66" i="14"/>
  <c r="CD112" i="14" s="1"/>
  <c r="CL66" i="14"/>
  <c r="CL112" i="14" s="1"/>
  <c r="CT66" i="14"/>
  <c r="CT112" i="14" s="1"/>
  <c r="DB66" i="14"/>
  <c r="DB112" i="14" s="1"/>
  <c r="DJ66" i="14"/>
  <c r="DJ112" i="14" s="1"/>
  <c r="DR66" i="14"/>
  <c r="DR112" i="14" s="1"/>
  <c r="HC66" i="14"/>
  <c r="HC112" i="14" s="1"/>
  <c r="D111" i="14"/>
  <c r="D67" i="14"/>
  <c r="D112" i="14"/>
  <c r="L112" i="14"/>
  <c r="T112" i="14"/>
  <c r="AB112" i="14"/>
  <c r="G112" i="14"/>
  <c r="O112" i="14"/>
  <c r="W112" i="14"/>
  <c r="K112" i="14"/>
  <c r="S112" i="14"/>
  <c r="AA112" i="14"/>
  <c r="G99" i="14"/>
  <c r="H94" i="14" s="1"/>
  <c r="H99" i="14" s="1"/>
  <c r="I94" i="14" s="1"/>
  <c r="I99" i="14" s="1"/>
  <c r="J94" i="14" s="1"/>
  <c r="J99" i="14" s="1"/>
  <c r="K94" i="14" s="1"/>
  <c r="K99" i="14" s="1"/>
  <c r="L94" i="14" s="1"/>
  <c r="L99" i="14" s="1"/>
  <c r="M94" i="14" s="1"/>
  <c r="M99" i="14" s="1"/>
  <c r="N94" i="14" s="1"/>
  <c r="N99" i="14" s="1"/>
  <c r="O94" i="14" s="1"/>
  <c r="O99" i="14" s="1"/>
  <c r="P94" i="14" s="1"/>
  <c r="P99" i="14" s="1"/>
  <c r="Q94" i="14" s="1"/>
  <c r="Q99" i="14" s="1"/>
  <c r="R94" i="14" s="1"/>
  <c r="R99" i="14" s="1"/>
  <c r="S94" i="14" s="1"/>
  <c r="S99" i="14" s="1"/>
  <c r="T94" i="14" s="1"/>
  <c r="T99" i="14" s="1"/>
  <c r="U94" i="14" s="1"/>
  <c r="U99" i="14" s="1"/>
  <c r="V94" i="14" s="1"/>
  <c r="V99" i="14" s="1"/>
  <c r="W94" i="14" s="1"/>
  <c r="W99" i="14" s="1"/>
  <c r="X94" i="14" s="1"/>
  <c r="X99" i="14" s="1"/>
  <c r="Y94" i="14" s="1"/>
  <c r="Y99" i="14" s="1"/>
  <c r="Z94" i="14" s="1"/>
  <c r="Z99" i="14" s="1"/>
  <c r="AA94" i="14" s="1"/>
  <c r="AA99" i="14" s="1"/>
  <c r="AB94" i="14" s="1"/>
  <c r="AB99" i="14" s="1"/>
  <c r="AC94" i="14" s="1"/>
  <c r="AC99" i="14" s="1"/>
  <c r="AD94" i="14" s="1"/>
  <c r="AD99" i="14" s="1"/>
  <c r="AE94" i="14" s="1"/>
  <c r="AE99" i="14" s="1"/>
  <c r="AF94" i="14" s="1"/>
  <c r="AF99" i="14" s="1"/>
  <c r="AG94" i="14" s="1"/>
  <c r="AG99" i="14" s="1"/>
  <c r="AH94" i="14" s="1"/>
  <c r="AH99" i="14" s="1"/>
  <c r="AI94" i="14" s="1"/>
  <c r="AI99" i="14" s="1"/>
  <c r="AJ94" i="14" s="1"/>
  <c r="AJ99" i="14" s="1"/>
  <c r="AK94" i="14" s="1"/>
  <c r="AK99" i="14" s="1"/>
  <c r="AL94" i="14" s="1"/>
  <c r="AL99" i="14" s="1"/>
  <c r="AM94" i="14" s="1"/>
  <c r="AM99" i="14" s="1"/>
  <c r="AN94" i="14" s="1"/>
  <c r="AN99" i="14" s="1"/>
  <c r="AO94" i="14" s="1"/>
  <c r="AO99" i="14" s="1"/>
  <c r="AP94" i="14" s="1"/>
  <c r="AP99" i="14" s="1"/>
  <c r="AQ94" i="14" s="1"/>
  <c r="AQ99" i="14" s="1"/>
  <c r="AR94" i="14" s="1"/>
  <c r="AR99" i="14" s="1"/>
  <c r="AS94" i="14" s="1"/>
  <c r="AS99" i="14" s="1"/>
  <c r="AT94" i="14" s="1"/>
  <c r="AT99" i="14" s="1"/>
  <c r="AU94" i="14" s="1"/>
  <c r="AU99" i="14" s="1"/>
  <c r="AV94" i="14" s="1"/>
  <c r="AV99" i="14" s="1"/>
  <c r="AW94" i="14" s="1"/>
  <c r="AW99" i="14" s="1"/>
  <c r="AX94" i="14" s="1"/>
  <c r="AX99" i="14" s="1"/>
  <c r="AY94" i="14" s="1"/>
  <c r="AY99" i="14" s="1"/>
  <c r="AZ94" i="14" s="1"/>
  <c r="AZ99" i="14" s="1"/>
  <c r="BA94" i="14" s="1"/>
  <c r="BA99" i="14" s="1"/>
  <c r="BB94" i="14" s="1"/>
  <c r="BB99" i="14" s="1"/>
  <c r="BC94" i="14" s="1"/>
  <c r="BC99" i="14" s="1"/>
  <c r="BD94" i="14" s="1"/>
  <c r="BD99" i="14" s="1"/>
  <c r="BE94" i="14" s="1"/>
  <c r="BE99" i="14" s="1"/>
  <c r="BF94" i="14" s="1"/>
  <c r="BF99" i="14" s="1"/>
  <c r="BG94" i="14" s="1"/>
  <c r="BG99" i="14" s="1"/>
  <c r="BH94" i="14" s="1"/>
  <c r="BH99" i="14" s="1"/>
  <c r="BI94" i="14" s="1"/>
  <c r="BI99" i="14" s="1"/>
  <c r="BJ94" i="14" s="1"/>
  <c r="BJ99" i="14" s="1"/>
  <c r="BK94" i="14" s="1"/>
  <c r="BK99" i="14" s="1"/>
  <c r="BL94" i="14" s="1"/>
  <c r="BL99" i="14" s="1"/>
  <c r="BM94" i="14" s="1"/>
  <c r="BM99" i="14" s="1"/>
  <c r="BN94" i="14" s="1"/>
  <c r="BN99" i="14" s="1"/>
  <c r="BO94" i="14" s="1"/>
  <c r="BO99" i="14" s="1"/>
  <c r="BP94" i="14" s="1"/>
  <c r="BP99" i="14" s="1"/>
  <c r="BQ94" i="14" s="1"/>
  <c r="BQ99" i="14" s="1"/>
  <c r="BR94" i="14" s="1"/>
  <c r="BR99" i="14" s="1"/>
  <c r="BS94" i="14" s="1"/>
  <c r="BS99" i="14" s="1"/>
  <c r="BT94" i="14" s="1"/>
  <c r="BT99" i="14" s="1"/>
  <c r="BU94" i="14" s="1"/>
  <c r="BU99" i="14" s="1"/>
  <c r="BV94" i="14" s="1"/>
  <c r="BV99" i="14" s="1"/>
  <c r="BW94" i="14" s="1"/>
  <c r="BW99" i="14" s="1"/>
  <c r="BX94" i="14" s="1"/>
  <c r="BX99" i="14" s="1"/>
  <c r="BY94" i="14" s="1"/>
  <c r="BY99" i="14" s="1"/>
  <c r="BZ94" i="14" s="1"/>
  <c r="BZ99" i="14" s="1"/>
  <c r="CA94" i="14" s="1"/>
  <c r="CA99" i="14" s="1"/>
  <c r="CB94" i="14" s="1"/>
  <c r="CB99" i="14" s="1"/>
  <c r="CC94" i="14" s="1"/>
  <c r="CC99" i="14" s="1"/>
  <c r="CD94" i="14" s="1"/>
  <c r="CD99" i="14" s="1"/>
  <c r="CE94" i="14" s="1"/>
  <c r="CE99" i="14" s="1"/>
  <c r="CF94" i="14" s="1"/>
  <c r="CF99" i="14" s="1"/>
  <c r="CG94" i="14" s="1"/>
  <c r="CG99" i="14" s="1"/>
  <c r="CH94" i="14" s="1"/>
  <c r="CH99" i="14" s="1"/>
  <c r="CI94" i="14" s="1"/>
  <c r="CI99" i="14" s="1"/>
  <c r="CJ94" i="14" s="1"/>
  <c r="CJ99" i="14" s="1"/>
  <c r="CK94" i="14" s="1"/>
  <c r="CK99" i="14" s="1"/>
  <c r="CL94" i="14" s="1"/>
  <c r="CL99" i="14" s="1"/>
  <c r="CM94" i="14" s="1"/>
  <c r="CM99" i="14" s="1"/>
  <c r="CN94" i="14" s="1"/>
  <c r="CN99" i="14" s="1"/>
  <c r="CO94" i="14" s="1"/>
  <c r="CO99" i="14" s="1"/>
  <c r="CP94" i="14" s="1"/>
  <c r="CP99" i="14" s="1"/>
  <c r="CQ94" i="14" s="1"/>
  <c r="CQ99" i="14" s="1"/>
  <c r="CR94" i="14" s="1"/>
  <c r="CR99" i="14" s="1"/>
  <c r="CS94" i="14" s="1"/>
  <c r="CS99" i="14" s="1"/>
  <c r="CT94" i="14" s="1"/>
  <c r="CT99" i="14" s="1"/>
  <c r="CU94" i="14" s="1"/>
  <c r="CU99" i="14" s="1"/>
  <c r="CV94" i="14" s="1"/>
  <c r="CV99" i="14" s="1"/>
  <c r="CW94" i="14" s="1"/>
  <c r="CW99" i="14" s="1"/>
  <c r="CX94" i="14" s="1"/>
  <c r="CX99" i="14" s="1"/>
  <c r="CY94" i="14" s="1"/>
  <c r="CY99" i="14" s="1"/>
  <c r="CZ94" i="14" s="1"/>
  <c r="CZ99" i="14" s="1"/>
  <c r="DA94" i="14" s="1"/>
  <c r="DA99" i="14" s="1"/>
  <c r="DB94" i="14" s="1"/>
  <c r="DB99" i="14" s="1"/>
  <c r="DC94" i="14" s="1"/>
  <c r="DC99" i="14" s="1"/>
  <c r="DD94" i="14" s="1"/>
  <c r="DD99" i="14" s="1"/>
  <c r="DE94" i="14" s="1"/>
  <c r="DE99" i="14" s="1"/>
  <c r="DF94" i="14" s="1"/>
  <c r="DF99" i="14" s="1"/>
  <c r="DG94" i="14" s="1"/>
  <c r="DG99" i="14" s="1"/>
  <c r="DH94" i="14" s="1"/>
  <c r="DH99" i="14" s="1"/>
  <c r="DI94" i="14" s="1"/>
  <c r="DI99" i="14" s="1"/>
  <c r="DJ94" i="14" s="1"/>
  <c r="DJ99" i="14" s="1"/>
  <c r="DK94" i="14" s="1"/>
  <c r="DK99" i="14" s="1"/>
  <c r="DL94" i="14" s="1"/>
  <c r="DL99" i="14" s="1"/>
  <c r="DM94" i="14" s="1"/>
  <c r="DM99" i="14" s="1"/>
  <c r="DN94" i="14" s="1"/>
  <c r="DN99" i="14" s="1"/>
  <c r="DO94" i="14" s="1"/>
  <c r="DO99" i="14" s="1"/>
  <c r="DP94" i="14" s="1"/>
  <c r="DP99" i="14" s="1"/>
  <c r="DQ94" i="14" s="1"/>
  <c r="DQ99" i="14" s="1"/>
  <c r="DR94" i="14" s="1"/>
  <c r="DR99" i="14" s="1"/>
  <c r="DS94" i="14" s="1"/>
  <c r="DS99" i="14" s="1"/>
  <c r="DT94" i="14" s="1"/>
  <c r="DT99" i="14" s="1"/>
  <c r="DU94" i="14" s="1"/>
  <c r="DU99" i="14" s="1"/>
  <c r="DV94" i="14" s="1"/>
  <c r="DV99" i="14" s="1"/>
  <c r="DW94" i="14" s="1"/>
  <c r="DW99" i="14" s="1"/>
  <c r="DX94" i="14" s="1"/>
  <c r="DX99" i="14" s="1"/>
  <c r="DY94" i="14" s="1"/>
  <c r="DY99" i="14" s="1"/>
  <c r="DZ94" i="14" s="1"/>
  <c r="DZ99" i="14" s="1"/>
  <c r="EA94" i="14" s="1"/>
  <c r="EA99" i="14" s="1"/>
  <c r="EB94" i="14" s="1"/>
  <c r="EB99" i="14" s="1"/>
  <c r="EC94" i="14" s="1"/>
  <c r="EC99" i="14" s="1"/>
  <c r="ED94" i="14" s="1"/>
  <c r="ED99" i="14" s="1"/>
  <c r="EE94" i="14" s="1"/>
  <c r="EE99" i="14" s="1"/>
  <c r="EF94" i="14" s="1"/>
  <c r="EF99" i="14" s="1"/>
  <c r="EG94" i="14" s="1"/>
  <c r="EG99" i="14" s="1"/>
  <c r="EH94" i="14" s="1"/>
  <c r="EH99" i="14" s="1"/>
  <c r="EI94" i="14" s="1"/>
  <c r="EI99" i="14" s="1"/>
  <c r="EJ94" i="14" s="1"/>
  <c r="EJ99" i="14" s="1"/>
  <c r="EK94" i="14" s="1"/>
  <c r="EK99" i="14" s="1"/>
  <c r="EL94" i="14" s="1"/>
  <c r="EL99" i="14" s="1"/>
  <c r="EM94" i="14" s="1"/>
  <c r="EM99" i="14" s="1"/>
  <c r="EN94" i="14" s="1"/>
  <c r="EN99" i="14" s="1"/>
  <c r="EO94" i="14" s="1"/>
  <c r="EO99" i="14" s="1"/>
  <c r="EP94" i="14" s="1"/>
  <c r="EP99" i="14" s="1"/>
  <c r="EQ94" i="14" s="1"/>
  <c r="EQ99" i="14" s="1"/>
  <c r="ER94" i="14" s="1"/>
  <c r="ER99" i="14" s="1"/>
  <c r="ES94" i="14" s="1"/>
  <c r="ES99" i="14" s="1"/>
  <c r="ET94" i="14" s="1"/>
  <c r="ET99" i="14" s="1"/>
  <c r="EU94" i="14" s="1"/>
  <c r="EU99" i="14" s="1"/>
  <c r="EV94" i="14" s="1"/>
  <c r="EV99" i="14" s="1"/>
  <c r="EW94" i="14" s="1"/>
  <c r="EW99" i="14" s="1"/>
  <c r="EX94" i="14" s="1"/>
  <c r="EX99" i="14" s="1"/>
  <c r="EY94" i="14" s="1"/>
  <c r="EY99" i="14" s="1"/>
  <c r="EZ94" i="14" s="1"/>
  <c r="EZ99" i="14" s="1"/>
  <c r="FA94" i="14" s="1"/>
  <c r="FA99" i="14" s="1"/>
  <c r="FB94" i="14" s="1"/>
  <c r="FB99" i="14" s="1"/>
  <c r="FC94" i="14" s="1"/>
  <c r="FC99" i="14" s="1"/>
  <c r="FD94" i="14" s="1"/>
  <c r="FD99" i="14" s="1"/>
  <c r="FE94" i="14" s="1"/>
  <c r="FE99" i="14" s="1"/>
  <c r="FF94" i="14" s="1"/>
  <c r="FF99" i="14" s="1"/>
  <c r="FG94" i="14" s="1"/>
  <c r="FG99" i="14" s="1"/>
  <c r="FH94" i="14" s="1"/>
  <c r="FH99" i="14" s="1"/>
  <c r="FI94" i="14" s="1"/>
  <c r="FI99" i="14" s="1"/>
  <c r="FJ94" i="14" s="1"/>
  <c r="FJ99" i="14" s="1"/>
  <c r="FK94" i="14" s="1"/>
  <c r="FK99" i="14" s="1"/>
  <c r="FL94" i="14" s="1"/>
  <c r="FL99" i="14" s="1"/>
  <c r="FM94" i="14" s="1"/>
  <c r="FM99" i="14" s="1"/>
  <c r="FN94" i="14" s="1"/>
  <c r="FN99" i="14" s="1"/>
  <c r="FO94" i="14" s="1"/>
  <c r="FO99" i="14" s="1"/>
  <c r="FP94" i="14" s="1"/>
  <c r="FP99" i="14" s="1"/>
  <c r="FQ94" i="14" s="1"/>
  <c r="FQ99" i="14" s="1"/>
  <c r="FR94" i="14" s="1"/>
  <c r="FR99" i="14" s="1"/>
  <c r="FS94" i="14" s="1"/>
  <c r="FS99" i="14" s="1"/>
  <c r="FT94" i="14" s="1"/>
  <c r="FT99" i="14" s="1"/>
  <c r="FU94" i="14" s="1"/>
  <c r="FU99" i="14" s="1"/>
  <c r="FV94" i="14" s="1"/>
  <c r="FV99" i="14" s="1"/>
  <c r="FW94" i="14" s="1"/>
  <c r="FW99" i="14" s="1"/>
  <c r="FX94" i="14" s="1"/>
  <c r="FX99" i="14" s="1"/>
  <c r="FY94" i="14" s="1"/>
  <c r="FY99" i="14" s="1"/>
  <c r="FZ94" i="14" s="1"/>
  <c r="FZ99" i="14" s="1"/>
  <c r="GA94" i="14" s="1"/>
  <c r="GA99" i="14" s="1"/>
  <c r="GB94" i="14" s="1"/>
  <c r="GB99" i="14" s="1"/>
  <c r="GC94" i="14" s="1"/>
  <c r="GC99" i="14" s="1"/>
  <c r="GD94" i="14" s="1"/>
  <c r="GD99" i="14" s="1"/>
  <c r="GE94" i="14" s="1"/>
  <c r="GE99" i="14" s="1"/>
  <c r="GF94" i="14" s="1"/>
  <c r="GF99" i="14" s="1"/>
  <c r="GG94" i="14" s="1"/>
  <c r="GG99" i="14" s="1"/>
  <c r="GH94" i="14" s="1"/>
  <c r="GH99" i="14" s="1"/>
  <c r="GI94" i="14" s="1"/>
  <c r="GI99" i="14" s="1"/>
  <c r="GJ94" i="14" s="1"/>
  <c r="GJ99" i="14" s="1"/>
  <c r="GK94" i="14" s="1"/>
  <c r="GK99" i="14" s="1"/>
  <c r="GL94" i="14" s="1"/>
  <c r="GL99" i="14" s="1"/>
  <c r="GM94" i="14" s="1"/>
  <c r="GM99" i="14" s="1"/>
  <c r="GN94" i="14" s="1"/>
  <c r="GN99" i="14" s="1"/>
  <c r="GO94" i="14" s="1"/>
  <c r="GO99" i="14" s="1"/>
  <c r="GP94" i="14" s="1"/>
  <c r="GP99" i="14" s="1"/>
  <c r="GQ94" i="14" s="1"/>
  <c r="GQ99" i="14" s="1"/>
  <c r="GR94" i="14" s="1"/>
  <c r="GR99" i="14" s="1"/>
  <c r="GS94" i="14" s="1"/>
  <c r="GS99" i="14" s="1"/>
  <c r="GT94" i="14" s="1"/>
  <c r="GT99" i="14" s="1"/>
  <c r="GU94" i="14" s="1"/>
  <c r="GU99" i="14" s="1"/>
  <c r="GV94" i="14" s="1"/>
  <c r="GV99" i="14" s="1"/>
  <c r="GW94" i="14" s="1"/>
  <c r="GW99" i="14" s="1"/>
  <c r="GX94" i="14" s="1"/>
  <c r="GX99" i="14" s="1"/>
  <c r="GY94" i="14" s="1"/>
  <c r="GY99" i="14" s="1"/>
  <c r="GZ94" i="14" s="1"/>
  <c r="GZ99" i="14" s="1"/>
  <c r="HA94" i="14" s="1"/>
  <c r="HA99" i="14" s="1"/>
  <c r="HB94" i="14" s="1"/>
  <c r="HB99" i="14" s="1"/>
  <c r="HC94" i="14" s="1"/>
  <c r="HC99" i="14" s="1"/>
  <c r="HD94" i="14" s="1"/>
  <c r="HD99" i="14" s="1"/>
  <c r="HE94" i="14" s="1"/>
  <c r="HE99" i="14" s="1"/>
  <c r="HF94" i="14" s="1"/>
  <c r="HF99" i="14" s="1"/>
  <c r="HG94" i="14" s="1"/>
  <c r="HG99" i="14" s="1"/>
  <c r="HH94" i="14" s="1"/>
  <c r="HH99" i="14" s="1"/>
  <c r="HI94" i="14" s="1"/>
  <c r="HI99" i="14" s="1"/>
  <c r="HJ94" i="14" s="1"/>
  <c r="HJ99" i="14" s="1"/>
  <c r="HK94" i="14" s="1"/>
  <c r="HK99" i="14" s="1"/>
  <c r="HL94" i="14" s="1"/>
  <c r="HL99" i="14" s="1"/>
  <c r="HM94" i="14" s="1"/>
  <c r="HM99" i="14" s="1"/>
  <c r="HN94" i="14" s="1"/>
  <c r="HN99" i="14" s="1"/>
  <c r="HO94" i="14" s="1"/>
  <c r="HO99" i="14" s="1"/>
  <c r="HP94" i="14" s="1"/>
  <c r="HP99" i="14" s="1"/>
  <c r="HQ94" i="14" s="1"/>
  <c r="HQ99" i="14" s="1"/>
  <c r="HR94" i="14" s="1"/>
  <c r="HR99" i="14" s="1"/>
  <c r="HS94" i="14" s="1"/>
  <c r="HS99" i="14" s="1"/>
  <c r="HT94" i="14" s="1"/>
  <c r="HT99" i="14" s="1"/>
  <c r="HU94" i="14" s="1"/>
  <c r="HU99" i="14" s="1"/>
  <c r="HV94" i="14" s="1"/>
  <c r="HV99" i="14" s="1"/>
  <c r="HW94" i="14" s="1"/>
  <c r="HW99" i="14" s="1"/>
  <c r="HX94" i="14" s="1"/>
  <c r="HX99" i="14" s="1"/>
  <c r="HY94" i="14" s="1"/>
  <c r="HY99" i="14" s="1"/>
  <c r="HZ94" i="14" s="1"/>
  <c r="HZ99" i="14" s="1"/>
  <c r="IA94" i="14" s="1"/>
  <c r="IA99" i="14" s="1"/>
  <c r="IB94" i="14" s="1"/>
  <c r="IB99" i="14" s="1"/>
  <c r="IC94" i="14" s="1"/>
  <c r="IC99" i="14" s="1"/>
  <c r="ID94" i="14" s="1"/>
  <c r="ID99" i="14" s="1"/>
  <c r="IE94" i="14" s="1"/>
  <c r="IE99" i="14" s="1"/>
  <c r="IF94" i="14" s="1"/>
  <c r="IF99" i="14" s="1"/>
  <c r="IG94" i="14" s="1"/>
  <c r="IG99" i="14" s="1"/>
  <c r="IH94" i="14" s="1"/>
  <c r="IH99" i="14" s="1"/>
  <c r="II94" i="14" s="1"/>
  <c r="II99" i="14" s="1"/>
  <c r="IJ94" i="14" s="1"/>
  <c r="IJ99" i="14" s="1"/>
  <c r="IK94" i="14" s="1"/>
  <c r="IK99" i="14" s="1"/>
  <c r="IL94" i="14" s="1"/>
  <c r="IL99" i="14" s="1"/>
  <c r="IM94" i="14" s="1"/>
  <c r="IM99" i="14" s="1"/>
  <c r="IN94" i="14" s="1"/>
  <c r="IN99" i="14" s="1"/>
  <c r="IO94" i="14" s="1"/>
  <c r="IO99" i="14" s="1"/>
  <c r="IP94" i="14" s="1"/>
  <c r="IP99" i="14" s="1"/>
  <c r="IQ94" i="14" s="1"/>
  <c r="IQ99" i="14" s="1"/>
  <c r="IR94" i="14" s="1"/>
  <c r="IR99" i="14" s="1"/>
  <c r="IS94" i="14" s="1"/>
  <c r="IS99" i="14" s="1"/>
  <c r="IT94" i="14" s="1"/>
  <c r="IT99" i="14" s="1"/>
  <c r="IU94" i="14" s="1"/>
  <c r="IU99" i="14" s="1"/>
  <c r="IV94" i="14" s="1"/>
  <c r="IV99" i="14" s="1"/>
  <c r="IW94" i="14" s="1"/>
  <c r="IW99" i="14" s="1"/>
  <c r="IX94" i="14" s="1"/>
  <c r="H32" i="16"/>
  <c r="H44" i="16" s="1"/>
  <c r="G46" i="16"/>
  <c r="D43" i="16"/>
  <c r="D20" i="16"/>
  <c r="L20" i="16"/>
  <c r="J20" i="16"/>
  <c r="M20" i="16"/>
  <c r="G44" i="16"/>
  <c r="H33" i="16"/>
  <c r="I33" i="16" s="1"/>
  <c r="G47" i="16"/>
  <c r="N12" i="16"/>
  <c r="D59" i="16"/>
  <c r="D41" i="16"/>
  <c r="D90" i="16"/>
  <c r="E8" i="15"/>
  <c r="F8" i="15" s="1"/>
  <c r="G8" i="15" s="1"/>
  <c r="H8" i="15" s="1"/>
  <c r="I8" i="15" s="1"/>
  <c r="J8" i="15" s="1"/>
  <c r="K8" i="15" s="1"/>
  <c r="L8" i="15" s="1"/>
  <c r="M8" i="15" s="1"/>
  <c r="N8" i="15" s="1"/>
  <c r="O8" i="15" s="1"/>
  <c r="A16" i="15" s="1"/>
  <c r="D87" i="16"/>
  <c r="D56" i="16"/>
  <c r="D38" i="16"/>
  <c r="D111" i="16"/>
  <c r="D91" i="16"/>
  <c r="D60" i="16"/>
  <c r="D42" i="16"/>
  <c r="C20" i="16"/>
  <c r="K20" i="16"/>
  <c r="G45" i="16"/>
  <c r="C147" i="16"/>
  <c r="C58" i="16"/>
  <c r="C89" i="16"/>
  <c r="D46" i="16"/>
  <c r="D55" i="16"/>
  <c r="D37" i="16"/>
  <c r="D86" i="16"/>
  <c r="G20" i="16"/>
  <c r="O20" i="16"/>
  <c r="J12" i="16"/>
  <c r="D45" i="16"/>
  <c r="D5" i="16"/>
  <c r="L5" i="16"/>
  <c r="P9" i="17"/>
  <c r="F6" i="16"/>
  <c r="K12" i="16"/>
  <c r="D39" i="16"/>
  <c r="H12" i="16"/>
  <c r="I20" i="16"/>
  <c r="C40" i="16"/>
  <c r="C121" i="16"/>
  <c r="D121" i="16" s="1"/>
  <c r="C116" i="16"/>
  <c r="D116" i="16" s="1"/>
  <c r="C120" i="16"/>
  <c r="D120" i="16" s="1"/>
  <c r="C117" i="16"/>
  <c r="D117" i="16" s="1"/>
  <c r="D115" i="16"/>
  <c r="C119" i="16"/>
  <c r="D119" i="16" s="1"/>
  <c r="C118" i="16"/>
  <c r="D118" i="16" s="1"/>
  <c r="D127" i="16" s="1"/>
  <c r="C124" i="16"/>
  <c r="C143" i="16"/>
  <c r="C105" i="16"/>
  <c r="C54" i="16"/>
  <c r="C12" i="16"/>
  <c r="C38" i="16"/>
  <c r="G43" i="16"/>
  <c r="D147" i="16"/>
  <c r="F20" i="16"/>
  <c r="N20" i="16"/>
  <c r="C43" i="16"/>
  <c r="C100" i="16"/>
  <c r="D100" i="16" s="1"/>
  <c r="D109" i="16" s="1"/>
  <c r="C101" i="16"/>
  <c r="D101" i="16" s="1"/>
  <c r="D110" i="16" s="1"/>
  <c r="C97" i="16"/>
  <c r="D97" i="16" s="1"/>
  <c r="D106" i="16" s="1"/>
  <c r="C98" i="16"/>
  <c r="D98" i="16" s="1"/>
  <c r="D107" i="16" s="1"/>
  <c r="C99" i="16"/>
  <c r="D99" i="16" s="1"/>
  <c r="D108" i="16" s="1"/>
  <c r="E21" i="17"/>
  <c r="F21" i="17" s="1"/>
  <c r="G21" i="17" s="1"/>
  <c r="H21" i="17" s="1"/>
  <c r="I21" i="17" s="1"/>
  <c r="J21" i="17" s="1"/>
  <c r="K21" i="17" s="1"/>
  <c r="L21" i="17" s="1"/>
  <c r="M21" i="17" s="1"/>
  <c r="N21" i="17" s="1"/>
  <c r="O21" i="17" s="1"/>
  <c r="P20" i="17" s="1"/>
  <c r="P22" i="17"/>
  <c r="P25" i="17"/>
  <c r="E29" i="17"/>
  <c r="C88" i="16"/>
  <c r="C60" i="16"/>
  <c r="D96" i="16"/>
  <c r="P24" i="17"/>
  <c r="D29" i="17"/>
  <c r="D88" i="16"/>
  <c r="H20" i="16"/>
  <c r="P20" i="16"/>
  <c r="D58" i="16"/>
  <c r="C87" i="16"/>
  <c r="C111" i="16"/>
  <c r="C91" i="16"/>
  <c r="E12" i="16"/>
  <c r="M12" i="16"/>
  <c r="C57" i="16"/>
  <c r="F20" i="18"/>
  <c r="L21" i="18" s="1"/>
  <c r="C86" i="16"/>
  <c r="C55" i="16"/>
  <c r="C90" i="16"/>
  <c r="C59" i="16"/>
  <c r="C56" i="16"/>
  <c r="B29" i="17"/>
  <c r="J29" i="17"/>
  <c r="P10" i="17"/>
  <c r="P12" i="17"/>
  <c r="M29" i="17"/>
  <c r="P23" i="17"/>
  <c r="F8" i="18"/>
  <c r="I9" i="18" s="1"/>
  <c r="F17" i="18"/>
  <c r="K18" i="18" s="1"/>
  <c r="N29" i="17"/>
  <c r="E25" i="20"/>
  <c r="E19" i="20"/>
  <c r="E20" i="20" s="1"/>
  <c r="P8" i="17"/>
  <c r="P16" i="17"/>
  <c r="C29" i="17"/>
  <c r="K29" i="17"/>
  <c r="F29" i="17"/>
  <c r="F38" i="18"/>
  <c r="P27" i="17"/>
  <c r="F14" i="18"/>
  <c r="L15" i="18" s="1"/>
  <c r="H49" i="18"/>
  <c r="F49" i="18" s="1"/>
  <c r="P26" i="17"/>
  <c r="F11" i="18"/>
  <c r="D38" i="3" l="1"/>
  <c r="C11" i="31"/>
  <c r="L11" i="31" s="1"/>
  <c r="C15" i="31"/>
  <c r="L15" i="31" s="1"/>
  <c r="C10" i="31"/>
  <c r="C12" i="31"/>
  <c r="L12" i="31" s="1"/>
  <c r="C14" i="31"/>
  <c r="L14" i="31" s="1"/>
  <c r="C13" i="31"/>
  <c r="L13" i="31" s="1"/>
  <c r="C16" i="31"/>
  <c r="L16" i="31" s="1"/>
  <c r="D136" i="16"/>
  <c r="D145" i="16" s="1"/>
  <c r="D137" i="16"/>
  <c r="D146" i="16" s="1"/>
  <c r="D69" i="16" s="1"/>
  <c r="D135" i="16"/>
  <c r="D144" i="16" s="1"/>
  <c r="D139" i="16"/>
  <c r="D148" i="16" s="1"/>
  <c r="D140" i="16"/>
  <c r="D149" i="16" s="1"/>
  <c r="H47" i="16"/>
  <c r="C106" i="16"/>
  <c r="C144" i="16"/>
  <c r="C149" i="16"/>
  <c r="IY24" i="14"/>
  <c r="IY32" i="14" s="1"/>
  <c r="IZ24" i="14" s="1"/>
  <c r="IZ32" i="14" s="1"/>
  <c r="JA24" i="14" s="1"/>
  <c r="JA32" i="14" s="1"/>
  <c r="JB24" i="14" s="1"/>
  <c r="JB32" i="14" s="1"/>
  <c r="JC24" i="14" s="1"/>
  <c r="JC32" i="14" s="1"/>
  <c r="JD24" i="14" s="1"/>
  <c r="JD32" i="14" s="1"/>
  <c r="JE24" i="14" s="1"/>
  <c r="JE32" i="14" s="1"/>
  <c r="JF24" i="14" s="1"/>
  <c r="JF32" i="14" s="1"/>
  <c r="JG24" i="14" s="1"/>
  <c r="JG32" i="14" s="1"/>
  <c r="JH24" i="14" s="1"/>
  <c r="JH32" i="14" s="1"/>
  <c r="JI24" i="14" s="1"/>
  <c r="JI32" i="14" s="1"/>
  <c r="JJ24" i="14" s="1"/>
  <c r="JJ32" i="14" s="1"/>
  <c r="JK24" i="14" s="1"/>
  <c r="JK32" i="14" s="1"/>
  <c r="JL24" i="14" s="1"/>
  <c r="HC21" i="14"/>
  <c r="HD15" i="14" s="1"/>
  <c r="HD21" i="14" s="1"/>
  <c r="HE15" i="14" s="1"/>
  <c r="HE21" i="14" s="1"/>
  <c r="HF15" i="14" s="1"/>
  <c r="HF21" i="14" s="1"/>
  <c r="HG15" i="14" s="1"/>
  <c r="HG21" i="14" s="1"/>
  <c r="HH15" i="14" s="1"/>
  <c r="HH21" i="14" s="1"/>
  <c r="HI15" i="14" s="1"/>
  <c r="HI21" i="14" s="1"/>
  <c r="HJ15" i="14" s="1"/>
  <c r="HJ21" i="14" s="1"/>
  <c r="HK15" i="14" s="1"/>
  <c r="HK21" i="14" s="1"/>
  <c r="HL15" i="14" s="1"/>
  <c r="HL21" i="14" s="1"/>
  <c r="HM15" i="14" s="1"/>
  <c r="HM21" i="14" s="1"/>
  <c r="HN15" i="14" s="1"/>
  <c r="HN21" i="14" s="1"/>
  <c r="HO15" i="14" s="1"/>
  <c r="HO21" i="14" s="1"/>
  <c r="HP15" i="14" s="1"/>
  <c r="HP21" i="14" s="1"/>
  <c r="HQ15" i="14" s="1"/>
  <c r="HQ21" i="14" s="1"/>
  <c r="HR15" i="14" s="1"/>
  <c r="HR21" i="14" s="1"/>
  <c r="HS15" i="14" s="1"/>
  <c r="HS21" i="14" s="1"/>
  <c r="HT15" i="14" s="1"/>
  <c r="HT21" i="14" s="1"/>
  <c r="HU15" i="14" s="1"/>
  <c r="HU21" i="14" s="1"/>
  <c r="HV15" i="14" s="1"/>
  <c r="HV21" i="14" s="1"/>
  <c r="HW15" i="14" s="1"/>
  <c r="HW21" i="14" s="1"/>
  <c r="HX15" i="14" s="1"/>
  <c r="HX21" i="14" s="1"/>
  <c r="HY15" i="14" s="1"/>
  <c r="HY21" i="14" s="1"/>
  <c r="HZ15" i="14" s="1"/>
  <c r="HZ21" i="14" s="1"/>
  <c r="IA15" i="14" s="1"/>
  <c r="IA21" i="14" s="1"/>
  <c r="IB15" i="14" s="1"/>
  <c r="IB21" i="14" s="1"/>
  <c r="IC15" i="14" s="1"/>
  <c r="IC21" i="14" s="1"/>
  <c r="ID15" i="14" s="1"/>
  <c r="ID21" i="14" s="1"/>
  <c r="IE15" i="14" s="1"/>
  <c r="IE21" i="14" s="1"/>
  <c r="IF15" i="14" s="1"/>
  <c r="IF21" i="14" s="1"/>
  <c r="IG15" i="14" s="1"/>
  <c r="IG21" i="14" s="1"/>
  <c r="IH15" i="14" s="1"/>
  <c r="IH21" i="14" s="1"/>
  <c r="II15" i="14" s="1"/>
  <c r="II21" i="14" s="1"/>
  <c r="IJ15" i="14" s="1"/>
  <c r="IJ21" i="14" s="1"/>
  <c r="IK15" i="14" s="1"/>
  <c r="IK21" i="14" s="1"/>
  <c r="IL15" i="14" s="1"/>
  <c r="IL21" i="14" s="1"/>
  <c r="IM15" i="14" s="1"/>
  <c r="IM21" i="14" s="1"/>
  <c r="IN15" i="14" s="1"/>
  <c r="IN21" i="14" s="1"/>
  <c r="IO15" i="14" s="1"/>
  <c r="IO21" i="14" s="1"/>
  <c r="IP15" i="14" s="1"/>
  <c r="IP21" i="14" s="1"/>
  <c r="IQ15" i="14" s="1"/>
  <c r="IQ21" i="14" s="1"/>
  <c r="IR15" i="14" s="1"/>
  <c r="IR21" i="14" s="1"/>
  <c r="IS15" i="14" s="1"/>
  <c r="IS21" i="14" s="1"/>
  <c r="IT15" i="14" s="1"/>
  <c r="IT21" i="14" s="1"/>
  <c r="IU15" i="14" s="1"/>
  <c r="IU21" i="14" s="1"/>
  <c r="IV15" i="14" s="1"/>
  <c r="IV21" i="14" s="1"/>
  <c r="IW15" i="14" s="1"/>
  <c r="IW21" i="14" s="1"/>
  <c r="IX15" i="14" s="1"/>
  <c r="C146" i="16"/>
  <c r="C145" i="16"/>
  <c r="C107" i="16"/>
  <c r="J10" i="3"/>
  <c r="H10" i="3"/>
  <c r="I10" i="3"/>
  <c r="F10" i="3"/>
  <c r="G10" i="3"/>
  <c r="K10" i="3"/>
  <c r="P15" i="17"/>
  <c r="C130" i="16"/>
  <c r="F27" i="18"/>
  <c r="D130" i="16"/>
  <c r="C110" i="16"/>
  <c r="D128" i="16"/>
  <c r="D70" i="16" s="1"/>
  <c r="H18" i="18"/>
  <c r="H9" i="18"/>
  <c r="P12" i="15"/>
  <c r="L9" i="18"/>
  <c r="G12" i="16"/>
  <c r="C127" i="16"/>
  <c r="C148" i="16"/>
  <c r="C108" i="16"/>
  <c r="P29" i="17"/>
  <c r="C48" i="16"/>
  <c r="G18" i="18"/>
  <c r="K31" i="16"/>
  <c r="J43" i="16"/>
  <c r="M12" i="18"/>
  <c r="L12" i="18"/>
  <c r="K12" i="18"/>
  <c r="I12" i="18"/>
  <c r="J12" i="18"/>
  <c r="D143" i="16"/>
  <c r="D124" i="16"/>
  <c r="D105" i="16"/>
  <c r="D112" i="16" s="1"/>
  <c r="D54" i="16"/>
  <c r="D61" i="16" s="1"/>
  <c r="D12" i="16"/>
  <c r="D85" i="16"/>
  <c r="D36" i="16"/>
  <c r="D48" i="16" s="1"/>
  <c r="M18" i="18"/>
  <c r="L18" i="18"/>
  <c r="J18" i="18"/>
  <c r="I18" i="18"/>
  <c r="C109" i="16"/>
  <c r="D126" i="16"/>
  <c r="IW43" i="14"/>
  <c r="IX35" i="14" s="1"/>
  <c r="C61" i="16"/>
  <c r="M15" i="18"/>
  <c r="K15" i="18"/>
  <c r="I15" i="18"/>
  <c r="H15" i="18"/>
  <c r="M9" i="18"/>
  <c r="J9" i="18"/>
  <c r="G9" i="18"/>
  <c r="J15" i="18"/>
  <c r="M21" i="18"/>
  <c r="I21" i="18"/>
  <c r="H21" i="18"/>
  <c r="G21" i="18"/>
  <c r="K21" i="18"/>
  <c r="C126" i="16"/>
  <c r="C92" i="16"/>
  <c r="D125" i="16"/>
  <c r="P8" i="15"/>
  <c r="F12" i="16"/>
  <c r="K9" i="18"/>
  <c r="C129" i="16"/>
  <c r="C125" i="16"/>
  <c r="J21" i="18"/>
  <c r="L12" i="16"/>
  <c r="C128" i="16"/>
  <c r="D129" i="16"/>
  <c r="J33" i="16"/>
  <c r="I47" i="16"/>
  <c r="C66" i="16"/>
  <c r="H12" i="18"/>
  <c r="I32" i="16"/>
  <c r="H46" i="16"/>
  <c r="G15" i="18"/>
  <c r="E10" i="3"/>
  <c r="H45" i="16"/>
  <c r="G12" i="18"/>
  <c r="D113" i="14"/>
  <c r="D114" i="14"/>
  <c r="E56" i="14"/>
  <c r="BX65" i="14"/>
  <c r="BX66" i="14" s="1"/>
  <c r="BX112" i="14" s="1"/>
  <c r="BX11" i="14"/>
  <c r="BX12" i="14" s="1"/>
  <c r="BY6" i="14" s="1"/>
  <c r="BY12" i="14" s="1"/>
  <c r="BZ6" i="14" s="1"/>
  <c r="BZ12" i="14" s="1"/>
  <c r="CA6" i="14" s="1"/>
  <c r="CA12" i="14" s="1"/>
  <c r="CB6" i="14" s="1"/>
  <c r="CB12" i="14" s="1"/>
  <c r="CC6" i="14" s="1"/>
  <c r="CC12" i="14" s="1"/>
  <c r="CD6" i="14" s="1"/>
  <c r="CD12" i="14" s="1"/>
  <c r="CE6" i="14" s="1"/>
  <c r="CE12" i="14" s="1"/>
  <c r="CF6" i="14" s="1"/>
  <c r="CF12" i="14" s="1"/>
  <c r="CG6" i="14" s="1"/>
  <c r="CG12" i="14" s="1"/>
  <c r="CH6" i="14" s="1"/>
  <c r="CH12" i="14" s="1"/>
  <c r="CI6" i="14" s="1"/>
  <c r="CI12" i="14" s="1"/>
  <c r="CJ6" i="14" s="1"/>
  <c r="CJ12" i="14" s="1"/>
  <c r="CK6" i="14" s="1"/>
  <c r="CK12" i="14" s="1"/>
  <c r="CL6" i="14" s="1"/>
  <c r="CL12" i="14" s="1"/>
  <c r="CM6" i="14" s="1"/>
  <c r="CM12" i="14" s="1"/>
  <c r="CN6" i="14" s="1"/>
  <c r="CN12" i="14" s="1"/>
  <c r="CO6" i="14" s="1"/>
  <c r="CO12" i="14" s="1"/>
  <c r="CP6" i="14" s="1"/>
  <c r="CP12" i="14" s="1"/>
  <c r="CQ6" i="14" s="1"/>
  <c r="CQ12" i="14" s="1"/>
  <c r="CR6" i="14" s="1"/>
  <c r="CR12" i="14" s="1"/>
  <c r="CS6" i="14" s="1"/>
  <c r="CS12" i="14" s="1"/>
  <c r="CT6" i="14" s="1"/>
  <c r="CT12" i="14" s="1"/>
  <c r="CU6" i="14" s="1"/>
  <c r="CU12" i="14" s="1"/>
  <c r="CV6" i="14" s="1"/>
  <c r="CV12" i="14" s="1"/>
  <c r="CW6" i="14" s="1"/>
  <c r="CW12" i="14" s="1"/>
  <c r="CX6" i="14" s="1"/>
  <c r="CX12" i="14" s="1"/>
  <c r="CY6" i="14" s="1"/>
  <c r="CY12" i="14" s="1"/>
  <c r="CZ6" i="14" s="1"/>
  <c r="CZ12" i="14" s="1"/>
  <c r="DA6" i="14" s="1"/>
  <c r="DA12" i="14" s="1"/>
  <c r="DB6" i="14" s="1"/>
  <c r="DB12" i="14" s="1"/>
  <c r="DC6" i="14" s="1"/>
  <c r="DC12" i="14" s="1"/>
  <c r="DD6" i="14" s="1"/>
  <c r="DD12" i="14" s="1"/>
  <c r="DE6" i="14" s="1"/>
  <c r="DE12" i="14" s="1"/>
  <c r="DF6" i="14" s="1"/>
  <c r="DF12" i="14" s="1"/>
  <c r="DG6" i="14" s="1"/>
  <c r="DG12" i="14" s="1"/>
  <c r="DH6" i="14" s="1"/>
  <c r="DH12" i="14" s="1"/>
  <c r="DI6" i="14" s="1"/>
  <c r="DI12" i="14" s="1"/>
  <c r="DJ6" i="14" s="1"/>
  <c r="DJ12" i="14" s="1"/>
  <c r="DK6" i="14" s="1"/>
  <c r="DK12" i="14" s="1"/>
  <c r="DL6" i="14" s="1"/>
  <c r="DL12" i="14" s="1"/>
  <c r="DM6" i="14" s="1"/>
  <c r="DM12" i="14" s="1"/>
  <c r="DN6" i="14" s="1"/>
  <c r="DN12" i="14" s="1"/>
  <c r="DO6" i="14" s="1"/>
  <c r="DO12" i="14" s="1"/>
  <c r="DP6" i="14" s="1"/>
  <c r="DP12" i="14" s="1"/>
  <c r="DQ6" i="14" s="1"/>
  <c r="DQ12" i="14" s="1"/>
  <c r="DR6" i="14" s="1"/>
  <c r="DR12" i="14" s="1"/>
  <c r="DS6" i="14" s="1"/>
  <c r="DS12" i="14" s="1"/>
  <c r="DT6" i="14" s="1"/>
  <c r="DT12" i="14" s="1"/>
  <c r="DU6" i="14" s="1"/>
  <c r="DU12" i="14" s="1"/>
  <c r="DV6" i="14" s="1"/>
  <c r="DV12" i="14" s="1"/>
  <c r="DW6" i="14" s="1"/>
  <c r="DW12" i="14" s="1"/>
  <c r="DX6" i="14" s="1"/>
  <c r="DX12" i="14" s="1"/>
  <c r="DY6" i="14" s="1"/>
  <c r="DY12" i="14" s="1"/>
  <c r="DZ6" i="14" s="1"/>
  <c r="DZ12" i="14" s="1"/>
  <c r="EA6" i="14" s="1"/>
  <c r="EA12" i="14" s="1"/>
  <c r="EB6" i="14" s="1"/>
  <c r="EB12" i="14" s="1"/>
  <c r="EC6" i="14" s="1"/>
  <c r="EC12" i="14" s="1"/>
  <c r="ED6" i="14" s="1"/>
  <c r="ED12" i="14" s="1"/>
  <c r="EE6" i="14" s="1"/>
  <c r="EE12" i="14" s="1"/>
  <c r="EF6" i="14" s="1"/>
  <c r="EF12" i="14" s="1"/>
  <c r="EG6" i="14" s="1"/>
  <c r="EG12" i="14" s="1"/>
  <c r="EH6" i="14" s="1"/>
  <c r="EH12" i="14" s="1"/>
  <c r="EI6" i="14" s="1"/>
  <c r="EI12" i="14" s="1"/>
  <c r="EJ6" i="14" s="1"/>
  <c r="EJ12" i="14" s="1"/>
  <c r="EK6" i="14" s="1"/>
  <c r="EK12" i="14" s="1"/>
  <c r="EL6" i="14" s="1"/>
  <c r="EL12" i="14" s="1"/>
  <c r="EM6" i="14" s="1"/>
  <c r="EM12" i="14" s="1"/>
  <c r="EN6" i="14" s="1"/>
  <c r="EN12" i="14" s="1"/>
  <c r="EO6" i="14" s="1"/>
  <c r="EO12" i="14" s="1"/>
  <c r="EP6" i="14" s="1"/>
  <c r="EP12" i="14" s="1"/>
  <c r="EQ6" i="14" s="1"/>
  <c r="EQ12" i="14" s="1"/>
  <c r="ER6" i="14" s="1"/>
  <c r="ER12" i="14" s="1"/>
  <c r="ES6" i="14" s="1"/>
  <c r="ES12" i="14" s="1"/>
  <c r="ET6" i="14" s="1"/>
  <c r="ET12" i="14" s="1"/>
  <c r="EU6" i="14" s="1"/>
  <c r="EU12" i="14" s="1"/>
  <c r="EV6" i="14" s="1"/>
  <c r="EV12" i="14" s="1"/>
  <c r="EW6" i="14" s="1"/>
  <c r="EW12" i="14" s="1"/>
  <c r="EX6" i="14" s="1"/>
  <c r="EX12" i="14" s="1"/>
  <c r="EY6" i="14" s="1"/>
  <c r="EY12" i="14" s="1"/>
  <c r="EZ6" i="14" s="1"/>
  <c r="EZ12" i="14" s="1"/>
  <c r="FA6" i="14" s="1"/>
  <c r="FA12" i="14" s="1"/>
  <c r="FB6" i="14" s="1"/>
  <c r="FB12" i="14" s="1"/>
  <c r="FC6" i="14" s="1"/>
  <c r="FC12" i="14" s="1"/>
  <c r="FD6" i="14" s="1"/>
  <c r="FD12" i="14" s="1"/>
  <c r="FE6" i="14" s="1"/>
  <c r="FE12" i="14" s="1"/>
  <c r="FF6" i="14" s="1"/>
  <c r="FF12" i="14" s="1"/>
  <c r="FG6" i="14" s="1"/>
  <c r="FG12" i="14" s="1"/>
  <c r="FH6" i="14" s="1"/>
  <c r="FH12" i="14" s="1"/>
  <c r="FI6" i="14" s="1"/>
  <c r="FI12" i="14" s="1"/>
  <c r="FJ6" i="14" s="1"/>
  <c r="FJ12" i="14" s="1"/>
  <c r="FK6" i="14" s="1"/>
  <c r="FK12" i="14" s="1"/>
  <c r="FL6" i="14" s="1"/>
  <c r="FL12" i="14" s="1"/>
  <c r="FM6" i="14" s="1"/>
  <c r="FM12" i="14" s="1"/>
  <c r="FN6" i="14" s="1"/>
  <c r="FN12" i="14" s="1"/>
  <c r="FO6" i="14" s="1"/>
  <c r="FO12" i="14" s="1"/>
  <c r="FP6" i="14" s="1"/>
  <c r="FP12" i="14" s="1"/>
  <c r="FQ6" i="14" s="1"/>
  <c r="FQ12" i="14" s="1"/>
  <c r="FR6" i="14" s="1"/>
  <c r="FR12" i="14" s="1"/>
  <c r="FS6" i="14" s="1"/>
  <c r="FS12" i="14" s="1"/>
  <c r="FT6" i="14" s="1"/>
  <c r="FT12" i="14" s="1"/>
  <c r="FU6" i="14" s="1"/>
  <c r="FU12" i="14" s="1"/>
  <c r="FV6" i="14" s="1"/>
  <c r="FV12" i="14" s="1"/>
  <c r="FW6" i="14" s="1"/>
  <c r="FW12" i="14" s="1"/>
  <c r="FX6" i="14" s="1"/>
  <c r="FX12" i="14" s="1"/>
  <c r="FY6" i="14" s="1"/>
  <c r="FY12" i="14" s="1"/>
  <c r="FZ6" i="14" s="1"/>
  <c r="FZ12" i="14" s="1"/>
  <c r="GA6" i="14" s="1"/>
  <c r="GA12" i="14" s="1"/>
  <c r="GB6" i="14" s="1"/>
  <c r="GB12" i="14" s="1"/>
  <c r="GC6" i="14" s="1"/>
  <c r="GC12" i="14" s="1"/>
  <c r="GD6" i="14" s="1"/>
  <c r="GD12" i="14" s="1"/>
  <c r="GE6" i="14" s="1"/>
  <c r="GE12" i="14" s="1"/>
  <c r="GF6" i="14" s="1"/>
  <c r="GF12" i="14" s="1"/>
  <c r="GG6" i="14" s="1"/>
  <c r="GG12" i="14" s="1"/>
  <c r="GH6" i="14" s="1"/>
  <c r="GH12" i="14" s="1"/>
  <c r="GI6" i="14" s="1"/>
  <c r="GI12" i="14" s="1"/>
  <c r="GJ6" i="14" s="1"/>
  <c r="GJ12" i="14" s="1"/>
  <c r="GK6" i="14" s="1"/>
  <c r="GK12" i="14" s="1"/>
  <c r="GL6" i="14" s="1"/>
  <c r="GL12" i="14" s="1"/>
  <c r="GM6" i="14" s="1"/>
  <c r="GM12" i="14" s="1"/>
  <c r="GN6" i="14" s="1"/>
  <c r="GN12" i="14" s="1"/>
  <c r="GO6" i="14" s="1"/>
  <c r="GO12" i="14" s="1"/>
  <c r="GP6" i="14" s="1"/>
  <c r="GP12" i="14" s="1"/>
  <c r="GQ6" i="14" s="1"/>
  <c r="GQ12" i="14" s="1"/>
  <c r="GR6" i="14" s="1"/>
  <c r="GR12" i="14" s="1"/>
  <c r="GS6" i="14" s="1"/>
  <c r="GS12" i="14" s="1"/>
  <c r="GT6" i="14" s="1"/>
  <c r="GT12" i="14" s="1"/>
  <c r="GU6" i="14" s="1"/>
  <c r="GU12" i="14" s="1"/>
  <c r="GV6" i="14" s="1"/>
  <c r="GV12" i="14" s="1"/>
  <c r="GW6" i="14" s="1"/>
  <c r="GW12" i="14" s="1"/>
  <c r="GX6" i="14" s="1"/>
  <c r="GX12" i="14" s="1"/>
  <c r="GY6" i="14" s="1"/>
  <c r="GY12" i="14" s="1"/>
  <c r="GZ6" i="14" s="1"/>
  <c r="GZ12" i="14" s="1"/>
  <c r="HA6" i="14" s="1"/>
  <c r="HA12" i="14" s="1"/>
  <c r="HB6" i="14" s="1"/>
  <c r="HB12" i="14" s="1"/>
  <c r="HC6" i="14" s="1"/>
  <c r="HC12" i="14" s="1"/>
  <c r="HD6" i="14" s="1"/>
  <c r="HD12" i="14" s="1"/>
  <c r="HE6" i="14" s="1"/>
  <c r="HE12" i="14" s="1"/>
  <c r="HF6" i="14" s="1"/>
  <c r="HF12" i="14" s="1"/>
  <c r="HG6" i="14" s="1"/>
  <c r="HG12" i="14" s="1"/>
  <c r="HH6" i="14" s="1"/>
  <c r="HH12" i="14" s="1"/>
  <c r="HI6" i="14" s="1"/>
  <c r="HI12" i="14" s="1"/>
  <c r="HJ6" i="14" s="1"/>
  <c r="HJ12" i="14" s="1"/>
  <c r="HK6" i="14" s="1"/>
  <c r="HK12" i="14" s="1"/>
  <c r="HL6" i="14" s="1"/>
  <c r="HL12" i="14" s="1"/>
  <c r="HM6" i="14" s="1"/>
  <c r="HM12" i="14" s="1"/>
  <c r="HN6" i="14" s="1"/>
  <c r="HN12" i="14" s="1"/>
  <c r="HO6" i="14" s="1"/>
  <c r="HO12" i="14" s="1"/>
  <c r="HP6" i="14" s="1"/>
  <c r="HP12" i="14" s="1"/>
  <c r="HQ6" i="14" s="1"/>
  <c r="HQ12" i="14" s="1"/>
  <c r="HR6" i="14" s="1"/>
  <c r="HR12" i="14" s="1"/>
  <c r="HS6" i="14" s="1"/>
  <c r="HS12" i="14" s="1"/>
  <c r="HT6" i="14" s="1"/>
  <c r="HT12" i="14" s="1"/>
  <c r="HU6" i="14" s="1"/>
  <c r="HU12" i="14" s="1"/>
  <c r="HV6" i="14" s="1"/>
  <c r="HV12" i="14" s="1"/>
  <c r="HW6" i="14" s="1"/>
  <c r="HW12" i="14" s="1"/>
  <c r="HX6" i="14" s="1"/>
  <c r="HX12" i="14" s="1"/>
  <c r="HY6" i="14" s="1"/>
  <c r="HY12" i="14" s="1"/>
  <c r="HZ6" i="14" s="1"/>
  <c r="HZ12" i="14" s="1"/>
  <c r="IA6" i="14" s="1"/>
  <c r="IA12" i="14" s="1"/>
  <c r="IB6" i="14" s="1"/>
  <c r="IB12" i="14" s="1"/>
  <c r="IC6" i="14" s="1"/>
  <c r="IC12" i="14" s="1"/>
  <c r="ID6" i="14" s="1"/>
  <c r="ID12" i="14" s="1"/>
  <c r="IE6" i="14" s="1"/>
  <c r="IE12" i="14" s="1"/>
  <c r="IF6" i="14" s="1"/>
  <c r="IF12" i="14" s="1"/>
  <c r="IG6" i="14" s="1"/>
  <c r="IG12" i="14" s="1"/>
  <c r="IH6" i="14" s="1"/>
  <c r="IH12" i="14" s="1"/>
  <c r="II6" i="14" s="1"/>
  <c r="II12" i="14" s="1"/>
  <c r="IJ6" i="14" s="1"/>
  <c r="IJ12" i="14" s="1"/>
  <c r="IK6" i="14" s="1"/>
  <c r="IK12" i="14" s="1"/>
  <c r="IL6" i="14" s="1"/>
  <c r="IL12" i="14" s="1"/>
  <c r="IM6" i="14" s="1"/>
  <c r="IM12" i="14" s="1"/>
  <c r="IN6" i="14" s="1"/>
  <c r="IN12" i="14" s="1"/>
  <c r="IO6" i="14" s="1"/>
  <c r="IO12" i="14" s="1"/>
  <c r="IP6" i="14" s="1"/>
  <c r="IP12" i="14" s="1"/>
  <c r="IQ6" i="14" s="1"/>
  <c r="IQ12" i="14" s="1"/>
  <c r="IR6" i="14" s="1"/>
  <c r="IR12" i="14" s="1"/>
  <c r="IS6" i="14" s="1"/>
  <c r="IS12" i="14" s="1"/>
  <c r="IT6" i="14" s="1"/>
  <c r="IT12" i="14" s="1"/>
  <c r="IU6" i="14" s="1"/>
  <c r="IU12" i="14" s="1"/>
  <c r="IV6" i="14" s="1"/>
  <c r="IV12" i="14" s="1"/>
  <c r="IW6" i="14" s="1"/>
  <c r="J17" i="29" l="1"/>
  <c r="D68" i="16"/>
  <c r="J16" i="29"/>
  <c r="J15" i="29"/>
  <c r="J12" i="29"/>
  <c r="V12" i="29" s="1"/>
  <c r="J13" i="29"/>
  <c r="L10" i="31"/>
  <c r="C17" i="31"/>
  <c r="J14" i="29"/>
  <c r="D150" i="16"/>
  <c r="D71" i="16"/>
  <c r="D67" i="16"/>
  <c r="D72" i="16"/>
  <c r="JK90" i="14"/>
  <c r="IX90" i="14"/>
  <c r="IX91" i="14" s="1"/>
  <c r="IY81" i="14" s="1"/>
  <c r="IY91" i="14" s="1"/>
  <c r="IZ81" i="14" s="1"/>
  <c r="IZ91" i="14" s="1"/>
  <c r="JA81" i="14" s="1"/>
  <c r="JA91" i="14" s="1"/>
  <c r="JB81" i="14" s="1"/>
  <c r="JB91" i="14" s="1"/>
  <c r="JC81" i="14" s="1"/>
  <c r="JC91" i="14" s="1"/>
  <c r="JD81" i="14" s="1"/>
  <c r="JD91" i="14" s="1"/>
  <c r="JE81" i="14" s="1"/>
  <c r="JE91" i="14" s="1"/>
  <c r="JF81" i="14" s="1"/>
  <c r="JF91" i="14" s="1"/>
  <c r="JG81" i="14" s="1"/>
  <c r="JG91" i="14" s="1"/>
  <c r="JH81" i="14" s="1"/>
  <c r="JH91" i="14" s="1"/>
  <c r="JI81" i="14" s="1"/>
  <c r="JI91" i="14" s="1"/>
  <c r="JJ81" i="14" s="1"/>
  <c r="JJ90" i="14"/>
  <c r="IX77" i="14"/>
  <c r="IX78" i="14" s="1"/>
  <c r="IY70" i="14" s="1"/>
  <c r="IY78" i="14" s="1"/>
  <c r="JJ77" i="14"/>
  <c r="F24" i="3"/>
  <c r="C72" i="16"/>
  <c r="G24" i="3"/>
  <c r="I24" i="3"/>
  <c r="J24" i="3"/>
  <c r="K24" i="3"/>
  <c r="H24" i="3"/>
  <c r="C69" i="16"/>
  <c r="C150" i="16"/>
  <c r="D115" i="14"/>
  <c r="C68" i="16"/>
  <c r="C112" i="16"/>
  <c r="C131" i="16"/>
  <c r="IX98" i="14"/>
  <c r="IX99" i="14" s="1"/>
  <c r="IY94" i="14" s="1"/>
  <c r="IY99" i="14" s="1"/>
  <c r="IZ94" i="14" s="1"/>
  <c r="IZ99" i="14" s="1"/>
  <c r="JA94" i="14" s="1"/>
  <c r="JA99" i="14" s="1"/>
  <c r="JB94" i="14" s="1"/>
  <c r="JB99" i="14" s="1"/>
  <c r="JC94" i="14" s="1"/>
  <c r="JC99" i="14" s="1"/>
  <c r="JD94" i="14" s="1"/>
  <c r="JD99" i="14" s="1"/>
  <c r="JE94" i="14" s="1"/>
  <c r="JE99" i="14" s="1"/>
  <c r="JF94" i="14" s="1"/>
  <c r="JF99" i="14" s="1"/>
  <c r="JG94" i="14" s="1"/>
  <c r="JG99" i="14" s="1"/>
  <c r="JH94" i="14" s="1"/>
  <c r="JH99" i="14" s="1"/>
  <c r="JI94" i="14" s="1"/>
  <c r="JI99" i="14" s="1"/>
  <c r="JJ94" i="14" s="1"/>
  <c r="C71" i="16"/>
  <c r="L31" i="16"/>
  <c r="K43" i="16"/>
  <c r="D92" i="16"/>
  <c r="D66" i="16"/>
  <c r="IX58" i="14"/>
  <c r="IW12" i="14"/>
  <c r="IX6" i="14" s="1"/>
  <c r="C70" i="16"/>
  <c r="C67" i="16"/>
  <c r="D131" i="16"/>
  <c r="K33" i="16"/>
  <c r="J47" i="16"/>
  <c r="E24" i="3"/>
  <c r="D10" i="3"/>
  <c r="J32" i="16"/>
  <c r="I44" i="16"/>
  <c r="I46" i="16"/>
  <c r="I45" i="16"/>
  <c r="E111" i="14"/>
  <c r="E67" i="14"/>
  <c r="IX42" i="14"/>
  <c r="IX43" i="14" s="1"/>
  <c r="IY35" i="14" s="1"/>
  <c r="IY43" i="14" s="1"/>
  <c r="IZ35" i="14" s="1"/>
  <c r="IZ43" i="14" s="1"/>
  <c r="JA35" i="14" s="1"/>
  <c r="JA43" i="14" s="1"/>
  <c r="JB35" i="14" s="1"/>
  <c r="JB43" i="14" s="1"/>
  <c r="JC35" i="14" s="1"/>
  <c r="JC43" i="14" s="1"/>
  <c r="JD35" i="14" s="1"/>
  <c r="JD43" i="14" s="1"/>
  <c r="JE35" i="14" s="1"/>
  <c r="JE43" i="14" s="1"/>
  <c r="JF35" i="14" s="1"/>
  <c r="JF43" i="14" s="1"/>
  <c r="JG35" i="14" s="1"/>
  <c r="JG43" i="14" s="1"/>
  <c r="JH35" i="14" s="1"/>
  <c r="JH43" i="14" s="1"/>
  <c r="JI35" i="14" s="1"/>
  <c r="IX106" i="14"/>
  <c r="IX107" i="14" s="1"/>
  <c r="IY102" i="14" s="1"/>
  <c r="IY107" i="14" s="1"/>
  <c r="IZ102" i="14" s="1"/>
  <c r="IZ107" i="14" s="1"/>
  <c r="JA102" i="14" s="1"/>
  <c r="JA107" i="14" s="1"/>
  <c r="JB102" i="14" s="1"/>
  <c r="JB107" i="14" s="1"/>
  <c r="JC102" i="14" s="1"/>
  <c r="JC107" i="14" s="1"/>
  <c r="JD102" i="14" s="1"/>
  <c r="JD107" i="14" s="1"/>
  <c r="JE102" i="14" s="1"/>
  <c r="JE107" i="14" s="1"/>
  <c r="JF102" i="14" s="1"/>
  <c r="JF107" i="14" s="1"/>
  <c r="JG102" i="14" s="1"/>
  <c r="JG107" i="14" s="1"/>
  <c r="JH102" i="14" s="1"/>
  <c r="JH107" i="14" s="1"/>
  <c r="JI102" i="14" s="1"/>
  <c r="JI107" i="14" s="1"/>
  <c r="JJ102" i="14" s="1"/>
  <c r="J30" i="29" l="1"/>
  <c r="V14" i="29"/>
  <c r="V30" i="29" s="1"/>
  <c r="J31" i="29"/>
  <c r="V15" i="29"/>
  <c r="V31" i="29" s="1"/>
  <c r="J11" i="29"/>
  <c r="L17" i="31"/>
  <c r="J29" i="29"/>
  <c r="V13" i="29"/>
  <c r="V29" i="29" s="1"/>
  <c r="J32" i="29"/>
  <c r="V16" i="29"/>
  <c r="V32" i="29" s="1"/>
  <c r="J33" i="29"/>
  <c r="V17" i="29"/>
  <c r="V33" i="29" s="1"/>
  <c r="D73" i="16"/>
  <c r="JK58" i="14"/>
  <c r="JJ91" i="14"/>
  <c r="IX20" i="14"/>
  <c r="IX21" i="14" s="1"/>
  <c r="IY15" i="14" s="1"/>
  <c r="IY21" i="14" s="1"/>
  <c r="IZ15" i="14" s="1"/>
  <c r="IZ21" i="14" s="1"/>
  <c r="JA15" i="14" s="1"/>
  <c r="JA21" i="14" s="1"/>
  <c r="JB15" i="14" s="1"/>
  <c r="JB21" i="14" s="1"/>
  <c r="JC15" i="14" s="1"/>
  <c r="JC21" i="14" s="1"/>
  <c r="JD15" i="14" s="1"/>
  <c r="JD21" i="14" s="1"/>
  <c r="JE15" i="14" s="1"/>
  <c r="JE21" i="14" s="1"/>
  <c r="JF15" i="14" s="1"/>
  <c r="JF21" i="14" s="1"/>
  <c r="JG15" i="14" s="1"/>
  <c r="JG21" i="14" s="1"/>
  <c r="JH15" i="14" s="1"/>
  <c r="JH21" i="14" s="1"/>
  <c r="JI15" i="14" s="1"/>
  <c r="JI21" i="14" s="1"/>
  <c r="JJ15" i="14" s="1"/>
  <c r="JJ58" i="14"/>
  <c r="JI43" i="14"/>
  <c r="JJ35" i="14" s="1"/>
  <c r="JJ42" i="14" s="1"/>
  <c r="D24" i="3"/>
  <c r="IZ70" i="14"/>
  <c r="C73" i="16"/>
  <c r="M31" i="16"/>
  <c r="L43" i="16"/>
  <c r="G19" i="4"/>
  <c r="E19" i="4"/>
  <c r="I19" i="4"/>
  <c r="K32" i="16"/>
  <c r="J45" i="16"/>
  <c r="J46" i="16"/>
  <c r="J44" i="16"/>
  <c r="L33" i="16"/>
  <c r="K47" i="16"/>
  <c r="H19" i="4"/>
  <c r="C19" i="4"/>
  <c r="E114" i="14"/>
  <c r="E113" i="14"/>
  <c r="E115" i="14" s="1"/>
  <c r="F56" i="14"/>
  <c r="F19" i="4"/>
  <c r="V11" i="29" l="1"/>
  <c r="J25" i="29"/>
  <c r="J28" i="29"/>
  <c r="J36" i="29" s="1"/>
  <c r="JJ20" i="14"/>
  <c r="JJ21" i="14" s="1"/>
  <c r="JK15" i="14" s="1"/>
  <c r="JJ106" i="14"/>
  <c r="JJ107" i="14" s="1"/>
  <c r="JK102" i="14" s="1"/>
  <c r="JK81" i="14"/>
  <c r="JK91" i="14" s="1"/>
  <c r="JJ43" i="14"/>
  <c r="JK35" i="14" s="1"/>
  <c r="IZ78" i="14"/>
  <c r="N31" i="16"/>
  <c r="M43" i="16"/>
  <c r="F111" i="14"/>
  <c r="F67" i="14"/>
  <c r="D20" i="4"/>
  <c r="D19" i="4"/>
  <c r="K44" i="16"/>
  <c r="K45" i="16"/>
  <c r="L32" i="16"/>
  <c r="K46" i="16"/>
  <c r="M33" i="16"/>
  <c r="L47" i="16"/>
  <c r="IX65" i="14"/>
  <c r="IX11" i="14"/>
  <c r="IX12" i="14" s="1"/>
  <c r="IY6" i="14" s="1"/>
  <c r="IY12" i="14" s="1"/>
  <c r="IZ6" i="14" s="1"/>
  <c r="IZ12" i="14" s="1"/>
  <c r="JA6" i="14" s="1"/>
  <c r="JA12" i="14" s="1"/>
  <c r="JB6" i="14" s="1"/>
  <c r="JB12" i="14" s="1"/>
  <c r="JC6" i="14" s="1"/>
  <c r="JC12" i="14" s="1"/>
  <c r="JD6" i="14" s="1"/>
  <c r="JD12" i="14" s="1"/>
  <c r="JE6" i="14" s="1"/>
  <c r="JE12" i="14" s="1"/>
  <c r="JF6" i="14" s="1"/>
  <c r="JF12" i="14" s="1"/>
  <c r="JG6" i="14" s="1"/>
  <c r="JG12" i="14" s="1"/>
  <c r="JH6" i="14" s="1"/>
  <c r="JH12" i="14" s="1"/>
  <c r="JI6" i="14" s="1"/>
  <c r="V25" i="29" l="1"/>
  <c r="V28" i="29"/>
  <c r="V36" i="29" s="1"/>
  <c r="IX66" i="14"/>
  <c r="IX112" i="14" s="1"/>
  <c r="JK20" i="14"/>
  <c r="JK21" i="14" s="1"/>
  <c r="JL81" i="14"/>
  <c r="JK106" i="14"/>
  <c r="JK107" i="14" s="1"/>
  <c r="JI12" i="14"/>
  <c r="JJ6" i="14" s="1"/>
  <c r="JJ65" i="14" s="1"/>
  <c r="JA70" i="14"/>
  <c r="O31" i="16"/>
  <c r="N43" i="16"/>
  <c r="N33" i="16"/>
  <c r="M47" i="16"/>
  <c r="F114" i="14"/>
  <c r="F113" i="14"/>
  <c r="F115" i="14" s="1"/>
  <c r="G56" i="14"/>
  <c r="M32" i="16"/>
  <c r="L45" i="16"/>
  <c r="L44" i="16"/>
  <c r="L46" i="16"/>
  <c r="JL15" i="14" l="1"/>
  <c r="JK42" i="14"/>
  <c r="JK43" i="14" s="1"/>
  <c r="JL102" i="14"/>
  <c r="JJ66" i="14"/>
  <c r="JJ11" i="14"/>
  <c r="JJ12" i="14" s="1"/>
  <c r="JK6" i="14" s="1"/>
  <c r="JA78" i="14"/>
  <c r="P31" i="16"/>
  <c r="P43" i="16" s="1"/>
  <c r="O43" i="16"/>
  <c r="M45" i="16"/>
  <c r="M46" i="16"/>
  <c r="N32" i="16"/>
  <c r="M44" i="16"/>
  <c r="O33" i="16"/>
  <c r="N47" i="16"/>
  <c r="G111" i="14"/>
  <c r="G67" i="14"/>
  <c r="JL35" i="14" l="1"/>
  <c r="JB70" i="14"/>
  <c r="P33" i="16"/>
  <c r="P47" i="16" s="1"/>
  <c r="O47" i="16"/>
  <c r="G114" i="14"/>
  <c r="G113" i="14"/>
  <c r="H56" i="14"/>
  <c r="O32" i="16"/>
  <c r="N46" i="16"/>
  <c r="N45" i="16"/>
  <c r="N44" i="16"/>
  <c r="JK11" i="14" l="1"/>
  <c r="JK12" i="14" s="1"/>
  <c r="JL6" i="14" s="1"/>
  <c r="JK65" i="14"/>
  <c r="JK66" i="14" s="1"/>
  <c r="G115" i="14"/>
  <c r="JB78" i="14"/>
  <c r="P32" i="16"/>
  <c r="O46" i="16"/>
  <c r="O45" i="16"/>
  <c r="O44" i="16"/>
  <c r="H111" i="14"/>
  <c r="H67" i="14"/>
  <c r="JC70" i="14" l="1"/>
  <c r="H114" i="14"/>
  <c r="H113" i="14"/>
  <c r="I56" i="14"/>
  <c r="P46" i="16"/>
  <c r="P45" i="16"/>
  <c r="P44" i="16"/>
  <c r="H115" i="14" l="1"/>
  <c r="JC78" i="14"/>
  <c r="I111" i="14"/>
  <c r="I67" i="14"/>
  <c r="JD70" i="14" l="1"/>
  <c r="I113" i="14"/>
  <c r="I114" i="14"/>
  <c r="J56" i="14"/>
  <c r="JD78" i="14" l="1"/>
  <c r="J111" i="14"/>
  <c r="J67" i="14"/>
  <c r="I115" i="14"/>
  <c r="JE70" i="14" l="1"/>
  <c r="J113" i="14"/>
  <c r="J114" i="14"/>
  <c r="K56" i="14"/>
  <c r="JE78" i="14" l="1"/>
  <c r="K111" i="14"/>
  <c r="K67" i="14"/>
  <c r="J115" i="14"/>
  <c r="JF70" i="14" l="1"/>
  <c r="K113" i="14"/>
  <c r="K114" i="14"/>
  <c r="L56" i="14"/>
  <c r="JF78" i="14" l="1"/>
  <c r="L111" i="14"/>
  <c r="L67" i="14"/>
  <c r="K115" i="14"/>
  <c r="JG70" i="14" l="1"/>
  <c r="L113" i="14"/>
  <c r="L114" i="14"/>
  <c r="M56" i="14"/>
  <c r="JG78" i="14" l="1"/>
  <c r="L115" i="14"/>
  <c r="M111" i="14"/>
  <c r="M67" i="14"/>
  <c r="JH70" i="14" l="1"/>
  <c r="M114" i="14"/>
  <c r="M113" i="14"/>
  <c r="N56" i="14"/>
  <c r="M115" i="14" l="1"/>
  <c r="JH78" i="14"/>
  <c r="N111" i="14"/>
  <c r="N67" i="14"/>
  <c r="JI70" i="14" l="1"/>
  <c r="N114" i="14"/>
  <c r="N113" i="14"/>
  <c r="O56" i="14"/>
  <c r="JI78" i="14" l="1"/>
  <c r="O111" i="14"/>
  <c r="O67" i="14"/>
  <c r="N115" i="14"/>
  <c r="JJ70" i="14" l="1"/>
  <c r="O114" i="14"/>
  <c r="O113" i="14"/>
  <c r="P56" i="14"/>
  <c r="O115" i="14" l="1"/>
  <c r="JJ78" i="14"/>
  <c r="JJ98" i="14" s="1"/>
  <c r="P111" i="14"/>
  <c r="P67" i="14"/>
  <c r="JJ112" i="14" l="1"/>
  <c r="JJ99" i="14"/>
  <c r="JK94" i="14" s="1"/>
  <c r="JK70" i="14"/>
  <c r="P114" i="14"/>
  <c r="P113" i="14"/>
  <c r="Q56" i="14"/>
  <c r="P115" i="14" l="1"/>
  <c r="Q111" i="14"/>
  <c r="Q67" i="14"/>
  <c r="Q113" i="14" l="1"/>
  <c r="Q114" i="14"/>
  <c r="R56" i="14"/>
  <c r="R111" i="14" l="1"/>
  <c r="R67" i="14"/>
  <c r="Q115" i="14"/>
  <c r="R113" i="14" l="1"/>
  <c r="R114" i="14"/>
  <c r="S56" i="14"/>
  <c r="S111" i="14" l="1"/>
  <c r="S67" i="14"/>
  <c r="R115" i="14"/>
  <c r="S113" i="14" l="1"/>
  <c r="S114" i="14"/>
  <c r="T56" i="14"/>
  <c r="T111" i="14" l="1"/>
  <c r="T67" i="14"/>
  <c r="S115" i="14"/>
  <c r="T113" i="14" l="1"/>
  <c r="T114" i="14"/>
  <c r="U56" i="14"/>
  <c r="U111" i="14" l="1"/>
  <c r="U67" i="14"/>
  <c r="T115" i="14"/>
  <c r="U114" i="14" l="1"/>
  <c r="U113" i="14"/>
  <c r="U115" i="14" s="1"/>
  <c r="V56" i="14"/>
  <c r="V111" i="14" l="1"/>
  <c r="V67" i="14"/>
  <c r="V114" i="14" l="1"/>
  <c r="V113" i="14"/>
  <c r="V115" i="14" s="1"/>
  <c r="W56" i="14"/>
  <c r="W111" i="14" l="1"/>
  <c r="W67" i="14"/>
  <c r="W114" i="14" l="1"/>
  <c r="W113" i="14"/>
  <c r="X56" i="14"/>
  <c r="W115" i="14" l="1"/>
  <c r="X111" i="14"/>
  <c r="X67" i="14"/>
  <c r="X114" i="14" l="1"/>
  <c r="X113" i="14"/>
  <c r="Y56" i="14"/>
  <c r="X115" i="14" l="1"/>
  <c r="Y111" i="14"/>
  <c r="Y67" i="14"/>
  <c r="Y113" i="14" l="1"/>
  <c r="Y114" i="14"/>
  <c r="Z56" i="14"/>
  <c r="Z111" i="14" l="1"/>
  <c r="Z67" i="14"/>
  <c r="Y115" i="14"/>
  <c r="Z113" i="14" l="1"/>
  <c r="Z114" i="14"/>
  <c r="AA56" i="14"/>
  <c r="AA111" i="14" l="1"/>
  <c r="AA67" i="14"/>
  <c r="Z115" i="14"/>
  <c r="AA113" i="14" l="1"/>
  <c r="AA114" i="14"/>
  <c r="AB56" i="14"/>
  <c r="AB111" i="14" l="1"/>
  <c r="AB67" i="14"/>
  <c r="AA115" i="14"/>
  <c r="AB113" i="14" l="1"/>
  <c r="AB114" i="14"/>
  <c r="AC56" i="14"/>
  <c r="AC111" i="14" l="1"/>
  <c r="AC67" i="14"/>
  <c r="AB115" i="14"/>
  <c r="AC114" i="14" l="1"/>
  <c r="AC113" i="14"/>
  <c r="AD56" i="14"/>
  <c r="AC115" i="14" l="1"/>
  <c r="AD111" i="14"/>
  <c r="AD67" i="14"/>
  <c r="AD114" i="14" l="1"/>
  <c r="AD113" i="14"/>
  <c r="AE56" i="14"/>
  <c r="AD115" i="14" l="1"/>
  <c r="AE111" i="14"/>
  <c r="AE67" i="14"/>
  <c r="AE114" i="14" l="1"/>
  <c r="AE113" i="14"/>
  <c r="AF56" i="14"/>
  <c r="AE115" i="14" l="1"/>
  <c r="AF111" i="14"/>
  <c r="AF67" i="14"/>
  <c r="AF114" i="14" l="1"/>
  <c r="AF113" i="14"/>
  <c r="AG56" i="14"/>
  <c r="AF115" i="14" l="1"/>
  <c r="AG111" i="14"/>
  <c r="AG67" i="14"/>
  <c r="AG113" i="14" l="1"/>
  <c r="AG114" i="14"/>
  <c r="AH56" i="14"/>
  <c r="AH111" i="14" l="1"/>
  <c r="AH67" i="14"/>
  <c r="AG115" i="14"/>
  <c r="AH113" i="14" l="1"/>
  <c r="AH114" i="14"/>
  <c r="AI56" i="14"/>
  <c r="AI111" i="14" l="1"/>
  <c r="AI67" i="14"/>
  <c r="AH115" i="14"/>
  <c r="AI113" i="14" l="1"/>
  <c r="AI114" i="14"/>
  <c r="AJ56" i="14"/>
  <c r="AJ111" i="14" l="1"/>
  <c r="AJ67" i="14"/>
  <c r="AI115" i="14"/>
  <c r="AJ113" i="14" l="1"/>
  <c r="AJ114" i="14"/>
  <c r="AK56" i="14"/>
  <c r="AK111" i="14" l="1"/>
  <c r="AK67" i="14"/>
  <c r="AJ115" i="14"/>
  <c r="AK114" i="14" l="1"/>
  <c r="AK113" i="14"/>
  <c r="AK115" i="14" s="1"/>
  <c r="AL56" i="14"/>
  <c r="AL111" i="14" l="1"/>
  <c r="AL67" i="14"/>
  <c r="AL114" i="14" l="1"/>
  <c r="AL113" i="14"/>
  <c r="AM56" i="14"/>
  <c r="AL115" i="14" l="1"/>
  <c r="AM111" i="14"/>
  <c r="AM67" i="14"/>
  <c r="AM114" i="14" l="1"/>
  <c r="AM113" i="14"/>
  <c r="AN56" i="14"/>
  <c r="AM115" i="14" l="1"/>
  <c r="AN111" i="14"/>
  <c r="AN67" i="14"/>
  <c r="AN114" i="14" l="1"/>
  <c r="AN113" i="14"/>
  <c r="AO56" i="14"/>
  <c r="AN115" i="14" l="1"/>
  <c r="AO111" i="14"/>
  <c r="AO67" i="14"/>
  <c r="AO113" i="14" l="1"/>
  <c r="AO114" i="14"/>
  <c r="AP56" i="14"/>
  <c r="AP111" i="14" l="1"/>
  <c r="AP67" i="14"/>
  <c r="AO115" i="14"/>
  <c r="AP113" i="14" l="1"/>
  <c r="AP114" i="14"/>
  <c r="AQ56" i="14"/>
  <c r="AQ111" i="14" l="1"/>
  <c r="AQ67" i="14"/>
  <c r="AP115" i="14"/>
  <c r="AQ113" i="14" l="1"/>
  <c r="AQ114" i="14"/>
  <c r="AR56" i="14"/>
  <c r="AR111" i="14" l="1"/>
  <c r="AR67" i="14"/>
  <c r="AQ115" i="14"/>
  <c r="AR113" i="14" l="1"/>
  <c r="AR114" i="14"/>
  <c r="AS56" i="14"/>
  <c r="AS111" i="14" l="1"/>
  <c r="AS67" i="14"/>
  <c r="AR115" i="14"/>
  <c r="AS114" i="14" l="1"/>
  <c r="AS113" i="14"/>
  <c r="AT56" i="14"/>
  <c r="AS115" i="14" l="1"/>
  <c r="AT111" i="14"/>
  <c r="AT67" i="14"/>
  <c r="AT114" i="14" l="1"/>
  <c r="AT113" i="14"/>
  <c r="AU56" i="14"/>
  <c r="AT115" i="14" l="1"/>
  <c r="AU111" i="14"/>
  <c r="AU67" i="14"/>
  <c r="AU114" i="14" l="1"/>
  <c r="AU113" i="14"/>
  <c r="AV56" i="14"/>
  <c r="AU115" i="14" l="1"/>
  <c r="AV111" i="14"/>
  <c r="AV67" i="14"/>
  <c r="AV114" i="14" l="1"/>
  <c r="AV113" i="14"/>
  <c r="AW56" i="14"/>
  <c r="AV115" i="14" l="1"/>
  <c r="AW111" i="14"/>
  <c r="AW67" i="14"/>
  <c r="AW113" i="14" l="1"/>
  <c r="AW114" i="14"/>
  <c r="AX56" i="14"/>
  <c r="AX111" i="14" l="1"/>
  <c r="AX67" i="14"/>
  <c r="AW115" i="14"/>
  <c r="AX113" i="14" l="1"/>
  <c r="AX114" i="14"/>
  <c r="AY56" i="14"/>
  <c r="AY111" i="14" l="1"/>
  <c r="AY67" i="14"/>
  <c r="AX115" i="14"/>
  <c r="AY113" i="14" l="1"/>
  <c r="AY114" i="14"/>
  <c r="AZ56" i="14"/>
  <c r="AZ111" i="14" l="1"/>
  <c r="AZ67" i="14"/>
  <c r="AY115" i="14"/>
  <c r="AZ113" i="14" l="1"/>
  <c r="AZ114" i="14"/>
  <c r="BA56" i="14"/>
  <c r="BA111" i="14" l="1"/>
  <c r="BA67" i="14"/>
  <c r="AZ115" i="14"/>
  <c r="BA114" i="14" l="1"/>
  <c r="BA113" i="14"/>
  <c r="BB56" i="14"/>
  <c r="BA115" i="14" l="1"/>
  <c r="BB111" i="14"/>
  <c r="BB67" i="14"/>
  <c r="BB114" i="14" l="1"/>
  <c r="BB113" i="14"/>
  <c r="BC56" i="14"/>
  <c r="BB115" i="14" l="1"/>
  <c r="BC111" i="14"/>
  <c r="BC67" i="14"/>
  <c r="BC114" i="14" l="1"/>
  <c r="BC113" i="14"/>
  <c r="BD56" i="14"/>
  <c r="BC115" i="14" l="1"/>
  <c r="BD111" i="14"/>
  <c r="BD67" i="14"/>
  <c r="BD114" i="14" l="1"/>
  <c r="BD113" i="14"/>
  <c r="BE56" i="14"/>
  <c r="BD115" i="14" l="1"/>
  <c r="BE111" i="14"/>
  <c r="BE67" i="14"/>
  <c r="BE113" i="14" l="1"/>
  <c r="BE114" i="14"/>
  <c r="BF56" i="14"/>
  <c r="BF111" i="14" l="1"/>
  <c r="BF67" i="14"/>
  <c r="BE115" i="14"/>
  <c r="BF113" i="14" l="1"/>
  <c r="BF114" i="14"/>
  <c r="BG56" i="14"/>
  <c r="BG111" i="14" l="1"/>
  <c r="BG67" i="14"/>
  <c r="BF115" i="14"/>
  <c r="BG113" i="14" l="1"/>
  <c r="BG114" i="14"/>
  <c r="BH56" i="14"/>
  <c r="BH111" i="14" l="1"/>
  <c r="BH67" i="14"/>
  <c r="BG115" i="14"/>
  <c r="BH113" i="14" l="1"/>
  <c r="BH114" i="14"/>
  <c r="BI56" i="14"/>
  <c r="BI111" i="14" l="1"/>
  <c r="BI67" i="14"/>
  <c r="BH115" i="14"/>
  <c r="BI114" i="14" l="1"/>
  <c r="BI113" i="14"/>
  <c r="BJ56" i="14"/>
  <c r="BI115" i="14" l="1"/>
  <c r="BJ111" i="14"/>
  <c r="BJ67" i="14"/>
  <c r="BJ114" i="14" l="1"/>
  <c r="BJ113" i="14"/>
  <c r="BK56" i="14"/>
  <c r="BJ115" i="14" l="1"/>
  <c r="BK111" i="14"/>
  <c r="BK67" i="14"/>
  <c r="BK114" i="14" l="1"/>
  <c r="BK113" i="14"/>
  <c r="BK115" i="14" s="1"/>
  <c r="BL56" i="14"/>
  <c r="BL111" i="14" l="1"/>
  <c r="BL67" i="14"/>
  <c r="BL114" i="14" l="1"/>
  <c r="BL113" i="14"/>
  <c r="BM56" i="14"/>
  <c r="BL115" i="14" l="1"/>
  <c r="BM111" i="14"/>
  <c r="BM67" i="14"/>
  <c r="BM113" i="14" l="1"/>
  <c r="BM114" i="14"/>
  <c r="BN56" i="14"/>
  <c r="BN111" i="14" l="1"/>
  <c r="BN67" i="14"/>
  <c r="BM115" i="14"/>
  <c r="BN113" i="14" l="1"/>
  <c r="BN114" i="14"/>
  <c r="BO56" i="14"/>
  <c r="BO111" i="14" l="1"/>
  <c r="BO67" i="14"/>
  <c r="BN115" i="14"/>
  <c r="BO113" i="14" l="1"/>
  <c r="BO114" i="14"/>
  <c r="BP56" i="14"/>
  <c r="BP111" i="14" l="1"/>
  <c r="BP67" i="14"/>
  <c r="BO115" i="14"/>
  <c r="BP113" i="14" l="1"/>
  <c r="BP114" i="14"/>
  <c r="BQ56" i="14"/>
  <c r="BQ111" i="14" l="1"/>
  <c r="BQ67" i="14"/>
  <c r="BP115" i="14"/>
  <c r="BQ114" i="14" l="1"/>
  <c r="BQ113" i="14"/>
  <c r="BQ115" i="14" s="1"/>
  <c r="BR56" i="14"/>
  <c r="BR111" i="14" l="1"/>
  <c r="BR67" i="14"/>
  <c r="BR114" i="14" l="1"/>
  <c r="BR113" i="14"/>
  <c r="BS56" i="14"/>
  <c r="BR115" i="14" l="1"/>
  <c r="BS111" i="14"/>
  <c r="BS67" i="14"/>
  <c r="BS114" i="14" l="1"/>
  <c r="BS113" i="14"/>
  <c r="BT56" i="14"/>
  <c r="BS115" i="14" l="1"/>
  <c r="BT111" i="14"/>
  <c r="BT67" i="14"/>
  <c r="BT114" i="14" l="1"/>
  <c r="BT113" i="14"/>
  <c r="BT115" i="14" s="1"/>
  <c r="BU56" i="14"/>
  <c r="BU111" i="14" l="1"/>
  <c r="BU67" i="14"/>
  <c r="BU113" i="14" l="1"/>
  <c r="BU114" i="14"/>
  <c r="BV56" i="14"/>
  <c r="BV111" i="14" l="1"/>
  <c r="BV67" i="14"/>
  <c r="BU115" i="14"/>
  <c r="BV113" i="14" l="1"/>
  <c r="BV114" i="14"/>
  <c r="BW56" i="14"/>
  <c r="BW111" i="14" l="1"/>
  <c r="BW67" i="14"/>
  <c r="BV115" i="14"/>
  <c r="BW113" i="14" l="1"/>
  <c r="BW114" i="14"/>
  <c r="BX56" i="14"/>
  <c r="BX111" i="14" l="1"/>
  <c r="BX67" i="14"/>
  <c r="BW115" i="14"/>
  <c r="BX113" i="14" l="1"/>
  <c r="BX114" i="14"/>
  <c r="BY56" i="14"/>
  <c r="BY111" i="14" l="1"/>
  <c r="BY67" i="14"/>
  <c r="BX115" i="14"/>
  <c r="BY114" i="14" l="1"/>
  <c r="BY113" i="14"/>
  <c r="BY115" i="14" s="1"/>
  <c r="BZ56" i="14"/>
  <c r="BZ111" i="14" l="1"/>
  <c r="BZ67" i="14"/>
  <c r="BZ114" i="14" l="1"/>
  <c r="BZ113" i="14"/>
  <c r="CA56" i="14"/>
  <c r="BZ115" i="14" l="1"/>
  <c r="CA111" i="14"/>
  <c r="CA67" i="14"/>
  <c r="CA114" i="14" l="1"/>
  <c r="CA113" i="14"/>
  <c r="CB56" i="14"/>
  <c r="CA115" i="14" l="1"/>
  <c r="CB111" i="14"/>
  <c r="CB67" i="14"/>
  <c r="CB114" i="14" l="1"/>
  <c r="CB113" i="14"/>
  <c r="CB115" i="14" s="1"/>
  <c r="CC56" i="14"/>
  <c r="CC111" i="14" l="1"/>
  <c r="CC67" i="14"/>
  <c r="CC113" i="14" l="1"/>
  <c r="CC114" i="14"/>
  <c r="CD56" i="14"/>
  <c r="CD111" i="14" l="1"/>
  <c r="CD67" i="14"/>
  <c r="CC115" i="14"/>
  <c r="CD113" i="14" l="1"/>
  <c r="CD114" i="14"/>
  <c r="CE56" i="14"/>
  <c r="CE111" i="14" l="1"/>
  <c r="CE67" i="14"/>
  <c r="CD115" i="14"/>
  <c r="CE113" i="14" l="1"/>
  <c r="CE114" i="14"/>
  <c r="CF56" i="14"/>
  <c r="CE115" i="14" l="1"/>
  <c r="CF111" i="14"/>
  <c r="CF67" i="14"/>
  <c r="CF113" i="14" l="1"/>
  <c r="CF114" i="14"/>
  <c r="CG56" i="14"/>
  <c r="CG111" i="14" l="1"/>
  <c r="CG67" i="14"/>
  <c r="CF115" i="14"/>
  <c r="CG114" i="14" l="1"/>
  <c r="CG113" i="14"/>
  <c r="CG115" i="14" s="1"/>
  <c r="CH56" i="14"/>
  <c r="CH111" i="14" l="1"/>
  <c r="CH67" i="14"/>
  <c r="CH114" i="14" l="1"/>
  <c r="CH113" i="14"/>
  <c r="CI56" i="14"/>
  <c r="CH115" i="14" l="1"/>
  <c r="CI111" i="14"/>
  <c r="CI67" i="14"/>
  <c r="CI114" i="14" l="1"/>
  <c r="CI113" i="14"/>
  <c r="CI115" i="14" s="1"/>
  <c r="CJ56" i="14"/>
  <c r="CJ111" i="14" l="1"/>
  <c r="CJ67" i="14"/>
  <c r="CJ114" i="14" l="1"/>
  <c r="CJ113" i="14"/>
  <c r="CJ115" i="14" s="1"/>
  <c r="CK56" i="14"/>
  <c r="CK111" i="14" l="1"/>
  <c r="CK67" i="14"/>
  <c r="CK113" i="14" l="1"/>
  <c r="CK114" i="14"/>
  <c r="CL56" i="14"/>
  <c r="CL111" i="14" l="1"/>
  <c r="CL67" i="14"/>
  <c r="CK115" i="14"/>
  <c r="CL113" i="14" l="1"/>
  <c r="CL114" i="14"/>
  <c r="CM56" i="14"/>
  <c r="CM111" i="14" l="1"/>
  <c r="CM67" i="14"/>
  <c r="CL115" i="14"/>
  <c r="CM113" i="14" l="1"/>
  <c r="CM114" i="14"/>
  <c r="CN56" i="14"/>
  <c r="CN111" i="14" l="1"/>
  <c r="CN67" i="14"/>
  <c r="CM115" i="14"/>
  <c r="CN113" i="14" l="1"/>
  <c r="CN114" i="14"/>
  <c r="CO56" i="14"/>
  <c r="CO111" i="14" l="1"/>
  <c r="CO67" i="14"/>
  <c r="CN115" i="14"/>
  <c r="CO114" i="14" l="1"/>
  <c r="CO113" i="14"/>
  <c r="CO115" i="14" s="1"/>
  <c r="CP56" i="14"/>
  <c r="CP111" i="14" l="1"/>
  <c r="CP67" i="14"/>
  <c r="CP114" i="14" l="1"/>
  <c r="CP113" i="14"/>
  <c r="CP115" i="14" s="1"/>
  <c r="CQ56" i="14"/>
  <c r="CQ111" i="14" l="1"/>
  <c r="CQ67" i="14"/>
  <c r="CQ114" i="14" l="1"/>
  <c r="CQ113" i="14"/>
  <c r="CQ115" i="14" s="1"/>
  <c r="CR56" i="14"/>
  <c r="CR111" i="14" l="1"/>
  <c r="CR67" i="14"/>
  <c r="CR114" i="14" l="1"/>
  <c r="CR113" i="14"/>
  <c r="CR115" i="14" s="1"/>
  <c r="CS56" i="14"/>
  <c r="CS111" i="14" l="1"/>
  <c r="CS67" i="14"/>
  <c r="CS113" i="14" l="1"/>
  <c r="CS114" i="14"/>
  <c r="CT56" i="14"/>
  <c r="CT111" i="14" l="1"/>
  <c r="CT67" i="14"/>
  <c r="CS115" i="14"/>
  <c r="CT113" i="14" l="1"/>
  <c r="CT114" i="14"/>
  <c r="CU56" i="14"/>
  <c r="CU111" i="14" l="1"/>
  <c r="CU67" i="14"/>
  <c r="CT115" i="14"/>
  <c r="CU113" i="14" l="1"/>
  <c r="CU114" i="14"/>
  <c r="CV56" i="14"/>
  <c r="CV111" i="14" l="1"/>
  <c r="CV67" i="14"/>
  <c r="CU115" i="14"/>
  <c r="CV113" i="14" l="1"/>
  <c r="CV114" i="14"/>
  <c r="CW56" i="14"/>
  <c r="CW111" i="14" l="1"/>
  <c r="CW67" i="14"/>
  <c r="CV115" i="14"/>
  <c r="CW114" i="14" l="1"/>
  <c r="CW113" i="14"/>
  <c r="CX56" i="14"/>
  <c r="CW115" i="14" l="1"/>
  <c r="CX111" i="14"/>
  <c r="CX67" i="14"/>
  <c r="CX114" i="14" l="1"/>
  <c r="CX113" i="14"/>
  <c r="CX115" i="14" s="1"/>
  <c r="CY56" i="14"/>
  <c r="CY111" i="14" l="1"/>
  <c r="CY67" i="14"/>
  <c r="CY114" i="14" l="1"/>
  <c r="CY113" i="14"/>
  <c r="CY115" i="14" s="1"/>
  <c r="CZ56" i="14"/>
  <c r="CZ111" i="14" l="1"/>
  <c r="CZ67" i="14"/>
  <c r="CZ114" i="14" l="1"/>
  <c r="CZ113" i="14"/>
  <c r="CZ115" i="14" s="1"/>
  <c r="DA56" i="14"/>
  <c r="DA111" i="14" l="1"/>
  <c r="DA67" i="14"/>
  <c r="DA113" i="14" l="1"/>
  <c r="DA114" i="14"/>
  <c r="DB56" i="14"/>
  <c r="DB111" i="14" l="1"/>
  <c r="DB67" i="14"/>
  <c r="DA115" i="14"/>
  <c r="DB113" i="14" l="1"/>
  <c r="DB114" i="14"/>
  <c r="DC56" i="14"/>
  <c r="DC111" i="14" l="1"/>
  <c r="DC67" i="14"/>
  <c r="DB115" i="14"/>
  <c r="DC113" i="14" l="1"/>
  <c r="DC114" i="14"/>
  <c r="DD56" i="14"/>
  <c r="DD111" i="14" l="1"/>
  <c r="DD67" i="14"/>
  <c r="DC115" i="14"/>
  <c r="DD113" i="14" l="1"/>
  <c r="DD114" i="14"/>
  <c r="DE56" i="14"/>
  <c r="DE111" i="14" l="1"/>
  <c r="DE67" i="14"/>
  <c r="DD115" i="14"/>
  <c r="DE114" i="14" l="1"/>
  <c r="DE113" i="14"/>
  <c r="DE115" i="14" s="1"/>
  <c r="DF56" i="14"/>
  <c r="DF111" i="14" l="1"/>
  <c r="DF67" i="14"/>
  <c r="DF114" i="14" l="1"/>
  <c r="DF113" i="14"/>
  <c r="DF115" i="14" s="1"/>
  <c r="DG56" i="14"/>
  <c r="DG111" i="14" l="1"/>
  <c r="DG67" i="14"/>
  <c r="DG114" i="14" l="1"/>
  <c r="DG113" i="14"/>
  <c r="DG115" i="14" s="1"/>
  <c r="DH56" i="14"/>
  <c r="DH111" i="14" l="1"/>
  <c r="DH67" i="14"/>
  <c r="DH114" i="14" l="1"/>
  <c r="DH113" i="14"/>
  <c r="DH115" i="14" s="1"/>
  <c r="DI56" i="14"/>
  <c r="DI111" i="14" l="1"/>
  <c r="DI67" i="14"/>
  <c r="DI113" i="14" l="1"/>
  <c r="DI114" i="14"/>
  <c r="DJ56" i="14"/>
  <c r="DJ111" i="14" l="1"/>
  <c r="DJ67" i="14"/>
  <c r="DI115" i="14"/>
  <c r="DJ113" i="14" l="1"/>
  <c r="DJ114" i="14"/>
  <c r="DK56" i="14"/>
  <c r="DK111" i="14" l="1"/>
  <c r="DK67" i="14"/>
  <c r="DJ115" i="14"/>
  <c r="DK113" i="14" l="1"/>
  <c r="DK114" i="14"/>
  <c r="DL56" i="14"/>
  <c r="DL111" i="14" l="1"/>
  <c r="DL67" i="14"/>
  <c r="DK115" i="14"/>
  <c r="DL113" i="14" l="1"/>
  <c r="DL114" i="14"/>
  <c r="DM56" i="14"/>
  <c r="DM111" i="14" l="1"/>
  <c r="DM67" i="14"/>
  <c r="DL115" i="14"/>
  <c r="DM114" i="14" l="1"/>
  <c r="DM113" i="14"/>
  <c r="DM115" i="14" s="1"/>
  <c r="DN56" i="14"/>
  <c r="DN111" i="14" l="1"/>
  <c r="DN67" i="14"/>
  <c r="DN114" i="14" l="1"/>
  <c r="DN113" i="14"/>
  <c r="DN115" i="14" s="1"/>
  <c r="DO56" i="14"/>
  <c r="DO111" i="14" l="1"/>
  <c r="DO67" i="14"/>
  <c r="DO114" i="14" l="1"/>
  <c r="DO113" i="14"/>
  <c r="DO115" i="14" s="1"/>
  <c r="DP56" i="14"/>
  <c r="DP111" i="14" l="1"/>
  <c r="DP67" i="14"/>
  <c r="DP114" i="14" l="1"/>
  <c r="DP113" i="14"/>
  <c r="DQ56" i="14"/>
  <c r="DP115" i="14" l="1"/>
  <c r="DQ111" i="14"/>
  <c r="DQ67" i="14"/>
  <c r="DQ113" i="14" l="1"/>
  <c r="DQ114" i="14"/>
  <c r="DR56" i="14"/>
  <c r="DR111" i="14" l="1"/>
  <c r="DR67" i="14"/>
  <c r="DQ115" i="14"/>
  <c r="DR113" i="14" l="1"/>
  <c r="DR114" i="14"/>
  <c r="DS56" i="14"/>
  <c r="DS111" i="14" l="1"/>
  <c r="DS67" i="14"/>
  <c r="DR115" i="14"/>
  <c r="DS113" i="14" l="1"/>
  <c r="DS114" i="14"/>
  <c r="DT56" i="14"/>
  <c r="DT111" i="14" l="1"/>
  <c r="DT67" i="14"/>
  <c r="DS115" i="14"/>
  <c r="DT113" i="14" l="1"/>
  <c r="DT114" i="14"/>
  <c r="DU56" i="14"/>
  <c r="DU111" i="14" l="1"/>
  <c r="DU67" i="14"/>
  <c r="DT115" i="14"/>
  <c r="DU114" i="14" l="1"/>
  <c r="DU113" i="14"/>
  <c r="DV56" i="14"/>
  <c r="DU115" i="14" l="1"/>
  <c r="DV111" i="14"/>
  <c r="DV67" i="14"/>
  <c r="DV114" i="14" l="1"/>
  <c r="DV113" i="14"/>
  <c r="DV115" i="14" s="1"/>
  <c r="DW56" i="14"/>
  <c r="DW111" i="14" l="1"/>
  <c r="DW67" i="14"/>
  <c r="DW114" i="14" l="1"/>
  <c r="DW113" i="14"/>
  <c r="DX56" i="14"/>
  <c r="DX111" i="14" l="1"/>
  <c r="DX67" i="14"/>
  <c r="DW115" i="14"/>
  <c r="DX114" i="14" l="1"/>
  <c r="DX113" i="14"/>
  <c r="DX115" i="14" s="1"/>
  <c r="DY56" i="14"/>
  <c r="DY111" i="14" l="1"/>
  <c r="DY67" i="14"/>
  <c r="DY113" i="14" l="1"/>
  <c r="DY114" i="14"/>
  <c r="DZ56" i="14"/>
  <c r="DZ111" i="14" l="1"/>
  <c r="DZ67" i="14"/>
  <c r="DY115" i="14"/>
  <c r="DZ113" i="14" l="1"/>
  <c r="DZ114" i="14"/>
  <c r="EA56" i="14"/>
  <c r="EA111" i="14" l="1"/>
  <c r="EA67" i="14"/>
  <c r="DZ115" i="14"/>
  <c r="EA113" i="14" l="1"/>
  <c r="EA114" i="14"/>
  <c r="EB56" i="14"/>
  <c r="EB111" i="14" l="1"/>
  <c r="EB67" i="14"/>
  <c r="EA115" i="14"/>
  <c r="EB113" i="14" l="1"/>
  <c r="EB114" i="14"/>
  <c r="EC56" i="14"/>
  <c r="EC111" i="14" l="1"/>
  <c r="EC67" i="14"/>
  <c r="EB115" i="14"/>
  <c r="EC114" i="14" l="1"/>
  <c r="EC113" i="14"/>
  <c r="EC115" i="14" s="1"/>
  <c r="ED56" i="14"/>
  <c r="ED111" i="14" l="1"/>
  <c r="ED67" i="14"/>
  <c r="ED114" i="14" l="1"/>
  <c r="ED113" i="14"/>
  <c r="EE56" i="14"/>
  <c r="ED115" i="14" l="1"/>
  <c r="EE111" i="14"/>
  <c r="EE67" i="14"/>
  <c r="EE114" i="14" l="1"/>
  <c r="EE113" i="14"/>
  <c r="EE115" i="14" s="1"/>
  <c r="EF56" i="14"/>
  <c r="EF111" i="14" l="1"/>
  <c r="EF67" i="14"/>
  <c r="EF114" i="14" l="1"/>
  <c r="EF113" i="14"/>
  <c r="EF115" i="14" s="1"/>
  <c r="EG56" i="14"/>
  <c r="EG111" i="14" l="1"/>
  <c r="EG67" i="14"/>
  <c r="EG113" i="14" l="1"/>
  <c r="EG114" i="14"/>
  <c r="EH56" i="14"/>
  <c r="EH111" i="14" l="1"/>
  <c r="EH67" i="14"/>
  <c r="EG115" i="14"/>
  <c r="EH113" i="14" l="1"/>
  <c r="EH114" i="14"/>
  <c r="EI56" i="14"/>
  <c r="EI111" i="14" l="1"/>
  <c r="EI67" i="14"/>
  <c r="EH115" i="14"/>
  <c r="EI113" i="14" l="1"/>
  <c r="EI114" i="14"/>
  <c r="EJ56" i="14"/>
  <c r="EJ111" i="14" l="1"/>
  <c r="EJ67" i="14"/>
  <c r="EI115" i="14"/>
  <c r="EJ113" i="14" l="1"/>
  <c r="EJ114" i="14"/>
  <c r="EK56" i="14"/>
  <c r="EK111" i="14" l="1"/>
  <c r="EK67" i="14"/>
  <c r="EJ115" i="14"/>
  <c r="EK114" i="14" l="1"/>
  <c r="EK113" i="14"/>
  <c r="EK115" i="14" s="1"/>
  <c r="EL56" i="14"/>
  <c r="EL111" i="14" l="1"/>
  <c r="EL67" i="14"/>
  <c r="EL114" i="14" l="1"/>
  <c r="EL113" i="14"/>
  <c r="EL115" i="14" s="1"/>
  <c r="EM56" i="14"/>
  <c r="EM111" i="14" l="1"/>
  <c r="EM67" i="14"/>
  <c r="EM114" i="14" l="1"/>
  <c r="EM113" i="14"/>
  <c r="EN56" i="14"/>
  <c r="EM115" i="14" l="1"/>
  <c r="EN111" i="14"/>
  <c r="EN67" i="14"/>
  <c r="EN114" i="14" l="1"/>
  <c r="EN113" i="14"/>
  <c r="EN115" i="14" s="1"/>
  <c r="EO56" i="14"/>
  <c r="EO111" i="14" l="1"/>
  <c r="EO67" i="14"/>
  <c r="EO113" i="14" l="1"/>
  <c r="EO114" i="14"/>
  <c r="EP56" i="14"/>
  <c r="EP111" i="14" l="1"/>
  <c r="EP67" i="14"/>
  <c r="EO115" i="14"/>
  <c r="EP113" i="14" l="1"/>
  <c r="EP114" i="14"/>
  <c r="EQ56" i="14"/>
  <c r="EQ111" i="14" l="1"/>
  <c r="EQ67" i="14"/>
  <c r="EP115" i="14"/>
  <c r="EQ113" i="14" l="1"/>
  <c r="EQ114" i="14"/>
  <c r="ER56" i="14"/>
  <c r="ER111" i="14" l="1"/>
  <c r="ER67" i="14"/>
  <c r="EQ115" i="14"/>
  <c r="ER113" i="14" l="1"/>
  <c r="ER114" i="14"/>
  <c r="ES56" i="14"/>
  <c r="ES111" i="14" l="1"/>
  <c r="ES67" i="14"/>
  <c r="ER115" i="14"/>
  <c r="ES114" i="14" l="1"/>
  <c r="ES113" i="14"/>
  <c r="ES115" i="14" s="1"/>
  <c r="ET56" i="14"/>
  <c r="ET111" i="14" l="1"/>
  <c r="ET67" i="14"/>
  <c r="ET114" i="14" l="1"/>
  <c r="ET113" i="14"/>
  <c r="EU56" i="14"/>
  <c r="ET115" i="14" l="1"/>
  <c r="EU111" i="14"/>
  <c r="EU67" i="14"/>
  <c r="EU114" i="14" l="1"/>
  <c r="EU113" i="14"/>
  <c r="EU115" i="14" s="1"/>
  <c r="EV56" i="14"/>
  <c r="EV111" i="14" l="1"/>
  <c r="EV67" i="14"/>
  <c r="EV114" i="14" l="1"/>
  <c r="EV113" i="14"/>
  <c r="EV115" i="14" s="1"/>
  <c r="EW56" i="14"/>
  <c r="EW111" i="14" l="1"/>
  <c r="EW67" i="14"/>
  <c r="EW113" i="14" l="1"/>
  <c r="EW114" i="14"/>
  <c r="EX56" i="14"/>
  <c r="EX111" i="14" l="1"/>
  <c r="EX67" i="14"/>
  <c r="EW115" i="14"/>
  <c r="EX113" i="14" l="1"/>
  <c r="EX114" i="14"/>
  <c r="EY56" i="14"/>
  <c r="EY111" i="14" l="1"/>
  <c r="EY67" i="14"/>
  <c r="EX115" i="14"/>
  <c r="EY113" i="14" l="1"/>
  <c r="EY114" i="14"/>
  <c r="EZ56" i="14"/>
  <c r="EZ111" i="14" l="1"/>
  <c r="EZ67" i="14"/>
  <c r="EY115" i="14"/>
  <c r="EZ113" i="14" l="1"/>
  <c r="EZ114" i="14"/>
  <c r="FA56" i="14"/>
  <c r="FA111" i="14" l="1"/>
  <c r="FA67" i="14"/>
  <c r="EZ115" i="14"/>
  <c r="FA114" i="14" l="1"/>
  <c r="FA113" i="14"/>
  <c r="FA115" i="14" s="1"/>
  <c r="FB56" i="14"/>
  <c r="FB111" i="14" l="1"/>
  <c r="FB67" i="14"/>
  <c r="FB114" i="14" l="1"/>
  <c r="FB113" i="14"/>
  <c r="FB115" i="14" s="1"/>
  <c r="FC56" i="14"/>
  <c r="FC111" i="14" l="1"/>
  <c r="FC67" i="14"/>
  <c r="FC114" i="14" l="1"/>
  <c r="FC113" i="14"/>
  <c r="FC115" i="14" s="1"/>
  <c r="FD56" i="14"/>
  <c r="FD111" i="14" l="1"/>
  <c r="FD67" i="14"/>
  <c r="FD114" i="14" l="1"/>
  <c r="FD113" i="14"/>
  <c r="FD115" i="14" s="1"/>
  <c r="FE56" i="14"/>
  <c r="FE111" i="14" l="1"/>
  <c r="FE67" i="14"/>
  <c r="FE113" i="14" l="1"/>
  <c r="FE114" i="14"/>
  <c r="FF56" i="14"/>
  <c r="FF111" i="14" l="1"/>
  <c r="FF67" i="14"/>
  <c r="FE115" i="14"/>
  <c r="FF113" i="14" l="1"/>
  <c r="FF114" i="14"/>
  <c r="FG56" i="14"/>
  <c r="FG111" i="14" l="1"/>
  <c r="FG67" i="14"/>
  <c r="FF115" i="14"/>
  <c r="FG113" i="14" l="1"/>
  <c r="FG114" i="14"/>
  <c r="FH56" i="14"/>
  <c r="FH111" i="14" l="1"/>
  <c r="FH67" i="14"/>
  <c r="FG115" i="14"/>
  <c r="FH113" i="14" l="1"/>
  <c r="FH114" i="14"/>
  <c r="FI56" i="14"/>
  <c r="FI111" i="14" l="1"/>
  <c r="FI67" i="14"/>
  <c r="FH115" i="14"/>
  <c r="FI114" i="14" l="1"/>
  <c r="FI113" i="14"/>
  <c r="FI115" i="14" s="1"/>
  <c r="FJ56" i="14"/>
  <c r="FJ111" i="14" l="1"/>
  <c r="FJ67" i="14"/>
  <c r="FJ114" i="14" l="1"/>
  <c r="FJ113" i="14"/>
  <c r="FK56" i="14"/>
  <c r="FJ115" i="14" l="1"/>
  <c r="FK111" i="14"/>
  <c r="FK67" i="14"/>
  <c r="FK114" i="14" l="1"/>
  <c r="FK113" i="14"/>
  <c r="FK115" i="14" s="1"/>
  <c r="FL56" i="14"/>
  <c r="FL111" i="14" l="1"/>
  <c r="FL67" i="14"/>
  <c r="FL114" i="14" l="1"/>
  <c r="FL113" i="14"/>
  <c r="FL115" i="14" s="1"/>
  <c r="FM56" i="14"/>
  <c r="FM111" i="14" l="1"/>
  <c r="FM67" i="14"/>
  <c r="FM114" i="14" l="1"/>
  <c r="FM113" i="14"/>
  <c r="FM115" i="14" s="1"/>
  <c r="FN56" i="14"/>
  <c r="FN111" i="14" l="1"/>
  <c r="FN67" i="14"/>
  <c r="FN113" i="14" l="1"/>
  <c r="FN114" i="14"/>
  <c r="FO56" i="14"/>
  <c r="FO111" i="14" l="1"/>
  <c r="FO67" i="14"/>
  <c r="FN115" i="14"/>
  <c r="FO113" i="14" l="1"/>
  <c r="FO114" i="14"/>
  <c r="FP56" i="14"/>
  <c r="FP111" i="14" l="1"/>
  <c r="FP67" i="14"/>
  <c r="FO115" i="14"/>
  <c r="FP113" i="14" l="1"/>
  <c r="FP114" i="14"/>
  <c r="FQ56" i="14"/>
  <c r="FQ111" i="14" l="1"/>
  <c r="FQ67" i="14"/>
  <c r="FP115" i="14"/>
  <c r="FQ114" i="14" l="1"/>
  <c r="FQ113" i="14"/>
  <c r="FQ115" i="14" s="1"/>
  <c r="FR56" i="14"/>
  <c r="FR111" i="14" l="1"/>
  <c r="FR67" i="14"/>
  <c r="FR114" i="14" l="1"/>
  <c r="FR113" i="14"/>
  <c r="FR115" i="14" s="1"/>
  <c r="FS56" i="14"/>
  <c r="FS111" i="14" l="1"/>
  <c r="FS67" i="14"/>
  <c r="FS113" i="14" l="1"/>
  <c r="FS114" i="14"/>
  <c r="FT56" i="14"/>
  <c r="FT111" i="14" l="1"/>
  <c r="FT67" i="14"/>
  <c r="FS115" i="14"/>
  <c r="FT114" i="14" l="1"/>
  <c r="FT113" i="14"/>
  <c r="FT115" i="14" s="1"/>
  <c r="FU56" i="14"/>
  <c r="FU111" i="14" l="1"/>
  <c r="FU67" i="14"/>
  <c r="FU114" i="14" l="1"/>
  <c r="FU113" i="14"/>
  <c r="FU115" i="14" s="1"/>
  <c r="FV56" i="14"/>
  <c r="FV111" i="14" l="1"/>
  <c r="FV67" i="14"/>
  <c r="FV114" i="14" l="1"/>
  <c r="FV113" i="14"/>
  <c r="FV115" i="14" s="1"/>
  <c r="FW56" i="14"/>
  <c r="FW111" i="14" l="1"/>
  <c r="FW67" i="14"/>
  <c r="FW114" i="14" l="1"/>
  <c r="FW113" i="14"/>
  <c r="FW115" i="14" s="1"/>
  <c r="FX56" i="14"/>
  <c r="FX111" i="14" l="1"/>
  <c r="FX67" i="14"/>
  <c r="FX113" i="14" l="1"/>
  <c r="FX114" i="14"/>
  <c r="FY56" i="14"/>
  <c r="FY111" i="14" l="1"/>
  <c r="FY67" i="14"/>
  <c r="FX115" i="14"/>
  <c r="FY114" i="14" l="1"/>
  <c r="FY113" i="14"/>
  <c r="FY115" i="14" s="1"/>
  <c r="FZ56" i="14"/>
  <c r="FZ111" i="14" l="1"/>
  <c r="FZ67" i="14"/>
  <c r="FZ114" i="14" l="1"/>
  <c r="FZ113" i="14"/>
  <c r="FZ115" i="14" s="1"/>
  <c r="GA56" i="14"/>
  <c r="GA111" i="14" l="1"/>
  <c r="GA67" i="14"/>
  <c r="GA113" i="14" l="1"/>
  <c r="GA114" i="14"/>
  <c r="GB56" i="14"/>
  <c r="GB111" i="14" l="1"/>
  <c r="GB67" i="14"/>
  <c r="GA115" i="14"/>
  <c r="GB114" i="14" l="1"/>
  <c r="GB113" i="14"/>
  <c r="GC56" i="14"/>
  <c r="GB115" i="14" l="1"/>
  <c r="GC111" i="14"/>
  <c r="GC67" i="14"/>
  <c r="GC113" i="14" l="1"/>
  <c r="GC114" i="14"/>
  <c r="GD56" i="14"/>
  <c r="GD111" i="14" l="1"/>
  <c r="GD67" i="14"/>
  <c r="GC115" i="14"/>
  <c r="GD113" i="14" l="1"/>
  <c r="GD114" i="14"/>
  <c r="GE56" i="14"/>
  <c r="GE111" i="14" l="1"/>
  <c r="GE67" i="14"/>
  <c r="GD115" i="14"/>
  <c r="GE114" i="14" l="1"/>
  <c r="GE113" i="14"/>
  <c r="GF56" i="14"/>
  <c r="GE115" i="14" l="1"/>
  <c r="GF111" i="14"/>
  <c r="GF67" i="14"/>
  <c r="GF113" i="14" l="1"/>
  <c r="GF114" i="14"/>
  <c r="GG56" i="14"/>
  <c r="GG111" i="14" l="1"/>
  <c r="GG67" i="14"/>
  <c r="GF115" i="14"/>
  <c r="GG114" i="14" l="1"/>
  <c r="GG113" i="14"/>
  <c r="GH56" i="14"/>
  <c r="GG115" i="14" l="1"/>
  <c r="GH111" i="14"/>
  <c r="GH67" i="14"/>
  <c r="GH114" i="14" l="1"/>
  <c r="GH113" i="14"/>
  <c r="GH115" i="14" s="1"/>
  <c r="GI56" i="14"/>
  <c r="GI111" i="14" l="1"/>
  <c r="GI67" i="14"/>
  <c r="GI114" i="14" l="1"/>
  <c r="GI113" i="14"/>
  <c r="GJ56" i="14"/>
  <c r="GI115" i="14" l="1"/>
  <c r="GJ111" i="14"/>
  <c r="GJ67" i="14"/>
  <c r="GJ114" i="14" l="1"/>
  <c r="GJ113" i="14"/>
  <c r="GJ115" i="14" s="1"/>
  <c r="GK56" i="14"/>
  <c r="GK111" i="14" l="1"/>
  <c r="GK67" i="14"/>
  <c r="GK113" i="14" l="1"/>
  <c r="GK114" i="14"/>
  <c r="GL56" i="14"/>
  <c r="GK115" i="14" l="1"/>
  <c r="GL111" i="14"/>
  <c r="GL67" i="14"/>
  <c r="GL113" i="14" l="1"/>
  <c r="GL114" i="14"/>
  <c r="GM56" i="14"/>
  <c r="GM111" i="14" l="1"/>
  <c r="GM67" i="14"/>
  <c r="GL115" i="14"/>
  <c r="GM114" i="14" l="1"/>
  <c r="GM113" i="14"/>
  <c r="GM115" i="14" s="1"/>
  <c r="GN56" i="14"/>
  <c r="GN111" i="14" l="1"/>
  <c r="GN67" i="14"/>
  <c r="GN113" i="14" l="1"/>
  <c r="GN114" i="14"/>
  <c r="GO56" i="14"/>
  <c r="GO111" i="14" l="1"/>
  <c r="GO67" i="14"/>
  <c r="GN115" i="14"/>
  <c r="GO114" i="14" l="1"/>
  <c r="GO113" i="14"/>
  <c r="GO115" i="14" s="1"/>
  <c r="GP56" i="14"/>
  <c r="GP111" i="14" l="1"/>
  <c r="GP67" i="14"/>
  <c r="GP114" i="14" l="1"/>
  <c r="GP113" i="14"/>
  <c r="GP115" i="14" s="1"/>
  <c r="GQ56" i="14"/>
  <c r="GQ111" i="14" l="1"/>
  <c r="GQ67" i="14"/>
  <c r="GQ113" i="14" l="1"/>
  <c r="GQ114" i="14"/>
  <c r="GR56" i="14"/>
  <c r="GR111" i="14" l="1"/>
  <c r="GR67" i="14"/>
  <c r="GQ115" i="14"/>
  <c r="GR114" i="14" l="1"/>
  <c r="GR113" i="14"/>
  <c r="GR115" i="14" s="1"/>
  <c r="GS56" i="14"/>
  <c r="GS111" i="14" l="1"/>
  <c r="GS67" i="14"/>
  <c r="GS114" i="14" l="1"/>
  <c r="GS113" i="14"/>
  <c r="GT56" i="14"/>
  <c r="GS115" i="14" l="1"/>
  <c r="GT111" i="14"/>
  <c r="GT67" i="14"/>
  <c r="GT114" i="14" l="1"/>
  <c r="GT113" i="14"/>
  <c r="GT115" i="14" s="1"/>
  <c r="GU56" i="14"/>
  <c r="GU111" i="14" l="1"/>
  <c r="GU67" i="14"/>
  <c r="GU114" i="14" l="1"/>
  <c r="GU113" i="14"/>
  <c r="GU115" i="14" s="1"/>
  <c r="GV56" i="14"/>
  <c r="GV111" i="14" l="1"/>
  <c r="GV67" i="14"/>
  <c r="GV114" i="14" l="1"/>
  <c r="GV113" i="14"/>
  <c r="GW56" i="14"/>
  <c r="GV115" i="14" l="1"/>
  <c r="GW111" i="14"/>
  <c r="GW67" i="14"/>
  <c r="GW114" i="14" l="1"/>
  <c r="GW113" i="14"/>
  <c r="GX56" i="14"/>
  <c r="GW115" i="14" l="1"/>
  <c r="GX111" i="14"/>
  <c r="GX67" i="14"/>
  <c r="GX114" i="14" l="1"/>
  <c r="GX113" i="14"/>
  <c r="GY56" i="14"/>
  <c r="GX115" i="14" l="1"/>
  <c r="GY111" i="14"/>
  <c r="GY67" i="14"/>
  <c r="GY113" i="14" l="1"/>
  <c r="GY114" i="14"/>
  <c r="GZ56" i="14"/>
  <c r="GZ111" i="14" l="1"/>
  <c r="GZ67" i="14"/>
  <c r="GY115" i="14"/>
  <c r="GZ113" i="14" l="1"/>
  <c r="GZ114" i="14"/>
  <c r="HA56" i="14"/>
  <c r="HA111" i="14" l="1"/>
  <c r="HA67" i="14"/>
  <c r="GZ115" i="14"/>
  <c r="HA113" i="14" l="1"/>
  <c r="HA114" i="14"/>
  <c r="HB56" i="14"/>
  <c r="HB111" i="14" l="1"/>
  <c r="HB67" i="14"/>
  <c r="HA115" i="14"/>
  <c r="HB113" i="14" l="1"/>
  <c r="HB114" i="14"/>
  <c r="HC56" i="14"/>
  <c r="HC111" i="14" l="1"/>
  <c r="HC67" i="14"/>
  <c r="HB115" i="14"/>
  <c r="HC114" i="14" l="1"/>
  <c r="HC113" i="14"/>
  <c r="HC115" i="14" s="1"/>
  <c r="HD56" i="14"/>
  <c r="HD111" i="14" l="1"/>
  <c r="HD67" i="14"/>
  <c r="HD113" i="14" l="1"/>
  <c r="HD114" i="14"/>
  <c r="HE56" i="14"/>
  <c r="HE111" i="14" l="1"/>
  <c r="HE67" i="14"/>
  <c r="HD115" i="14"/>
  <c r="HE114" i="14" l="1"/>
  <c r="HE113" i="14"/>
  <c r="HE115" i="14" s="1"/>
  <c r="HF56" i="14"/>
  <c r="HF111" i="14" l="1"/>
  <c r="HF67" i="14"/>
  <c r="HF114" i="14" l="1"/>
  <c r="HF113" i="14"/>
  <c r="HG56" i="14"/>
  <c r="HF115" i="14" l="1"/>
  <c r="HG111" i="14"/>
  <c r="HG67" i="14"/>
  <c r="HG114" i="14" l="1"/>
  <c r="HG113" i="14"/>
  <c r="HH56" i="14"/>
  <c r="HG115" i="14" l="1"/>
  <c r="HH111" i="14"/>
  <c r="HH67" i="14"/>
  <c r="HH114" i="14" l="1"/>
  <c r="HH113" i="14"/>
  <c r="HI56" i="14"/>
  <c r="HH115" i="14" l="1"/>
  <c r="HI111" i="14"/>
  <c r="HI67" i="14"/>
  <c r="HI114" i="14" l="1"/>
  <c r="HI113" i="14"/>
  <c r="HI115" i="14" s="1"/>
  <c r="HJ56" i="14"/>
  <c r="HJ111" i="14" l="1"/>
  <c r="HJ67" i="14"/>
  <c r="HJ114" i="14" l="1"/>
  <c r="HJ113" i="14"/>
  <c r="HJ115" i="14" s="1"/>
  <c r="HK56" i="14"/>
  <c r="HK111" i="14" l="1"/>
  <c r="HK67" i="14"/>
  <c r="HK114" i="14" l="1"/>
  <c r="HK113" i="14"/>
  <c r="HK115" i="14" s="1"/>
  <c r="HL56" i="14"/>
  <c r="HL111" i="14" l="1"/>
  <c r="HL67" i="14"/>
  <c r="HL113" i="14" l="1"/>
  <c r="HL114" i="14"/>
  <c r="HM56" i="14"/>
  <c r="HM111" i="14" l="1"/>
  <c r="HM67" i="14"/>
  <c r="HL115" i="14"/>
  <c r="HM114" i="14" l="1"/>
  <c r="HM113" i="14"/>
  <c r="HN56" i="14"/>
  <c r="HM115" i="14" l="1"/>
  <c r="HN111" i="14"/>
  <c r="HN67" i="14"/>
  <c r="HN114" i="14" l="1"/>
  <c r="HN113" i="14"/>
  <c r="HO56" i="14"/>
  <c r="HN115" i="14" l="1"/>
  <c r="HO111" i="14"/>
  <c r="HO67" i="14"/>
  <c r="HO114" i="14" l="1"/>
  <c r="HO113" i="14"/>
  <c r="HP56" i="14"/>
  <c r="HO115" i="14" l="1"/>
  <c r="HP111" i="14"/>
  <c r="HP67" i="14"/>
  <c r="HP114" i="14" l="1"/>
  <c r="HP113" i="14"/>
  <c r="HP115" i="14" s="1"/>
  <c r="HQ56" i="14"/>
  <c r="HQ111" i="14" l="1"/>
  <c r="HQ67" i="14"/>
  <c r="HQ113" i="14" l="1"/>
  <c r="HQ114" i="14"/>
  <c r="HR56" i="14"/>
  <c r="HQ115" i="14" l="1"/>
  <c r="HR111" i="14"/>
  <c r="HR67" i="14"/>
  <c r="HR113" i="14" l="1"/>
  <c r="HR114" i="14"/>
  <c r="HS56" i="14"/>
  <c r="HS111" i="14" l="1"/>
  <c r="HS67" i="14"/>
  <c r="HR115" i="14"/>
  <c r="HS114" i="14" l="1"/>
  <c r="HS113" i="14"/>
  <c r="HS115" i="14" s="1"/>
  <c r="HT56" i="14"/>
  <c r="HT111" i="14" l="1"/>
  <c r="HT67" i="14"/>
  <c r="HT113" i="14" l="1"/>
  <c r="HT114" i="14"/>
  <c r="HU56" i="14"/>
  <c r="HU111" i="14" l="1"/>
  <c r="HU67" i="14"/>
  <c r="HT115" i="14"/>
  <c r="HU114" i="14" l="1"/>
  <c r="HU113" i="14"/>
  <c r="HV56" i="14"/>
  <c r="HU115" i="14" l="1"/>
  <c r="HV111" i="14"/>
  <c r="HV67" i="14"/>
  <c r="HV114" i="14" l="1"/>
  <c r="HV113" i="14"/>
  <c r="HV115" i="14" s="1"/>
  <c r="HW56" i="14"/>
  <c r="HW111" i="14" l="1"/>
  <c r="HW67" i="14"/>
  <c r="HW114" i="14" l="1"/>
  <c r="HW113" i="14"/>
  <c r="HX56" i="14"/>
  <c r="HW115" i="14" l="1"/>
  <c r="HX111" i="14"/>
  <c r="HX67" i="14"/>
  <c r="HX114" i="14" l="1"/>
  <c r="HX113" i="14"/>
  <c r="HX115" i="14" s="1"/>
  <c r="HY56" i="14"/>
  <c r="HY111" i="14" l="1"/>
  <c r="HY67" i="14"/>
  <c r="HY114" i="14" l="1"/>
  <c r="HY113" i="14"/>
  <c r="HY115" i="14" s="1"/>
  <c r="HZ56" i="14"/>
  <c r="HZ111" i="14" l="1"/>
  <c r="HZ67" i="14"/>
  <c r="HZ114" i="14" l="1"/>
  <c r="HZ113" i="14"/>
  <c r="IA56" i="14"/>
  <c r="HZ115" i="14" l="1"/>
  <c r="IA111" i="14"/>
  <c r="IA67" i="14"/>
  <c r="IA114" i="14" l="1"/>
  <c r="IA113" i="14"/>
  <c r="IB56" i="14"/>
  <c r="IA115" i="14" l="1"/>
  <c r="IB111" i="14"/>
  <c r="IB67" i="14"/>
  <c r="IB113" i="14" l="1"/>
  <c r="IB114" i="14"/>
  <c r="IC56" i="14"/>
  <c r="IC111" i="14" l="1"/>
  <c r="IC67" i="14"/>
  <c r="IB115" i="14"/>
  <c r="IC114" i="14" l="1"/>
  <c r="IC113" i="14"/>
  <c r="IC115" i="14" s="1"/>
  <c r="ID56" i="14"/>
  <c r="ID111" i="14" l="1"/>
  <c r="ID67" i="14"/>
  <c r="ID114" i="14" l="1"/>
  <c r="ID113" i="14"/>
  <c r="ID115" i="14" s="1"/>
  <c r="IE56" i="14"/>
  <c r="IE111" i="14" l="1"/>
  <c r="IE67" i="14"/>
  <c r="IE114" i="14" l="1"/>
  <c r="IE113" i="14"/>
  <c r="IE115" i="14" s="1"/>
  <c r="IF56" i="14"/>
  <c r="IF111" i="14" l="1"/>
  <c r="IF67" i="14"/>
  <c r="IF113" i="14" l="1"/>
  <c r="IF114" i="14"/>
  <c r="IG56" i="14"/>
  <c r="IG111" i="14" l="1"/>
  <c r="IG67" i="14"/>
  <c r="IF115" i="14"/>
  <c r="IG113" i="14" l="1"/>
  <c r="IG114" i="14"/>
  <c r="IH56" i="14"/>
  <c r="IH111" i="14" l="1"/>
  <c r="IH67" i="14"/>
  <c r="IG115" i="14"/>
  <c r="IH113" i="14" l="1"/>
  <c r="IH114" i="14"/>
  <c r="II56" i="14"/>
  <c r="II111" i="14" l="1"/>
  <c r="II67" i="14"/>
  <c r="IH115" i="14"/>
  <c r="II114" i="14" l="1"/>
  <c r="II113" i="14"/>
  <c r="II115" i="14" s="1"/>
  <c r="IJ56" i="14"/>
  <c r="IJ111" i="14" l="1"/>
  <c r="IJ67" i="14"/>
  <c r="IJ113" i="14" l="1"/>
  <c r="IJ114" i="14"/>
  <c r="IK56" i="14"/>
  <c r="IK111" i="14" l="1"/>
  <c r="IK67" i="14"/>
  <c r="IJ115" i="14"/>
  <c r="IK114" i="14" l="1"/>
  <c r="IK113" i="14"/>
  <c r="IK115" i="14" s="1"/>
  <c r="IL56" i="14"/>
  <c r="IL111" i="14" l="1"/>
  <c r="IL67" i="14"/>
  <c r="IL114" i="14" l="1"/>
  <c r="IL113" i="14"/>
  <c r="IL115" i="14" s="1"/>
  <c r="IM56" i="14"/>
  <c r="IM111" i="14" l="1"/>
  <c r="IM67" i="14"/>
  <c r="IM114" i="14" l="1"/>
  <c r="IM113" i="14"/>
  <c r="IM115" i="14" s="1"/>
  <c r="IN56" i="14"/>
  <c r="IN111" i="14" l="1"/>
  <c r="IN67" i="14"/>
  <c r="IN114" i="14" l="1"/>
  <c r="IN113" i="14"/>
  <c r="IO56" i="14"/>
  <c r="IN115" i="14" l="1"/>
  <c r="IO111" i="14"/>
  <c r="IO67" i="14"/>
  <c r="IO114" i="14" l="1"/>
  <c r="IO113" i="14"/>
  <c r="IO115" i="14" s="1"/>
  <c r="IP56" i="14"/>
  <c r="IP111" i="14" l="1"/>
  <c r="IP67" i="14"/>
  <c r="IP114" i="14" l="1"/>
  <c r="IP113" i="14"/>
  <c r="IP115" i="14" s="1"/>
  <c r="IQ56" i="14"/>
  <c r="IQ111" i="14" l="1"/>
  <c r="IQ67" i="14"/>
  <c r="IQ114" i="14" l="1"/>
  <c r="IQ113" i="14"/>
  <c r="IR56" i="14"/>
  <c r="IQ115" i="14" l="1"/>
  <c r="IR111" i="14"/>
  <c r="IR67" i="14"/>
  <c r="IR113" i="14" l="1"/>
  <c r="IR114" i="14"/>
  <c r="IS56" i="14"/>
  <c r="IS111" i="14" l="1"/>
  <c r="IS67" i="14"/>
  <c r="IR115" i="14"/>
  <c r="IS114" i="14" l="1"/>
  <c r="IS113" i="14"/>
  <c r="IS115" i="14" s="1"/>
  <c r="IT56" i="14"/>
  <c r="IT111" i="14" l="1"/>
  <c r="IT67" i="14"/>
  <c r="IT114" i="14" l="1"/>
  <c r="IT113" i="14"/>
  <c r="IU56" i="14"/>
  <c r="IT115" i="14" l="1"/>
  <c r="IU111" i="14"/>
  <c r="IU67" i="14"/>
  <c r="IU114" i="14" l="1"/>
  <c r="IU113" i="14"/>
  <c r="IU115" i="14" s="1"/>
  <c r="IV56" i="14"/>
  <c r="IV111" i="14" l="1"/>
  <c r="IV67" i="14"/>
  <c r="IV113" i="14" l="1"/>
  <c r="IV114" i="14"/>
  <c r="IW56" i="14"/>
  <c r="IW111" i="14" l="1"/>
  <c r="IW67" i="14"/>
  <c r="IV115" i="14"/>
  <c r="IW113" i="14" l="1"/>
  <c r="IW114" i="14"/>
  <c r="IX56" i="14"/>
  <c r="IX111" i="14" l="1"/>
  <c r="IX67" i="14"/>
  <c r="IY56" i="14" s="1"/>
  <c r="IW115" i="14"/>
  <c r="IY67" i="14" l="1"/>
  <c r="IY111" i="14"/>
  <c r="IX113" i="14"/>
  <c r="IX114" i="14"/>
  <c r="IZ56" i="14" l="1"/>
  <c r="IY114" i="14"/>
  <c r="IY113" i="14"/>
  <c r="IY115" i="14" s="1"/>
  <c r="IX115" i="14"/>
  <c r="IZ67" i="14" l="1"/>
  <c r="IZ111" i="14"/>
  <c r="JA56" i="14" l="1"/>
  <c r="IZ114" i="14"/>
  <c r="IZ113" i="14"/>
  <c r="IZ115" i="14" s="1"/>
  <c r="JA67" i="14" l="1"/>
  <c r="JB56" i="14" s="1"/>
  <c r="JB67" i="14" s="1"/>
  <c r="JC56" i="14" s="1"/>
  <c r="JC67" i="14" s="1"/>
  <c r="JD56" i="14" s="1"/>
  <c r="JD67" i="14" s="1"/>
  <c r="JE56" i="14" s="1"/>
  <c r="JE67" i="14" s="1"/>
  <c r="JF56" i="14" s="1"/>
  <c r="JF67" i="14" s="1"/>
  <c r="JG56" i="14" s="1"/>
  <c r="JG67" i="14" s="1"/>
  <c r="JH56" i="14" s="1"/>
  <c r="JH67" i="14" s="1"/>
  <c r="JI56" i="14" s="1"/>
  <c r="JI67" i="14" s="1"/>
  <c r="JA111" i="14"/>
  <c r="G38" i="18"/>
  <c r="F42" i="18" s="1"/>
  <c r="H38" i="18"/>
  <c r="F43" i="18" s="1"/>
  <c r="I38" i="18"/>
  <c r="F44" i="18" s="1"/>
  <c r="JA114" i="14" l="1"/>
  <c r="JA113" i="14"/>
  <c r="JA115" i="14" s="1"/>
  <c r="J43" i="18"/>
  <c r="H43" i="18"/>
  <c r="G43" i="18"/>
  <c r="L43" i="18"/>
  <c r="M43" i="18"/>
  <c r="K43" i="18"/>
  <c r="I43" i="18"/>
  <c r="F25" i="18"/>
  <c r="J38" i="18"/>
  <c r="F45" i="18" s="1"/>
  <c r="F47" i="18" s="1"/>
  <c r="K44" i="18"/>
  <c r="L44" i="18"/>
  <c r="H44" i="18"/>
  <c r="I44" i="18"/>
  <c r="M44" i="18"/>
  <c r="G44" i="18"/>
  <c r="J44" i="18"/>
  <c r="G42" i="18"/>
  <c r="I42" i="18"/>
  <c r="M42" i="18"/>
  <c r="J42" i="18"/>
  <c r="K42" i="18"/>
  <c r="H42" i="18"/>
  <c r="L42" i="18"/>
  <c r="JB111" i="14" l="1"/>
  <c r="I52" i="18"/>
  <c r="K52" i="18"/>
  <c r="J52" i="18"/>
  <c r="L52" i="18"/>
  <c r="G52" i="18"/>
  <c r="H52" i="18"/>
  <c r="K45" i="18"/>
  <c r="K47" i="18" s="1"/>
  <c r="J45" i="18"/>
  <c r="J47" i="18" s="1"/>
  <c r="G45" i="18"/>
  <c r="G47" i="18" s="1"/>
  <c r="L45" i="18"/>
  <c r="L47" i="18" s="1"/>
  <c r="H53" i="18"/>
  <c r="K53" i="18"/>
  <c r="H45" i="18"/>
  <c r="H47" i="18" s="1"/>
  <c r="G53" i="18"/>
  <c r="M45" i="18"/>
  <c r="M47" i="18" s="1"/>
  <c r="I45" i="18"/>
  <c r="I47" i="18" s="1"/>
  <c r="L53" i="18"/>
  <c r="I53" i="18"/>
  <c r="J53" i="18"/>
  <c r="J12" i="3" l="1"/>
  <c r="J13" i="3" s="1"/>
  <c r="H12" i="3"/>
  <c r="H13" i="3" s="1"/>
  <c r="JB113" i="14"/>
  <c r="JB114" i="14"/>
  <c r="K54" i="18"/>
  <c r="I54" i="18"/>
  <c r="I12" i="3"/>
  <c r="I13" i="3" s="1"/>
  <c r="J54" i="18"/>
  <c r="G12" i="3"/>
  <c r="G13" i="3" s="1"/>
  <c r="H54" i="18"/>
  <c r="K12" i="3"/>
  <c r="K13" i="3" s="1"/>
  <c r="L54" i="18"/>
  <c r="G54" i="18"/>
  <c r="F12" i="3"/>
  <c r="F13" i="3" s="1"/>
  <c r="E12" i="3"/>
  <c r="E13" i="3" s="1"/>
  <c r="JC111" i="14" l="1"/>
  <c r="JB115" i="14"/>
  <c r="D13" i="3"/>
  <c r="JC114" i="14" l="1"/>
  <c r="JC113" i="14"/>
  <c r="JC115" i="14" s="1"/>
  <c r="JD111" i="14" l="1"/>
  <c r="JD114" i="14" l="1"/>
  <c r="JD113" i="14"/>
  <c r="JD115" i="14" s="1"/>
  <c r="JE111" i="14" l="1"/>
  <c r="JE114" i="14" l="1"/>
  <c r="JE113" i="14"/>
  <c r="JE115" i="14" l="1"/>
  <c r="JF111" i="14"/>
  <c r="JF114" i="14" l="1"/>
  <c r="JF113" i="14"/>
  <c r="JF115" i="14" s="1"/>
  <c r="JG111" i="14" l="1"/>
  <c r="JG114" i="14" l="1"/>
  <c r="JG113" i="14"/>
  <c r="JG115" i="14" l="1"/>
  <c r="JH111" i="14"/>
  <c r="JI111" i="14" l="1"/>
  <c r="JH114" i="14"/>
  <c r="JH113" i="14"/>
  <c r="JH115" i="14" l="1"/>
  <c r="JJ56" i="14"/>
  <c r="JJ67" i="14" s="1"/>
  <c r="JI114" i="14" l="1"/>
  <c r="JI113" i="14"/>
  <c r="JI115" i="14" l="1"/>
  <c r="JJ111" i="14"/>
  <c r="JJ114" i="14" l="1"/>
  <c r="JK56" i="14"/>
  <c r="JJ113" i="14"/>
  <c r="JK111" i="14" l="1"/>
  <c r="JK67" i="14"/>
  <c r="JJ115" i="14"/>
  <c r="JK53" i="14"/>
  <c r="JL46" i="14" l="1"/>
  <c r="JL65" i="14" l="1"/>
  <c r="JK114" i="14"/>
  <c r="JL56" i="14"/>
  <c r="JL52" i="14" l="1"/>
  <c r="E121" i="16"/>
  <c r="E130" i="16" s="1"/>
  <c r="E118" i="16"/>
  <c r="F118" i="16" s="1"/>
  <c r="E120" i="16" l="1"/>
  <c r="F120" i="16" s="1"/>
  <c r="F129" i="16" s="1"/>
  <c r="E117" i="16"/>
  <c r="F117" i="16" s="1"/>
  <c r="G117" i="16" s="1"/>
  <c r="E119" i="16"/>
  <c r="F119" i="16" s="1"/>
  <c r="G119" i="16" s="1"/>
  <c r="E116" i="16"/>
  <c r="E125" i="16" s="1"/>
  <c r="E127" i="16"/>
  <c r="E128" i="16"/>
  <c r="F121" i="16"/>
  <c r="F130" i="16" s="1"/>
  <c r="G118" i="16"/>
  <c r="F127" i="16"/>
  <c r="E124" i="16"/>
  <c r="F115" i="16"/>
  <c r="G120" i="16" l="1"/>
  <c r="E129" i="16"/>
  <c r="F126" i="16"/>
  <c r="F128" i="16"/>
  <c r="E126" i="16"/>
  <c r="F116" i="16"/>
  <c r="F125" i="16" s="1"/>
  <c r="G116" i="16"/>
  <c r="G125" i="16" s="1"/>
  <c r="G121" i="16"/>
  <c r="G130" i="16" s="1"/>
  <c r="H120" i="16"/>
  <c r="G129" i="16"/>
  <c r="G115" i="16"/>
  <c r="F124" i="16"/>
  <c r="H117" i="16"/>
  <c r="G126" i="16"/>
  <c r="H119" i="16"/>
  <c r="G128" i="16"/>
  <c r="H118" i="16"/>
  <c r="G127" i="16"/>
  <c r="E131" i="16" l="1"/>
  <c r="JL31" i="14" s="1"/>
  <c r="JL32" i="14" s="1"/>
  <c r="JM24" i="14" s="1"/>
  <c r="H121" i="16"/>
  <c r="I121" i="16" s="1"/>
  <c r="H116" i="16"/>
  <c r="I116" i="16" s="1"/>
  <c r="F131" i="16"/>
  <c r="JM31" i="14" s="1"/>
  <c r="I119" i="16"/>
  <c r="H128" i="16"/>
  <c r="H115" i="16"/>
  <c r="G124" i="16"/>
  <c r="G131" i="16" s="1"/>
  <c r="I120" i="16"/>
  <c r="H129" i="16"/>
  <c r="I118" i="16"/>
  <c r="H127" i="16"/>
  <c r="I117" i="16"/>
  <c r="H126" i="16"/>
  <c r="H125" i="16"/>
  <c r="JM32" i="14" l="1"/>
  <c r="JN24" i="14" s="1"/>
  <c r="H130" i="16"/>
  <c r="J121" i="16"/>
  <c r="I130" i="16"/>
  <c r="J118" i="16"/>
  <c r="I127" i="16"/>
  <c r="I115" i="16"/>
  <c r="H124" i="16"/>
  <c r="I125" i="16"/>
  <c r="J116" i="16"/>
  <c r="J117" i="16"/>
  <c r="I126" i="16"/>
  <c r="J120" i="16"/>
  <c r="I129" i="16"/>
  <c r="J119" i="16"/>
  <c r="I128" i="16"/>
  <c r="JL53" i="14"/>
  <c r="JM46" i="14" s="1"/>
  <c r="H131" i="16" l="1"/>
  <c r="JN31" i="14"/>
  <c r="JN32" i="14" s="1"/>
  <c r="K120" i="16"/>
  <c r="J129" i="16"/>
  <c r="K116" i="16"/>
  <c r="J125" i="16"/>
  <c r="K118" i="16"/>
  <c r="J127" i="16"/>
  <c r="K119" i="16"/>
  <c r="J128" i="16"/>
  <c r="K117" i="16"/>
  <c r="J126" i="16"/>
  <c r="J115" i="16"/>
  <c r="I124" i="16"/>
  <c r="I131" i="16" s="1"/>
  <c r="K121" i="16"/>
  <c r="J130" i="16"/>
  <c r="JO24" i="14" l="1"/>
  <c r="JO31" i="14"/>
  <c r="K115" i="16"/>
  <c r="J124" i="16"/>
  <c r="J131" i="16" s="1"/>
  <c r="L119" i="16"/>
  <c r="K128" i="16"/>
  <c r="K125" i="16"/>
  <c r="L116" i="16"/>
  <c r="L121" i="16"/>
  <c r="K130" i="16"/>
  <c r="L117" i="16"/>
  <c r="K126" i="16"/>
  <c r="L118" i="16"/>
  <c r="K127" i="16"/>
  <c r="L120" i="16"/>
  <c r="K129" i="16"/>
  <c r="JM52" i="14"/>
  <c r="JM53" i="14" s="1"/>
  <c r="JN46" i="14" s="1"/>
  <c r="JO32" i="14" l="1"/>
  <c r="JP24" i="14" s="1"/>
  <c r="JP31" i="14"/>
  <c r="M119" i="16"/>
  <c r="L128" i="16"/>
  <c r="M120" i="16"/>
  <c r="L129" i="16"/>
  <c r="M117" i="16"/>
  <c r="L126" i="16"/>
  <c r="L125" i="16"/>
  <c r="M116" i="16"/>
  <c r="L115" i="16"/>
  <c r="K124" i="16"/>
  <c r="K131" i="16" s="1"/>
  <c r="M118" i="16"/>
  <c r="L127" i="16"/>
  <c r="M121" i="16"/>
  <c r="L130" i="16"/>
  <c r="JP32" i="14" l="1"/>
  <c r="JQ24" i="14" s="1"/>
  <c r="N118" i="16"/>
  <c r="M127" i="16"/>
  <c r="M125" i="16"/>
  <c r="N116" i="16"/>
  <c r="N120" i="16"/>
  <c r="M129" i="16"/>
  <c r="N121" i="16"/>
  <c r="M130" i="16"/>
  <c r="M115" i="16"/>
  <c r="L124" i="16"/>
  <c r="L131" i="16" s="1"/>
  <c r="N117" i="16"/>
  <c r="M126" i="16"/>
  <c r="N119" i="16"/>
  <c r="M128" i="16"/>
  <c r="JN52" i="14"/>
  <c r="JN53" i="14" s="1"/>
  <c r="JO46" i="14" s="1"/>
  <c r="JQ31" i="14" l="1"/>
  <c r="JQ32" i="14" s="1"/>
  <c r="O121" i="16"/>
  <c r="N130" i="16"/>
  <c r="O119" i="16"/>
  <c r="N128" i="16"/>
  <c r="N115" i="16"/>
  <c r="M124" i="16"/>
  <c r="M131" i="16" s="1"/>
  <c r="O120" i="16"/>
  <c r="N129" i="16"/>
  <c r="O116" i="16"/>
  <c r="N125" i="16"/>
  <c r="O117" i="16"/>
  <c r="N126" i="16"/>
  <c r="O118" i="16"/>
  <c r="N127" i="16"/>
  <c r="JR24" i="14" l="1"/>
  <c r="P117" i="16"/>
  <c r="O126" i="16"/>
  <c r="P120" i="16"/>
  <c r="O129" i="16"/>
  <c r="P119" i="16"/>
  <c r="O128" i="16"/>
  <c r="P118" i="16"/>
  <c r="O127" i="16"/>
  <c r="O125" i="16"/>
  <c r="P116" i="16"/>
  <c r="O115" i="16"/>
  <c r="N124" i="16"/>
  <c r="N131" i="16" s="1"/>
  <c r="P121" i="16"/>
  <c r="O130" i="16"/>
  <c r="JO52" i="14"/>
  <c r="JO53" i="14" s="1"/>
  <c r="JP46" i="14" s="1"/>
  <c r="JR31" i="14" l="1"/>
  <c r="JR32" i="14" s="1"/>
  <c r="JS24" i="14" s="1"/>
  <c r="P115" i="16"/>
  <c r="O124" i="16"/>
  <c r="O131" i="16" s="1"/>
  <c r="P127" i="16"/>
  <c r="P125" i="16"/>
  <c r="P129" i="16"/>
  <c r="P130" i="16"/>
  <c r="P128" i="16"/>
  <c r="P126" i="16"/>
  <c r="JS31" i="14" l="1"/>
  <c r="JS32" i="14" s="1"/>
  <c r="JT24" i="14" s="1"/>
  <c r="P124" i="16"/>
  <c r="JP52" i="14"/>
  <c r="JP53" i="14" s="1"/>
  <c r="JQ46" i="14" s="1"/>
  <c r="JT31" i="14" l="1"/>
  <c r="JT32" i="14" s="1"/>
  <c r="JU24" i="14" s="1"/>
  <c r="P131" i="16"/>
  <c r="JU31" i="14" l="1"/>
  <c r="JU32" i="14" s="1"/>
  <c r="JQ52" i="14"/>
  <c r="JQ53" i="14" s="1"/>
  <c r="JR46" i="14" s="1"/>
  <c r="JR52" i="14" l="1"/>
  <c r="JR53" i="14" s="1"/>
  <c r="JS46" i="14" s="1"/>
  <c r="JS52" i="14" l="1"/>
  <c r="JS53" i="14" s="1"/>
  <c r="JT46" i="14" s="1"/>
  <c r="JT52" i="14" l="1"/>
  <c r="JT53" i="14" s="1"/>
  <c r="JU46" i="14" s="1"/>
  <c r="JU52" i="14" l="1"/>
  <c r="JU53" i="14" s="1"/>
  <c r="C39" i="5" l="1"/>
  <c r="JK77" i="14"/>
  <c r="JK78" i="14" s="1"/>
  <c r="JL70" i="14" l="1"/>
  <c r="JK98" i="14"/>
  <c r="JK99" i="14" s="1"/>
  <c r="JL94" i="14" l="1"/>
  <c r="JL111" i="14" s="1"/>
  <c r="JK112" i="14"/>
  <c r="JK113" i="14"/>
  <c r="JK115" i="14" l="1"/>
  <c r="JM20" i="14"/>
  <c r="JN20" i="14" l="1"/>
  <c r="JO20" i="14" l="1"/>
  <c r="JP20" i="14" l="1"/>
  <c r="JQ20" i="14" l="1"/>
  <c r="JR20" i="14" l="1"/>
  <c r="JS20" i="14" l="1"/>
  <c r="JT20" i="14" l="1"/>
  <c r="JM11" i="14" l="1"/>
  <c r="JN11" i="14" l="1"/>
  <c r="JO11" i="14" l="1"/>
  <c r="JP11" i="14" l="1"/>
  <c r="JQ11" i="14" l="1"/>
  <c r="JR11" i="14" l="1"/>
  <c r="JS11" i="14" l="1"/>
  <c r="JT11" i="14" l="1"/>
  <c r="JL90" i="14" l="1"/>
  <c r="JL91" i="14" s="1"/>
  <c r="JM81" i="14"/>
  <c r="JL106" i="14"/>
  <c r="JL107" i="14" s="1"/>
  <c r="JM102" i="14" s="1"/>
  <c r="JM90" i="14" l="1"/>
  <c r="JM91" i="14"/>
  <c r="JM106" i="14" s="1"/>
  <c r="JM107" i="14" s="1"/>
  <c r="JN102" i="14" s="1"/>
  <c r="JN90" i="14" l="1"/>
  <c r="JN81" i="14"/>
  <c r="JN91" i="14" s="1"/>
  <c r="JO90" i="14" l="1"/>
  <c r="JN106" i="14"/>
  <c r="JN107" i="14" s="1"/>
  <c r="JO102" i="14" s="1"/>
  <c r="JO81" i="14"/>
  <c r="JO91" i="14" s="1"/>
  <c r="JP90" i="14" l="1"/>
  <c r="JO106" i="14"/>
  <c r="JO107" i="14" s="1"/>
  <c r="JP102" i="14" s="1"/>
  <c r="JP81" i="14"/>
  <c r="JP91" i="14" s="1"/>
  <c r="JQ90" i="14" l="1"/>
  <c r="JQ81" i="14"/>
  <c r="JQ91" i="14" s="1"/>
  <c r="JP106" i="14"/>
  <c r="JP107" i="14" s="1"/>
  <c r="JQ102" i="14" s="1"/>
  <c r="JR90" i="14" l="1"/>
  <c r="JQ106" i="14"/>
  <c r="JQ107" i="14" s="1"/>
  <c r="JR102" i="14" s="1"/>
  <c r="JR81" i="14"/>
  <c r="JR91" i="14" s="1"/>
  <c r="JS90" i="14" l="1"/>
  <c r="JS81" i="14"/>
  <c r="JS91" i="14" s="1"/>
  <c r="JR106" i="14"/>
  <c r="JR107" i="14" s="1"/>
  <c r="JS102" i="14" s="1"/>
  <c r="JT90" i="14" l="1"/>
  <c r="JS106" i="14"/>
  <c r="JS107" i="14" s="1"/>
  <c r="JT102" i="14" s="1"/>
  <c r="JT81" i="14"/>
  <c r="JT91" i="14" s="1"/>
  <c r="JU90" i="14" l="1"/>
  <c r="JT106" i="14"/>
  <c r="JT107" i="14" s="1"/>
  <c r="JU102" i="14" s="1"/>
  <c r="JU81" i="14"/>
  <c r="JU91" i="14" l="1"/>
  <c r="JU106" i="14" s="1"/>
  <c r="JU107" i="14" s="1"/>
  <c r="JM77" i="14" l="1"/>
  <c r="C18" i="5" l="1"/>
  <c r="C31" i="5" s="1"/>
  <c r="JN77" i="14"/>
  <c r="D31" i="5" l="1"/>
  <c r="JO77" i="14"/>
  <c r="JM98" i="14"/>
  <c r="E31" i="5" l="1"/>
  <c r="JP77" i="14"/>
  <c r="JQ77" i="14" l="1"/>
  <c r="JN98" i="14"/>
  <c r="JR77" i="14" l="1"/>
  <c r="JS77" i="14" l="1"/>
  <c r="JO98" i="14"/>
  <c r="JT77" i="14" l="1"/>
  <c r="JU77" i="14" l="1"/>
  <c r="JP98" i="14"/>
  <c r="JQ98" i="14" l="1"/>
  <c r="JR98" i="14" l="1"/>
  <c r="JS98" i="14" l="1"/>
  <c r="JT98" i="14" l="1"/>
  <c r="JL42" i="14" l="1"/>
  <c r="JL43" i="14" s="1"/>
  <c r="JL58" i="14"/>
  <c r="JM35" i="14" l="1"/>
  <c r="JM58" i="14"/>
  <c r="JN58" i="14" l="1"/>
  <c r="JP58" i="14" l="1"/>
  <c r="JM65" i="14"/>
  <c r="JM66" i="14" s="1"/>
  <c r="JM112" i="14" s="1"/>
  <c r="JM42" i="14"/>
  <c r="JM43" i="14" s="1"/>
  <c r="JO58" i="14"/>
  <c r="JN35" i="14" l="1"/>
  <c r="JQ58" i="14" l="1"/>
  <c r="JR58" i="14" l="1"/>
  <c r="JN65" i="14"/>
  <c r="JN66" i="14" s="1"/>
  <c r="JN42" i="14"/>
  <c r="JN43" i="14" s="1"/>
  <c r="JO35" i="14" l="1"/>
  <c r="JS58" i="14"/>
  <c r="JN112" i="14"/>
  <c r="JT58" i="14" l="1"/>
  <c r="JO65" i="14" l="1"/>
  <c r="JO66" i="14" s="1"/>
  <c r="JO112" i="14" s="1"/>
  <c r="JO42" i="14"/>
  <c r="JO43" i="14" s="1"/>
  <c r="JP35" i="14" l="1"/>
  <c r="JP65" i="14" l="1"/>
  <c r="JP66" i="14" s="1"/>
  <c r="JP112" i="14" s="1"/>
  <c r="JP42" i="14"/>
  <c r="JP43" i="14" s="1"/>
  <c r="JQ35" i="14" l="1"/>
  <c r="JQ65" i="14" l="1"/>
  <c r="JQ66" i="14" s="1"/>
  <c r="JQ42" i="14"/>
  <c r="JQ43" i="14" s="1"/>
  <c r="JR35" i="14" s="1"/>
  <c r="JQ112" i="14" l="1"/>
  <c r="JR65" i="14" l="1"/>
  <c r="JR66" i="14" s="1"/>
  <c r="JR112" i="14" s="1"/>
  <c r="JR42" i="14"/>
  <c r="JR43" i="14" s="1"/>
  <c r="JS35" i="14" s="1"/>
  <c r="JS65" i="14" l="1"/>
  <c r="JS66" i="14" s="1"/>
  <c r="JS112" i="14" s="1"/>
  <c r="JS42" i="14"/>
  <c r="JS43" i="14" s="1"/>
  <c r="JT35" i="14" s="1"/>
  <c r="JT65" i="14" l="1"/>
  <c r="JT66" i="14" s="1"/>
  <c r="JT112" i="14" s="1"/>
  <c r="JT42" i="14"/>
  <c r="JT43" i="14" s="1"/>
  <c r="JU35" i="14" s="1"/>
  <c r="JU42" i="14" l="1"/>
  <c r="JU43" i="14" s="1"/>
  <c r="E144" i="16" l="1"/>
  <c r="F135" i="16"/>
  <c r="F140" i="16"/>
  <c r="E149" i="16"/>
  <c r="E147" i="16"/>
  <c r="F138" i="16"/>
  <c r="F136" i="16"/>
  <c r="E145" i="16"/>
  <c r="E146" i="16"/>
  <c r="F137" i="16"/>
  <c r="F134" i="16"/>
  <c r="E143" i="16"/>
  <c r="E148" i="16"/>
  <c r="F139" i="16"/>
  <c r="E150" i="16" l="1"/>
  <c r="F148" i="16"/>
  <c r="G139" i="16"/>
  <c r="G137" i="16"/>
  <c r="F146" i="16"/>
  <c r="G136" i="16"/>
  <c r="F145" i="16"/>
  <c r="G140" i="16"/>
  <c r="F149" i="16"/>
  <c r="F147" i="16"/>
  <c r="G138" i="16"/>
  <c r="F144" i="16"/>
  <c r="G135" i="16"/>
  <c r="G134" i="16"/>
  <c r="F143" i="16"/>
  <c r="G144" i="16" l="1"/>
  <c r="H135" i="16"/>
  <c r="H140" i="16"/>
  <c r="G149" i="16"/>
  <c r="H137" i="16"/>
  <c r="G146" i="16"/>
  <c r="F150" i="16"/>
  <c r="H138" i="16"/>
  <c r="G147" i="16"/>
  <c r="H139" i="16"/>
  <c r="G148" i="16"/>
  <c r="H134" i="16"/>
  <c r="G143" i="16"/>
  <c r="G145" i="16"/>
  <c r="H136" i="16"/>
  <c r="H149" i="16" l="1"/>
  <c r="I140" i="16"/>
  <c r="I139" i="16"/>
  <c r="H148" i="16"/>
  <c r="I135" i="16"/>
  <c r="H144" i="16"/>
  <c r="I134" i="16"/>
  <c r="H143" i="16"/>
  <c r="H147" i="16"/>
  <c r="I138" i="16"/>
  <c r="H145" i="16"/>
  <c r="I136" i="16"/>
  <c r="G150" i="16"/>
  <c r="H146" i="16"/>
  <c r="I137" i="16"/>
  <c r="H150" i="16" l="1"/>
  <c r="I146" i="16"/>
  <c r="J137" i="16"/>
  <c r="I143" i="16"/>
  <c r="J134" i="16"/>
  <c r="J139" i="16"/>
  <c r="I148" i="16"/>
  <c r="I145" i="16"/>
  <c r="J136" i="16"/>
  <c r="I147" i="16"/>
  <c r="J138" i="16"/>
  <c r="J140" i="16"/>
  <c r="I149" i="16"/>
  <c r="J135" i="16"/>
  <c r="I144" i="16"/>
  <c r="K136" i="16" l="1"/>
  <c r="J145" i="16"/>
  <c r="K134" i="16"/>
  <c r="J143" i="16"/>
  <c r="K140" i="16"/>
  <c r="J149" i="16"/>
  <c r="I150" i="16"/>
  <c r="J147" i="16"/>
  <c r="K138" i="16"/>
  <c r="J146" i="16"/>
  <c r="K137" i="16"/>
  <c r="K135" i="16"/>
  <c r="J144" i="16"/>
  <c r="J148" i="16"/>
  <c r="K139" i="16"/>
  <c r="K144" i="16" l="1"/>
  <c r="L135" i="16"/>
  <c r="L134" i="16"/>
  <c r="K143" i="16"/>
  <c r="J150" i="16"/>
  <c r="L139" i="16"/>
  <c r="K148" i="16"/>
  <c r="L137" i="16"/>
  <c r="K146" i="16"/>
  <c r="L138" i="16"/>
  <c r="K147" i="16"/>
  <c r="K149" i="16"/>
  <c r="L140" i="16"/>
  <c r="L136" i="16"/>
  <c r="K145" i="16"/>
  <c r="L146" i="16" l="1"/>
  <c r="M137" i="16"/>
  <c r="L145" i="16"/>
  <c r="M136" i="16"/>
  <c r="K150" i="16"/>
  <c r="M134" i="16"/>
  <c r="L143" i="16"/>
  <c r="M138" i="16"/>
  <c r="L147" i="16"/>
  <c r="L148" i="16"/>
  <c r="M139" i="16"/>
  <c r="L144" i="16"/>
  <c r="M135" i="16"/>
  <c r="M140" i="16"/>
  <c r="L149" i="16"/>
  <c r="N138" i="16" l="1"/>
  <c r="M147" i="16"/>
  <c r="N139" i="16"/>
  <c r="M148" i="16"/>
  <c r="M143" i="16"/>
  <c r="N134" i="16"/>
  <c r="N136" i="16"/>
  <c r="M145" i="16"/>
  <c r="L150" i="16"/>
  <c r="N140" i="16"/>
  <c r="M149" i="16"/>
  <c r="M146" i="16"/>
  <c r="N137" i="16"/>
  <c r="N135" i="16"/>
  <c r="M144" i="16"/>
  <c r="N145" i="16" l="1"/>
  <c r="O136" i="16"/>
  <c r="O145" i="16" s="1"/>
  <c r="N143" i="16"/>
  <c r="O134" i="16"/>
  <c r="O139" i="16"/>
  <c r="O148" i="16" s="1"/>
  <c r="N148" i="16"/>
  <c r="O135" i="16"/>
  <c r="O144" i="16" s="1"/>
  <c r="N144" i="16"/>
  <c r="N149" i="16"/>
  <c r="O140" i="16"/>
  <c r="O149" i="16" s="1"/>
  <c r="O137" i="16"/>
  <c r="O146" i="16" s="1"/>
  <c r="N146" i="16"/>
  <c r="M150" i="16"/>
  <c r="O138" i="16"/>
  <c r="O147" i="16" s="1"/>
  <c r="N147" i="16"/>
  <c r="N150" i="16" l="1"/>
  <c r="O143" i="16"/>
  <c r="O150" i="16" s="1"/>
  <c r="P134" i="16"/>
  <c r="P139" i="16" l="1"/>
  <c r="P148" i="16" s="1"/>
  <c r="P138" i="16"/>
  <c r="P147" i="16" s="1"/>
  <c r="P143" i="16"/>
  <c r="P135" i="16"/>
  <c r="P144" i="16" s="1"/>
  <c r="P136" i="16"/>
  <c r="P145" i="16" s="1"/>
  <c r="P137" i="16"/>
  <c r="P146" i="16" s="1"/>
  <c r="P140" i="16"/>
  <c r="P149" i="16" s="1"/>
  <c r="P150" i="16" l="1"/>
  <c r="JL20" i="14" l="1"/>
  <c r="JL21" i="14" s="1"/>
  <c r="JM15" i="14" s="1"/>
  <c r="JM21" i="14" s="1"/>
  <c r="JN15" i="14" s="1"/>
  <c r="JN21" i="14" s="1"/>
  <c r="JO15" i="14" s="1"/>
  <c r="JO21" i="14" s="1"/>
  <c r="JP15" i="14" s="1"/>
  <c r="JP21" i="14" s="1"/>
  <c r="JQ15" i="14" s="1"/>
  <c r="JQ21" i="14" s="1"/>
  <c r="JR15" i="14" s="1"/>
  <c r="JR21" i="14" s="1"/>
  <c r="JS21" i="14" s="1"/>
  <c r="JT15" i="14" s="1"/>
  <c r="JT21" i="14" l="1"/>
  <c r="JU15" i="14" s="1"/>
  <c r="JL77" i="14" l="1"/>
  <c r="JL78" i="14" s="1"/>
  <c r="JM70" i="14" s="1"/>
  <c r="JM78" i="14" s="1"/>
  <c r="JN70" i="14" s="1"/>
  <c r="JN78" i="14" s="1"/>
  <c r="JO70" i="14" s="1"/>
  <c r="JO78" i="14" s="1"/>
  <c r="JP70" i="14" s="1"/>
  <c r="JP78" i="14" s="1"/>
  <c r="JQ70" i="14" s="1"/>
  <c r="JQ78" i="14" s="1"/>
  <c r="JR70" i="14" s="1"/>
  <c r="JR78" i="14" s="1"/>
  <c r="JS70" i="14" s="1"/>
  <c r="JS78" i="14" s="1"/>
  <c r="JT70" i="14" s="1"/>
  <c r="JT78" i="14" s="1"/>
  <c r="JU70" i="14" s="1"/>
  <c r="JU78" i="14" s="1"/>
  <c r="JU98" i="14" l="1"/>
  <c r="E20" i="5" l="1"/>
  <c r="JL7" i="14"/>
  <c r="JL11" i="14" s="1"/>
  <c r="JL12" i="14" s="1"/>
  <c r="JM6" i="14"/>
  <c r="JM12" i="14"/>
  <c r="JN6" i="14" s="1"/>
  <c r="JN12" i="14" s="1"/>
  <c r="JO6" i="14" s="1"/>
  <c r="JO12" i="14" s="1"/>
  <c r="JP6" i="14" s="1"/>
  <c r="JP12" i="14" s="1"/>
  <c r="JQ6" i="14" s="1"/>
  <c r="JQ12" i="14" s="1"/>
  <c r="JR6" i="14" s="1"/>
  <c r="JR12" i="14" s="1"/>
  <c r="JS12" i="14" s="1"/>
  <c r="JT6" i="14" s="1"/>
  <c r="JL98" i="14"/>
  <c r="JL99" i="14" s="1"/>
  <c r="JM94" i="14" s="1"/>
  <c r="JM99" i="14" s="1"/>
  <c r="JN94" i="14" s="1"/>
  <c r="JN99" i="14" s="1"/>
  <c r="JO94" i="14" s="1"/>
  <c r="JO99" i="14" s="1"/>
  <c r="JP94" i="14" s="1"/>
  <c r="JP99" i="14" s="1"/>
  <c r="JQ94" i="14" s="1"/>
  <c r="JQ99" i="14" s="1"/>
  <c r="JR94" i="14" s="1"/>
  <c r="JR99" i="14" s="1"/>
  <c r="JS94" i="14" s="1"/>
  <c r="JS99" i="14" s="1"/>
  <c r="JT94" i="14" s="1"/>
  <c r="JT99" i="14" s="1"/>
  <c r="JU94" i="14" s="1"/>
  <c r="JU99" i="14" s="1"/>
  <c r="JT12" i="14" l="1"/>
  <c r="JU6" i="14" s="1"/>
  <c r="JL57" i="14"/>
  <c r="JL66" i="14" s="1"/>
  <c r="JU65" i="14" l="1"/>
  <c r="JL112" i="14"/>
  <c r="JL67" i="14"/>
  <c r="D20" i="5"/>
  <c r="C17" i="5"/>
  <c r="D30" i="5"/>
  <c r="JL114" i="14" l="1"/>
  <c r="JM56" i="14"/>
  <c r="JL113" i="14"/>
  <c r="C20" i="5"/>
  <c r="C30" i="5"/>
  <c r="D32" i="5"/>
  <c r="JL115" i="14" l="1"/>
  <c r="JM111" i="14"/>
  <c r="JM67" i="14"/>
  <c r="C32" i="5"/>
  <c r="E30" i="5"/>
  <c r="JM113" i="14" l="1"/>
  <c r="JM114" i="14"/>
  <c r="JN56" i="14"/>
  <c r="E32" i="5"/>
  <c r="JN111" i="14" l="1"/>
  <c r="JN67" i="14"/>
  <c r="JM115" i="14"/>
  <c r="JN113" i="14" l="1"/>
  <c r="JN114" i="14"/>
  <c r="JO56" i="14"/>
  <c r="JN115" i="14" l="1"/>
  <c r="JO111" i="14"/>
  <c r="JO67" i="14"/>
  <c r="JO114" i="14" l="1"/>
  <c r="JP56" i="14"/>
  <c r="JO113" i="14"/>
  <c r="JP111" i="14" l="1"/>
  <c r="JP67" i="14"/>
  <c r="JO115" i="14"/>
  <c r="JP114" i="14" l="1"/>
  <c r="JP113" i="14"/>
  <c r="JQ56" i="14"/>
  <c r="JP115" i="14" l="1"/>
  <c r="JQ111" i="14"/>
  <c r="JQ67" i="14"/>
  <c r="JQ113" i="14" l="1"/>
  <c r="JQ114" i="14"/>
  <c r="JR56" i="14"/>
  <c r="JR111" i="14" l="1"/>
  <c r="JR67" i="14"/>
  <c r="JQ115" i="14"/>
  <c r="JR113" i="14" l="1"/>
  <c r="JR114" i="14"/>
  <c r="JS56" i="14"/>
  <c r="JR115" i="14" l="1"/>
  <c r="JS111" i="14"/>
  <c r="JS67" i="14"/>
  <c r="JS113" i="14" l="1"/>
  <c r="JT56" i="14"/>
  <c r="JS114" i="14"/>
  <c r="JS115" i="14" l="1"/>
  <c r="JT111" i="14"/>
  <c r="JT67" i="14"/>
  <c r="JT114" i="14" l="1"/>
  <c r="JT113" i="14"/>
  <c r="JU56" i="14"/>
  <c r="JT115" i="14" l="1"/>
  <c r="JU111" i="14"/>
  <c r="JU11" i="14"/>
  <c r="JU12" i="14" s="1"/>
  <c r="C37" i="5" l="1"/>
  <c r="D15" i="3" l="1"/>
  <c r="I15" i="3" l="1"/>
  <c r="H15" i="3"/>
  <c r="K15" i="3"/>
  <c r="J15" i="3"/>
  <c r="E15" i="3"/>
  <c r="G15" i="3"/>
  <c r="F15" i="3"/>
  <c r="J16" i="3" l="1"/>
  <c r="J18" i="3"/>
  <c r="K18" i="3"/>
  <c r="K16" i="3"/>
  <c r="H16" i="3"/>
  <c r="H18" i="3"/>
  <c r="F16" i="3"/>
  <c r="F18" i="3"/>
  <c r="G16" i="3"/>
  <c r="G18" i="3"/>
  <c r="E16" i="3"/>
  <c r="E18" i="3"/>
  <c r="I16" i="3"/>
  <c r="I18" i="3"/>
  <c r="D16" i="3" l="1"/>
  <c r="E76" i="16"/>
  <c r="E31" i="3"/>
  <c r="F31" i="3"/>
  <c r="F19" i="3"/>
  <c r="F32" i="3" s="1"/>
  <c r="E77" i="16"/>
  <c r="K31" i="3"/>
  <c r="E82" i="16"/>
  <c r="E79" i="16"/>
  <c r="H31" i="3"/>
  <c r="E80" i="16"/>
  <c r="I31" i="3"/>
  <c r="G31" i="3"/>
  <c r="E78" i="16"/>
  <c r="J31" i="3"/>
  <c r="E81" i="16"/>
  <c r="E88" i="16" l="1"/>
  <c r="F79" i="16"/>
  <c r="E90" i="16"/>
  <c r="F81" i="16"/>
  <c r="F80" i="16"/>
  <c r="E89" i="16"/>
  <c r="E91" i="16"/>
  <c r="F82" i="16"/>
  <c r="E87" i="16"/>
  <c r="F78" i="16"/>
  <c r="E86" i="16"/>
  <c r="F77" i="16"/>
  <c r="E85" i="16"/>
  <c r="F76" i="16"/>
  <c r="F86" i="16" l="1"/>
  <c r="G77" i="16"/>
  <c r="F89" i="16"/>
  <c r="G80" i="16"/>
  <c r="F88" i="16"/>
  <c r="G79" i="16"/>
  <c r="F85" i="16"/>
  <c r="G76" i="16"/>
  <c r="F91" i="16"/>
  <c r="G82" i="16"/>
  <c r="E92" i="16"/>
  <c r="F87" i="16"/>
  <c r="G78" i="16"/>
  <c r="F90" i="16"/>
  <c r="G81" i="16"/>
  <c r="H82" i="16" l="1"/>
  <c r="G91" i="16"/>
  <c r="G89" i="16"/>
  <c r="H80" i="16"/>
  <c r="G87" i="16"/>
  <c r="H78" i="16"/>
  <c r="G90" i="16"/>
  <c r="H81" i="16"/>
  <c r="H76" i="16"/>
  <c r="G85" i="16"/>
  <c r="G88" i="16"/>
  <c r="H79" i="16"/>
  <c r="G86" i="16"/>
  <c r="H77" i="16"/>
  <c r="F92" i="16"/>
  <c r="H85" i="16" l="1"/>
  <c r="I76" i="16"/>
  <c r="H89" i="16"/>
  <c r="I80" i="16"/>
  <c r="H90" i="16"/>
  <c r="I81" i="16"/>
  <c r="H87" i="16"/>
  <c r="I78" i="16"/>
  <c r="H88" i="16"/>
  <c r="I79" i="16"/>
  <c r="H86" i="16"/>
  <c r="I77" i="16"/>
  <c r="G92" i="16"/>
  <c r="H91" i="16"/>
  <c r="I82" i="16"/>
  <c r="I87" i="16" l="1"/>
  <c r="J78" i="16"/>
  <c r="I91" i="16"/>
  <c r="J82" i="16"/>
  <c r="I86" i="16"/>
  <c r="J77" i="16"/>
  <c r="I88" i="16"/>
  <c r="J79" i="16"/>
  <c r="I85" i="16"/>
  <c r="J76" i="16"/>
  <c r="H92" i="16"/>
  <c r="I90" i="16"/>
  <c r="J81" i="16"/>
  <c r="I89" i="16"/>
  <c r="J80" i="16"/>
  <c r="J89" i="16" l="1"/>
  <c r="K80" i="16"/>
  <c r="J85" i="16"/>
  <c r="K76" i="16"/>
  <c r="K77" i="16"/>
  <c r="J86" i="16"/>
  <c r="J87" i="16"/>
  <c r="K78" i="16"/>
  <c r="J90" i="16"/>
  <c r="K81" i="16"/>
  <c r="I92" i="16"/>
  <c r="K79" i="16"/>
  <c r="J88" i="16"/>
  <c r="K82" i="16"/>
  <c r="J91" i="16"/>
  <c r="K90" i="16" l="1"/>
  <c r="L81" i="16"/>
  <c r="J92" i="16"/>
  <c r="K88" i="16"/>
  <c r="L79" i="16"/>
  <c r="K86" i="16"/>
  <c r="L77" i="16"/>
  <c r="K91" i="16"/>
  <c r="L82" i="16"/>
  <c r="L78" i="16"/>
  <c r="K87" i="16"/>
  <c r="L76" i="16"/>
  <c r="K85" i="16"/>
  <c r="K89" i="16"/>
  <c r="L80" i="16"/>
  <c r="K92" i="16" l="1"/>
  <c r="M82" i="16"/>
  <c r="L91" i="16"/>
  <c r="L85" i="16"/>
  <c r="M76" i="16"/>
  <c r="L89" i="16"/>
  <c r="M80" i="16"/>
  <c r="M77" i="16"/>
  <c r="L86" i="16"/>
  <c r="M78" i="16"/>
  <c r="L87" i="16"/>
  <c r="L88" i="16"/>
  <c r="M79" i="16"/>
  <c r="L90" i="16"/>
  <c r="M81" i="16"/>
  <c r="M90" i="16" l="1"/>
  <c r="N81" i="16"/>
  <c r="M85" i="16"/>
  <c r="N76" i="16"/>
  <c r="M89" i="16"/>
  <c r="N80" i="16"/>
  <c r="N82" i="16"/>
  <c r="M91" i="16"/>
  <c r="M88" i="16"/>
  <c r="N79" i="16"/>
  <c r="M87" i="16"/>
  <c r="N78" i="16"/>
  <c r="L92" i="16"/>
  <c r="M86" i="16"/>
  <c r="N77" i="16"/>
  <c r="O79" i="16" l="1"/>
  <c r="N88" i="16"/>
  <c r="N89" i="16"/>
  <c r="O80" i="16"/>
  <c r="N90" i="16"/>
  <c r="O81" i="16"/>
  <c r="N86" i="16"/>
  <c r="O77" i="16"/>
  <c r="O76" i="16"/>
  <c r="N85" i="16"/>
  <c r="N91" i="16"/>
  <c r="O82" i="16"/>
  <c r="O78" i="16"/>
  <c r="N87" i="16"/>
  <c r="M92" i="16"/>
  <c r="N92" i="16" l="1"/>
  <c r="P79" i="16"/>
  <c r="P88" i="16" s="1"/>
  <c r="O88" i="16"/>
  <c r="O85" i="16"/>
  <c r="P76" i="16"/>
  <c r="P85" i="16" s="1"/>
  <c r="O89" i="16"/>
  <c r="P80" i="16"/>
  <c r="P89" i="16" s="1"/>
  <c r="P78" i="16"/>
  <c r="P87" i="16" s="1"/>
  <c r="O87" i="16"/>
  <c r="O86" i="16"/>
  <c r="P77" i="16"/>
  <c r="P86" i="16" s="1"/>
  <c r="O91" i="16"/>
  <c r="P82" i="16"/>
  <c r="P91" i="16" s="1"/>
  <c r="O90" i="16"/>
  <c r="P81" i="16"/>
  <c r="P90" i="16" s="1"/>
  <c r="O92" i="16" l="1"/>
  <c r="P92" i="16"/>
  <c r="JU58" i="14" l="1"/>
  <c r="JU66" i="14" s="1"/>
  <c r="JU112" i="14" s="1"/>
  <c r="JU20" i="14"/>
  <c r="JU21" i="14" s="1"/>
  <c r="JU67" i="14" l="1"/>
  <c r="JU114" i="14" s="1"/>
  <c r="JU113" i="14" l="1"/>
  <c r="JU115" i="14" s="1"/>
  <c r="C38" i="5" l="1"/>
  <c r="C12" i="5" l="1"/>
  <c r="C22" i="5" s="1"/>
  <c r="C40" i="5" l="1"/>
  <c r="D23" i="3"/>
  <c r="D26" i="3" s="1"/>
  <c r="J26" i="3" l="1"/>
  <c r="J33" i="3" s="1"/>
  <c r="J35" i="3" s="1"/>
  <c r="J40" i="3" s="1"/>
  <c r="K26" i="3"/>
  <c r="K33" i="3" s="1"/>
  <c r="K35" i="3" s="1"/>
  <c r="K40" i="3" s="1"/>
  <c r="G26" i="3"/>
  <c r="G33" i="3" s="1"/>
  <c r="G35" i="3" s="1"/>
  <c r="G40" i="3" s="1"/>
  <c r="I26" i="3"/>
  <c r="I33" i="3" s="1"/>
  <c r="I35" i="3" s="1"/>
  <c r="I40" i="3" s="1"/>
  <c r="H26" i="3"/>
  <c r="H33" i="3" s="1"/>
  <c r="H35" i="3" s="1"/>
  <c r="H40" i="3" s="1"/>
  <c r="F26" i="3"/>
  <c r="E26" i="3"/>
  <c r="E33" i="3" s="1"/>
  <c r="G24" i="4" l="1"/>
  <c r="H14" i="31" s="1"/>
  <c r="K14" i="31" s="1"/>
  <c r="M14" i="31" s="1"/>
  <c r="N14" i="31" s="1"/>
  <c r="E24" i="4"/>
  <c r="I24" i="4"/>
  <c r="H16" i="31" s="1"/>
  <c r="K16" i="31" s="1"/>
  <c r="M16" i="31" s="1"/>
  <c r="N16" i="31" s="1"/>
  <c r="F24" i="4"/>
  <c r="F30" i="4" s="1"/>
  <c r="H24" i="4"/>
  <c r="H30" i="4" s="1"/>
  <c r="E30" i="4"/>
  <c r="H12" i="31"/>
  <c r="K12" i="31" s="1"/>
  <c r="M12" i="31" s="1"/>
  <c r="N12" i="31" s="1"/>
  <c r="I30" i="4"/>
  <c r="G30" i="4"/>
  <c r="E35" i="3"/>
  <c r="E40" i="3" s="1"/>
  <c r="E96" i="16"/>
  <c r="F27" i="3"/>
  <c r="F34" i="3" s="1"/>
  <c r="F36" i="3" s="1"/>
  <c r="F41" i="3" s="1"/>
  <c r="D25" i="4" s="1"/>
  <c r="D31" i="4" s="1"/>
  <c r="F33" i="3"/>
  <c r="F35" i="3" s="1"/>
  <c r="F40" i="3" s="1"/>
  <c r="H15" i="31" l="1"/>
  <c r="K15" i="31" s="1"/>
  <c r="M15" i="31" s="1"/>
  <c r="N15" i="31" s="1"/>
  <c r="H13" i="31"/>
  <c r="K13" i="31" s="1"/>
  <c r="M13" i="31" s="1"/>
  <c r="N13" i="31" s="1"/>
  <c r="D24" i="4"/>
  <c r="D30" i="4" s="1"/>
  <c r="C24" i="4"/>
  <c r="H10" i="31" s="1"/>
  <c r="K10" i="31" s="1"/>
  <c r="O16" i="31"/>
  <c r="Y17" i="29"/>
  <c r="O14" i="31"/>
  <c r="Y15" i="29"/>
  <c r="Y13" i="29"/>
  <c r="O12" i="31"/>
  <c r="Y16" i="29"/>
  <c r="F96" i="16"/>
  <c r="E97" i="16"/>
  <c r="E105" i="16"/>
  <c r="O15" i="31" l="1"/>
  <c r="Y14" i="29"/>
  <c r="C30" i="4"/>
  <c r="H11" i="31"/>
  <c r="K11" i="31" s="1"/>
  <c r="M11" i="31" s="1"/>
  <c r="N11" i="31" s="1"/>
  <c r="O13" i="31"/>
  <c r="Z14" i="29"/>
  <c r="Y30" i="29"/>
  <c r="Z30" i="29" s="1"/>
  <c r="Z13" i="29"/>
  <c r="Y29" i="29"/>
  <c r="Z29" i="29" s="1"/>
  <c r="Z15" i="29"/>
  <c r="Y31" i="29"/>
  <c r="Z31" i="29" s="1"/>
  <c r="M34" i="30"/>
  <c r="J34" i="30"/>
  <c r="J35" i="30" s="1"/>
  <c r="M10" i="31"/>
  <c r="Z17" i="29"/>
  <c r="Y33" i="29"/>
  <c r="Z33" i="29" s="1"/>
  <c r="Z16" i="29"/>
  <c r="Y32" i="29"/>
  <c r="Z32" i="29" s="1"/>
  <c r="E66" i="16"/>
  <c r="E106" i="16"/>
  <c r="E67" i="16" s="1"/>
  <c r="F97" i="16"/>
  <c r="E98" i="16"/>
  <c r="F105" i="16"/>
  <c r="G96" i="16"/>
  <c r="O11" i="31" l="1"/>
  <c r="Y12" i="29"/>
  <c r="Z12" i="29" s="1"/>
  <c r="N10" i="31"/>
  <c r="M17" i="31"/>
  <c r="K35" i="30"/>
  <c r="K36" i="30" s="1"/>
  <c r="K38" i="30" s="1"/>
  <c r="K39" i="30" s="1"/>
  <c r="K40" i="30" s="1"/>
  <c r="J36" i="30"/>
  <c r="F106" i="16"/>
  <c r="F67" i="16" s="1"/>
  <c r="G97" i="16"/>
  <c r="G105" i="16"/>
  <c r="H96" i="16"/>
  <c r="E107" i="16"/>
  <c r="E68" i="16" s="1"/>
  <c r="F98" i="16"/>
  <c r="E99" i="16"/>
  <c r="F66" i="16"/>
  <c r="O10" i="31" l="1"/>
  <c r="N17" i="31"/>
  <c r="O17" i="31" s="1"/>
  <c r="Y11" i="29"/>
  <c r="E108" i="16"/>
  <c r="E100" i="16"/>
  <c r="F99" i="16"/>
  <c r="G66" i="16"/>
  <c r="F107" i="16"/>
  <c r="F68" i="16" s="1"/>
  <c r="G98" i="16"/>
  <c r="G106" i="16"/>
  <c r="G67" i="16" s="1"/>
  <c r="H97" i="16"/>
  <c r="H105" i="16"/>
  <c r="I96" i="16"/>
  <c r="Y28" i="29" l="1"/>
  <c r="Y25" i="29"/>
  <c r="Z25" i="29" s="1"/>
  <c r="Z11" i="29"/>
  <c r="E109" i="16"/>
  <c r="E70" i="16" s="1"/>
  <c r="F100" i="16"/>
  <c r="E101" i="16"/>
  <c r="H106" i="16"/>
  <c r="H67" i="16" s="1"/>
  <c r="I97" i="16"/>
  <c r="E69" i="16"/>
  <c r="I105" i="16"/>
  <c r="J96" i="16"/>
  <c r="H66" i="16"/>
  <c r="G107" i="16"/>
  <c r="G68" i="16" s="1"/>
  <c r="H98" i="16"/>
  <c r="F108" i="16"/>
  <c r="G99" i="16"/>
  <c r="Y36" i="29" l="1"/>
  <c r="Z36" i="29" s="1"/>
  <c r="Z28" i="29"/>
  <c r="E110" i="16"/>
  <c r="E71" i="16" s="1"/>
  <c r="E102" i="16"/>
  <c r="F101" i="16"/>
  <c r="G108" i="16"/>
  <c r="H99" i="16"/>
  <c r="H107" i="16"/>
  <c r="I98" i="16"/>
  <c r="J105" i="16"/>
  <c r="K96" i="16"/>
  <c r="F109" i="16"/>
  <c r="F70" i="16" s="1"/>
  <c r="G100" i="16"/>
  <c r="I66" i="16"/>
  <c r="J97" i="16"/>
  <c r="I106" i="16"/>
  <c r="I67" i="16" s="1"/>
  <c r="F69" i="16"/>
  <c r="H68" i="16" l="1"/>
  <c r="E111" i="16"/>
  <c r="E72" i="16" s="1"/>
  <c r="E73" i="16" s="1"/>
  <c r="F102" i="16"/>
  <c r="K105" i="16"/>
  <c r="L96" i="16"/>
  <c r="H108" i="16"/>
  <c r="H69" i="16" s="1"/>
  <c r="I99" i="16"/>
  <c r="J66" i="16"/>
  <c r="G69" i="16"/>
  <c r="J106" i="16"/>
  <c r="J67" i="16" s="1"/>
  <c r="K97" i="16"/>
  <c r="G109" i="16"/>
  <c r="G70" i="16" s="1"/>
  <c r="H100" i="16"/>
  <c r="I107" i="16"/>
  <c r="J98" i="16"/>
  <c r="F110" i="16"/>
  <c r="G101" i="16"/>
  <c r="E112" i="16" l="1"/>
  <c r="I68" i="16"/>
  <c r="H109" i="16"/>
  <c r="H70" i="16" s="1"/>
  <c r="I100" i="16"/>
  <c r="G110" i="16"/>
  <c r="G71" i="16" s="1"/>
  <c r="H101" i="16"/>
  <c r="L105" i="16"/>
  <c r="M96" i="16"/>
  <c r="F71" i="16"/>
  <c r="K66" i="16"/>
  <c r="J107" i="16"/>
  <c r="J68" i="16" s="1"/>
  <c r="K98" i="16"/>
  <c r="K106" i="16"/>
  <c r="K67" i="16" s="1"/>
  <c r="L97" i="16"/>
  <c r="I108" i="16"/>
  <c r="I69" i="16" s="1"/>
  <c r="J99" i="16"/>
  <c r="F111" i="16"/>
  <c r="F72" i="16" s="1"/>
  <c r="G102" i="16"/>
  <c r="F73" i="16" l="1"/>
  <c r="G111" i="16"/>
  <c r="H102" i="16"/>
  <c r="L106" i="16"/>
  <c r="L67" i="16" s="1"/>
  <c r="M97" i="16"/>
  <c r="H110" i="16"/>
  <c r="I101" i="16"/>
  <c r="K99" i="16"/>
  <c r="J108" i="16"/>
  <c r="J69" i="16" s="1"/>
  <c r="M105" i="16"/>
  <c r="N96" i="16"/>
  <c r="K107" i="16"/>
  <c r="K68" i="16" s="1"/>
  <c r="L98" i="16"/>
  <c r="F112" i="16"/>
  <c r="L66" i="16"/>
  <c r="I109" i="16"/>
  <c r="J100" i="16"/>
  <c r="H71" i="16" l="1"/>
  <c r="I70" i="16"/>
  <c r="M66" i="16"/>
  <c r="I110" i="16"/>
  <c r="I71" i="16" s="1"/>
  <c r="J101" i="16"/>
  <c r="H111" i="16"/>
  <c r="H72" i="16" s="1"/>
  <c r="I102" i="16"/>
  <c r="M106" i="16"/>
  <c r="M67" i="16" s="1"/>
  <c r="N97" i="16"/>
  <c r="G72" i="16"/>
  <c r="G73" i="16" s="1"/>
  <c r="G112" i="16"/>
  <c r="M98" i="16"/>
  <c r="L107" i="16"/>
  <c r="J109" i="16"/>
  <c r="J70" i="16" s="1"/>
  <c r="K100" i="16"/>
  <c r="O96" i="16"/>
  <c r="N105" i="16"/>
  <c r="K108" i="16"/>
  <c r="L99" i="16"/>
  <c r="K69" i="16" l="1"/>
  <c r="L68" i="16"/>
  <c r="N106" i="16"/>
  <c r="N67" i="16" s="1"/>
  <c r="O97" i="16"/>
  <c r="N66" i="16"/>
  <c r="K109" i="16"/>
  <c r="K70" i="16" s="1"/>
  <c r="L100" i="16"/>
  <c r="M107" i="16"/>
  <c r="M68" i="16" s="1"/>
  <c r="N98" i="16"/>
  <c r="I111" i="16"/>
  <c r="J102" i="16"/>
  <c r="H112" i="16"/>
  <c r="H73" i="16"/>
  <c r="O105" i="16"/>
  <c r="P96" i="16"/>
  <c r="P105" i="16" s="1"/>
  <c r="L108" i="16"/>
  <c r="L69" i="16" s="1"/>
  <c r="M99" i="16"/>
  <c r="J110" i="16"/>
  <c r="J71" i="16" s="1"/>
  <c r="K101" i="16"/>
  <c r="K102" i="16" l="1"/>
  <c r="J111" i="16"/>
  <c r="L109" i="16"/>
  <c r="L70" i="16" s="1"/>
  <c r="M100" i="16"/>
  <c r="P97" i="16"/>
  <c r="P106" i="16" s="1"/>
  <c r="P67" i="16" s="1"/>
  <c r="O106" i="16"/>
  <c r="O67" i="16" s="1"/>
  <c r="I72" i="16"/>
  <c r="I73" i="16" s="1"/>
  <c r="I112" i="16"/>
  <c r="M108" i="16"/>
  <c r="N99" i="16"/>
  <c r="P66" i="16"/>
  <c r="N107" i="16"/>
  <c r="N68" i="16" s="1"/>
  <c r="O98" i="16"/>
  <c r="K110" i="16"/>
  <c r="K71" i="16" s="1"/>
  <c r="L101" i="16"/>
  <c r="O66" i="16"/>
  <c r="K111" i="16" l="1"/>
  <c r="K72" i="16" s="1"/>
  <c r="K73" i="16" s="1"/>
  <c r="L102" i="16"/>
  <c r="N108" i="16"/>
  <c r="O99" i="16"/>
  <c r="M109" i="16"/>
  <c r="M70" i="16" s="1"/>
  <c r="N100" i="16"/>
  <c r="M69" i="16"/>
  <c r="L110" i="16"/>
  <c r="L71" i="16" s="1"/>
  <c r="M101" i="16"/>
  <c r="O107" i="16"/>
  <c r="P98" i="16"/>
  <c r="P107" i="16" s="1"/>
  <c r="J72" i="16"/>
  <c r="J73" i="16" s="1"/>
  <c r="J112" i="16"/>
  <c r="O68" i="16" l="1"/>
  <c r="P68" i="16"/>
  <c r="K112" i="16"/>
  <c r="P99" i="16"/>
  <c r="P108" i="16" s="1"/>
  <c r="P69" i="16" s="1"/>
  <c r="O108" i="16"/>
  <c r="O69" i="16" s="1"/>
  <c r="L111" i="16"/>
  <c r="L72" i="16" s="1"/>
  <c r="L73" i="16" s="1"/>
  <c r="M102" i="16"/>
  <c r="N69" i="16"/>
  <c r="M110" i="16"/>
  <c r="N101" i="16"/>
  <c r="N109" i="16"/>
  <c r="N70" i="16" s="1"/>
  <c r="O100" i="16"/>
  <c r="L112" i="16" l="1"/>
  <c r="N110" i="16"/>
  <c r="N71" i="16" s="1"/>
  <c r="O101" i="16"/>
  <c r="N102" i="16"/>
  <c r="M111" i="16"/>
  <c r="M72" i="16" s="1"/>
  <c r="O109" i="16"/>
  <c r="O70" i="16" s="1"/>
  <c r="P100" i="16"/>
  <c r="P109" i="16" s="1"/>
  <c r="P70" i="16" s="1"/>
  <c r="M71" i="16"/>
  <c r="M112" i="16" l="1"/>
  <c r="M73" i="16"/>
  <c r="N111" i="16"/>
  <c r="N72" i="16" s="1"/>
  <c r="N73" i="16" s="1"/>
  <c r="O102" i="16"/>
  <c r="O110" i="16"/>
  <c r="P101" i="16"/>
  <c r="P110" i="16" s="1"/>
  <c r="P71" i="16" s="1"/>
  <c r="O71" i="16" l="1"/>
  <c r="P102" i="16"/>
  <c r="P111" i="16" s="1"/>
  <c r="O111" i="16"/>
  <c r="O72" i="16" s="1"/>
  <c r="N112" i="16"/>
  <c r="P72" i="16" l="1"/>
  <c r="P73" i="16" s="1"/>
  <c r="P112" i="16"/>
  <c r="O112" i="16"/>
  <c r="O73" i="16"/>
  <c r="E56" i="16" l="1"/>
  <c r="E55" i="16"/>
  <c r="E54" i="16"/>
  <c r="F52" i="16"/>
  <c r="E60" i="16"/>
  <c r="E58" i="16"/>
  <c r="E57" i="16"/>
  <c r="E59" i="16"/>
  <c r="F55" i="16" l="1"/>
  <c r="F58" i="16"/>
  <c r="F59" i="16"/>
  <c r="F60" i="16"/>
  <c r="F57" i="16"/>
  <c r="F54" i="16"/>
  <c r="F56" i="16"/>
  <c r="G52" i="16"/>
  <c r="E61" i="16"/>
  <c r="F61" i="16" l="1"/>
  <c r="H52" i="16"/>
  <c r="G55" i="16"/>
  <c r="G60" i="16"/>
  <c r="G57" i="16"/>
  <c r="G58" i="16"/>
  <c r="G56" i="16"/>
  <c r="G59" i="16"/>
  <c r="G54" i="16"/>
  <c r="H57" i="16" l="1"/>
  <c r="H60" i="16"/>
  <c r="I52" i="16"/>
  <c r="H59" i="16"/>
  <c r="H56" i="16"/>
  <c r="H55" i="16"/>
  <c r="H54" i="16"/>
  <c r="H58" i="16"/>
  <c r="G61" i="16"/>
  <c r="H61" i="16" l="1"/>
  <c r="I57" i="16"/>
  <c r="I59" i="16"/>
  <c r="I60" i="16"/>
  <c r="I58" i="16"/>
  <c r="I55" i="16"/>
  <c r="I54" i="16"/>
  <c r="I56" i="16"/>
  <c r="J52" i="16"/>
  <c r="I61" i="16" l="1"/>
  <c r="J58" i="16"/>
  <c r="J55" i="16"/>
  <c r="J59" i="16"/>
  <c r="J57" i="16"/>
  <c r="K52" i="16"/>
  <c r="J60" i="16"/>
  <c r="J54" i="16"/>
  <c r="J56" i="16"/>
  <c r="J61" i="16" l="1"/>
  <c r="K56" i="16"/>
  <c r="K55" i="16"/>
  <c r="K57" i="16"/>
  <c r="K58" i="16"/>
  <c r="K54" i="16"/>
  <c r="K59" i="16"/>
  <c r="L52" i="16"/>
  <c r="K60" i="16"/>
  <c r="L54" i="16" l="1"/>
  <c r="M52" i="16"/>
  <c r="L56" i="16"/>
  <c r="L58" i="16"/>
  <c r="L57" i="16"/>
  <c r="L59" i="16"/>
  <c r="L55" i="16"/>
  <c r="L60" i="16"/>
  <c r="K61" i="16"/>
  <c r="E41" i="16" l="1"/>
  <c r="F29" i="16"/>
  <c r="F25" i="16"/>
  <c r="E37" i="16"/>
  <c r="E39" i="16"/>
  <c r="F27" i="16"/>
  <c r="F28" i="16"/>
  <c r="E40" i="16"/>
  <c r="M60" i="16"/>
  <c r="M59" i="16"/>
  <c r="M54" i="16"/>
  <c r="M56" i="16"/>
  <c r="M58" i="16"/>
  <c r="M55" i="16"/>
  <c r="N52" i="16"/>
  <c r="M57" i="16"/>
  <c r="L61" i="16"/>
  <c r="G25" i="16" l="1"/>
  <c r="F37" i="16"/>
  <c r="N55" i="16"/>
  <c r="N56" i="16"/>
  <c r="O52" i="16"/>
  <c r="N57" i="16"/>
  <c r="N59" i="16"/>
  <c r="N54" i="16"/>
  <c r="N58" i="16"/>
  <c r="N60" i="16"/>
  <c r="M61" i="16"/>
  <c r="G28" i="16"/>
  <c r="F40" i="16"/>
  <c r="G27" i="16"/>
  <c r="F39" i="16"/>
  <c r="F41" i="16"/>
  <c r="G29" i="16"/>
  <c r="E42" i="16"/>
  <c r="F30" i="16"/>
  <c r="E38" i="16"/>
  <c r="F26" i="16"/>
  <c r="F38" i="16" l="1"/>
  <c r="G26" i="16"/>
  <c r="G41" i="16"/>
  <c r="H29" i="16"/>
  <c r="O59" i="16"/>
  <c r="O57" i="16"/>
  <c r="O54" i="16"/>
  <c r="O55" i="16"/>
  <c r="O58" i="16"/>
  <c r="O60" i="16"/>
  <c r="O56" i="16"/>
  <c r="P52" i="16"/>
  <c r="H25" i="16"/>
  <c r="G37" i="16"/>
  <c r="G39" i="16"/>
  <c r="H27" i="16"/>
  <c r="N61" i="16"/>
  <c r="H28" i="16"/>
  <c r="G40" i="16"/>
  <c r="F24" i="16"/>
  <c r="E36" i="16"/>
  <c r="E48" i="16" s="1"/>
  <c r="F42" i="16"/>
  <c r="G30" i="16"/>
  <c r="I27" i="16" l="1"/>
  <c r="H39" i="16"/>
  <c r="G42" i="16"/>
  <c r="H30" i="16"/>
  <c r="O61" i="16"/>
  <c r="F36" i="16"/>
  <c r="F48" i="16" s="1"/>
  <c r="G24" i="16"/>
  <c r="P57" i="16"/>
  <c r="P55" i="16"/>
  <c r="P56" i="16"/>
  <c r="P58" i="16"/>
  <c r="P59" i="16"/>
  <c r="P60" i="16"/>
  <c r="P54" i="16"/>
  <c r="I29" i="16"/>
  <c r="H41" i="16"/>
  <c r="H40" i="16"/>
  <c r="I28" i="16"/>
  <c r="G38" i="16"/>
  <c r="H26" i="16"/>
  <c r="X12" i="29"/>
  <c r="AA12" i="29"/>
  <c r="I25" i="16"/>
  <c r="H37" i="16"/>
  <c r="AA13" i="29" l="1"/>
  <c r="W29" i="29"/>
  <c r="X29" i="29" s="1"/>
  <c r="X13" i="29"/>
  <c r="X14" i="29"/>
  <c r="W30" i="29"/>
  <c r="X30" i="29" s="1"/>
  <c r="AA14" i="29"/>
  <c r="J25" i="16"/>
  <c r="I37" i="16"/>
  <c r="I41" i="16"/>
  <c r="J29" i="16"/>
  <c r="H24" i="16"/>
  <c r="G36" i="16"/>
  <c r="G48" i="16" s="1"/>
  <c r="I26" i="16"/>
  <c r="H38" i="16"/>
  <c r="I30" i="16"/>
  <c r="H42" i="16"/>
  <c r="X15" i="29"/>
  <c r="AA15" i="29"/>
  <c r="W31" i="29"/>
  <c r="X31" i="29" s="1"/>
  <c r="AC12" i="29"/>
  <c r="AB12" i="29"/>
  <c r="I40" i="16"/>
  <c r="J28" i="16"/>
  <c r="P61" i="16"/>
  <c r="J27" i="16"/>
  <c r="I39" i="16"/>
  <c r="K28" i="16" l="1"/>
  <c r="J40" i="16"/>
  <c r="J30" i="16"/>
  <c r="I42" i="16"/>
  <c r="I24" i="16"/>
  <c r="H36" i="16"/>
  <c r="H48" i="16" s="1"/>
  <c r="J37" i="16"/>
  <c r="K25" i="16"/>
  <c r="K27" i="16"/>
  <c r="J39" i="16"/>
  <c r="AC15" i="29"/>
  <c r="AA31" i="29"/>
  <c r="AC31" i="29" s="1"/>
  <c r="AB15" i="29"/>
  <c r="AB31" i="29" s="1"/>
  <c r="J41" i="16"/>
  <c r="K29" i="16"/>
  <c r="AC14" i="29"/>
  <c r="AB14" i="29"/>
  <c r="AB30" i="29" s="1"/>
  <c r="AA30" i="29"/>
  <c r="AC30" i="29" s="1"/>
  <c r="M35" i="30"/>
  <c r="G35" i="30"/>
  <c r="I38" i="16"/>
  <c r="J26" i="16"/>
  <c r="AA29" i="29"/>
  <c r="AC29" i="29" s="1"/>
  <c r="AC13" i="29"/>
  <c r="AB13" i="29"/>
  <c r="AB29" i="29" s="1"/>
  <c r="W28" i="29" l="1"/>
  <c r="X11" i="29"/>
  <c r="AA11" i="29"/>
  <c r="W25" i="29"/>
  <c r="X25" i="29" s="1"/>
  <c r="AA17" i="29"/>
  <c r="W33" i="29"/>
  <c r="X33" i="29" s="1"/>
  <c r="X17" i="29"/>
  <c r="X16" i="29"/>
  <c r="AA16" i="29"/>
  <c r="W32" i="29"/>
  <c r="X32" i="29" s="1"/>
  <c r="L25" i="16"/>
  <c r="K37" i="16"/>
  <c r="K26" i="16"/>
  <c r="J38" i="16"/>
  <c r="N35" i="30"/>
  <c r="N36" i="30" s="1"/>
  <c r="N38" i="30" s="1"/>
  <c r="N39" i="30" s="1"/>
  <c r="N40" i="30" s="1"/>
  <c r="M36" i="30"/>
  <c r="L27" i="16"/>
  <c r="K39" i="16"/>
  <c r="K40" i="16"/>
  <c r="L28" i="16"/>
  <c r="L29" i="16"/>
  <c r="K41" i="16"/>
  <c r="J42" i="16"/>
  <c r="K30" i="16"/>
  <c r="I36" i="16"/>
  <c r="I48" i="16" s="1"/>
  <c r="J24" i="16"/>
  <c r="H35" i="30"/>
  <c r="H36" i="30" s="1"/>
  <c r="H38" i="30" s="1"/>
  <c r="H39" i="30" s="1"/>
  <c r="H40" i="30" s="1"/>
  <c r="G36" i="30"/>
  <c r="L30" i="16" l="1"/>
  <c r="K42" i="16"/>
  <c r="M25" i="16"/>
  <c r="L37" i="16"/>
  <c r="AB11" i="29"/>
  <c r="AC11" i="29"/>
  <c r="AA28" i="29"/>
  <c r="AA25" i="29"/>
  <c r="AC25" i="29" s="1"/>
  <c r="K24" i="16"/>
  <c r="J36" i="16"/>
  <c r="J48" i="16" s="1"/>
  <c r="M27" i="16"/>
  <c r="L39" i="16"/>
  <c r="K38" i="16"/>
  <c r="L26" i="16"/>
  <c r="M29" i="16"/>
  <c r="L41" i="16"/>
  <c r="M28" i="16"/>
  <c r="L40" i="16"/>
  <c r="AC16" i="29"/>
  <c r="AB16" i="29"/>
  <c r="AB32" i="29" s="1"/>
  <c r="AA32" i="29"/>
  <c r="AC32" i="29" s="1"/>
  <c r="AB17" i="29"/>
  <c r="AB33" i="29" s="1"/>
  <c r="AA33" i="29"/>
  <c r="AC33" i="29" s="1"/>
  <c r="AC17" i="29"/>
  <c r="X28" i="29"/>
  <c r="W36" i="29"/>
  <c r="X36" i="29" s="1"/>
  <c r="N27" i="16" l="1"/>
  <c r="M39" i="16"/>
  <c r="L24" i="16"/>
  <c r="K36" i="16"/>
  <c r="K48" i="16" s="1"/>
  <c r="AB28" i="29"/>
  <c r="AB36" i="29" s="1"/>
  <c r="AB25" i="29"/>
  <c r="N28" i="16"/>
  <c r="M40" i="16"/>
  <c r="N29" i="16"/>
  <c r="M41" i="16"/>
  <c r="M26" i="16"/>
  <c r="L38" i="16"/>
  <c r="AC28" i="29"/>
  <c r="AA36" i="29"/>
  <c r="AC36" i="29" s="1"/>
  <c r="M37" i="16"/>
  <c r="N25" i="16"/>
  <c r="L42" i="16"/>
  <c r="M30" i="16"/>
  <c r="O25" i="16" l="1"/>
  <c r="N37" i="16"/>
  <c r="O27" i="16"/>
  <c r="N39" i="16"/>
  <c r="O29" i="16"/>
  <c r="N41" i="16"/>
  <c r="M38" i="16"/>
  <c r="N26" i="16"/>
  <c r="O28" i="16"/>
  <c r="N40" i="16"/>
  <c r="M42" i="16"/>
  <c r="N30" i="16"/>
  <c r="M24" i="16"/>
  <c r="L36" i="16"/>
  <c r="L48" i="16" s="1"/>
  <c r="P28" i="16" l="1"/>
  <c r="P40" i="16" s="1"/>
  <c r="O40" i="16"/>
  <c r="P29" i="16"/>
  <c r="P41" i="16" s="1"/>
  <c r="O41" i="16"/>
  <c r="P25" i="16"/>
  <c r="P37" i="16" s="1"/>
  <c r="O37" i="16"/>
  <c r="N42" i="16"/>
  <c r="O30" i="16"/>
  <c r="O26" i="16"/>
  <c r="N38" i="16"/>
  <c r="M36" i="16"/>
  <c r="M48" i="16" s="1"/>
  <c r="N24" i="16"/>
  <c r="O39" i="16"/>
  <c r="P27" i="16"/>
  <c r="P39" i="16" s="1"/>
  <c r="O24" i="16" l="1"/>
  <c r="N36" i="16"/>
  <c r="N48" i="16" s="1"/>
  <c r="P30" i="16"/>
  <c r="P42" i="16" s="1"/>
  <c r="O42" i="16"/>
  <c r="O38" i="16"/>
  <c r="P26" i="16"/>
  <c r="P38" i="16" s="1"/>
  <c r="O36" i="16" l="1"/>
  <c r="O48" i="16" s="1"/>
  <c r="P24" i="16"/>
  <c r="P36" i="16" s="1"/>
  <c r="P48" i="16" s="1"/>
</calcChain>
</file>

<file path=xl/sharedStrings.xml><?xml version="1.0" encoding="utf-8"?>
<sst xmlns="http://schemas.openxmlformats.org/spreadsheetml/2006/main" count="1106" uniqueCount="434">
  <si>
    <t>Shaded information is designated as confidential per WAC 480-07-160</t>
  </si>
  <si>
    <t>Puget Sound Energy</t>
  </si>
  <si>
    <t>Calculation of Proposed Schedule 106 Rates</t>
  </si>
  <si>
    <t>Line</t>
  </si>
  <si>
    <t>Residential</t>
  </si>
  <si>
    <t>Commercial and Industrial</t>
  </si>
  <si>
    <t>Interruptible</t>
  </si>
  <si>
    <t>No.</t>
  </si>
  <si>
    <t>Description</t>
  </si>
  <si>
    <t>Source</t>
  </si>
  <si>
    <t>Total</t>
  </si>
  <si>
    <t>(a)</t>
  </si>
  <si>
    <t>(b)</t>
  </si>
  <si>
    <t xml:space="preserve">(c) </t>
  </si>
  <si>
    <t>(d)</t>
  </si>
  <si>
    <t>(e)</t>
  </si>
  <si>
    <t xml:space="preserve">(f) </t>
  </si>
  <si>
    <t>(g)</t>
  </si>
  <si>
    <t>(h)</t>
  </si>
  <si>
    <t xml:space="preserve">(i) </t>
  </si>
  <si>
    <t>(j)</t>
  </si>
  <si>
    <t>Calculation of PGA Amortization Demand Rates</t>
  </si>
  <si>
    <t>Workpaper</t>
  </si>
  <si>
    <t>Estimated PGA Revenue Under Cost of Service Rates</t>
  </si>
  <si>
    <t>(1) x (3)</t>
  </si>
  <si>
    <t>Projected Annual Demand Balance</t>
  </si>
  <si>
    <t>Alloc. based on (4)</t>
  </si>
  <si>
    <t>Percent of Total Demand Balance</t>
  </si>
  <si>
    <t>Percent of (6)</t>
  </si>
  <si>
    <t>Proposed Demand Amortization Rates (Pre-Tax)</t>
  </si>
  <si>
    <t>(6) / (1)</t>
  </si>
  <si>
    <t>Proposed Schedule 16 rate per Mantle (Pre-Tax)</t>
  </si>
  <si>
    <t>(9) x 19</t>
  </si>
  <si>
    <t>Calculation of PGA Amortization Commodity Rates</t>
  </si>
  <si>
    <t>Projected Annual Commodity Balance</t>
  </si>
  <si>
    <t>(1)</t>
  </si>
  <si>
    <t>Proposed Commodity Rates (Pre-Tax)</t>
  </si>
  <si>
    <t>(14b) / (15b)</t>
  </si>
  <si>
    <t>Schedule 16 Rate per Mantle (Pre-Tax)</t>
  </si>
  <si>
    <t>(17) x 19</t>
  </si>
  <si>
    <t>Total Proposed PGA Amortization Rates</t>
  </si>
  <si>
    <t>(9)</t>
  </si>
  <si>
    <t>(10)</t>
  </si>
  <si>
    <t>Proposed Commodity Amortization Rates (Pre-Tax)</t>
  </si>
  <si>
    <t>(17)</t>
  </si>
  <si>
    <t>(18)</t>
  </si>
  <si>
    <t>Proposed Total Sch. 106 PGA Tracker Rates (Pre-Tax)</t>
  </si>
  <si>
    <t>(22) + (24)</t>
  </si>
  <si>
    <t>(23) + (25)</t>
  </si>
  <si>
    <t>Revenue Adjustment Factor (RAF)</t>
  </si>
  <si>
    <t>Proposed Total Sch. 106 PGA Tracker Rates (Including RAF)</t>
  </si>
  <si>
    <t>(26) x (1+29)</t>
  </si>
  <si>
    <t>Proposed Schedule 16 rate per Mantle (Including RAF)</t>
  </si>
  <si>
    <t>(27) x (1+29)</t>
  </si>
  <si>
    <t>Notes:</t>
  </si>
  <si>
    <t xml:space="preserve">(1) </t>
  </si>
  <si>
    <t>Current Rates (Including RAF):</t>
  </si>
  <si>
    <t>Current Sch. 106 Tracker Rates</t>
  </si>
  <si>
    <t>Current Schedule 16 Rate per Mantle</t>
  </si>
  <si>
    <t>Current Total Volumetric Rates (Schedule 106)</t>
  </si>
  <si>
    <t>Proposed Rates (Including RAF):</t>
  </si>
  <si>
    <t>Proposed Sch. 106 Tracker Rates</t>
  </si>
  <si>
    <t>Proposed Schedule 16 Rate per Mantle</t>
  </si>
  <si>
    <t>Total Proposed Sch. 106 Tracker &amp; Supplemental Rates</t>
  </si>
  <si>
    <t>Total Schedule 16 Rate per Mantle</t>
  </si>
  <si>
    <t xml:space="preserve">(2) </t>
  </si>
  <si>
    <t>Allocation and Transfer of Amortization Balances</t>
  </si>
  <si>
    <t>Line
No.</t>
  </si>
  <si>
    <t>Estimated Demand Amortization Balance (106 Tracker)</t>
  </si>
  <si>
    <t>Estimated Commodity Amortization Balance (106 Tracker)</t>
  </si>
  <si>
    <t>Estimated Total Amortization Balance</t>
  </si>
  <si>
    <t>Interest</t>
  </si>
  <si>
    <t>Current Balance</t>
  </si>
  <si>
    <t>Estimated Demand Balance</t>
  </si>
  <si>
    <t>Estimated Commodity Balance</t>
  </si>
  <si>
    <t>Estimated Current Period Balance</t>
  </si>
  <si>
    <t>Transfer from Current and Interest Accounts to Amortization Accounts</t>
  </si>
  <si>
    <t>Demand</t>
  </si>
  <si>
    <t xml:space="preserve">Commodity </t>
  </si>
  <si>
    <t>Commodity (line 2 + line 21)</t>
  </si>
  <si>
    <t>Average Monthly</t>
  </si>
  <si>
    <t>Balance</t>
  </si>
  <si>
    <t>Ending Balance</t>
  </si>
  <si>
    <t>Current Demand Balance</t>
  </si>
  <si>
    <t>Current Commodity Balance</t>
  </si>
  <si>
    <t>106 Amortization Accounts</t>
  </si>
  <si>
    <t>Supplemental 106A Amortization Account</t>
  </si>
  <si>
    <t>Supplemental 106B Amortization Account</t>
  </si>
  <si>
    <t>Total 191 Balance</t>
  </si>
  <si>
    <t xml:space="preserve">100% of PGA Commodity balance is transferred to the amortization account. </t>
  </si>
  <si>
    <t>Percent</t>
  </si>
  <si>
    <t>A</t>
  </si>
  <si>
    <t>B</t>
  </si>
  <si>
    <t>C</t>
  </si>
  <si>
    <t>D</t>
  </si>
  <si>
    <t>H</t>
  </si>
  <si>
    <t>I</t>
  </si>
  <si>
    <t>J</t>
  </si>
  <si>
    <t>F</t>
  </si>
  <si>
    <t>Actual</t>
  </si>
  <si>
    <t xml:space="preserve">Actual </t>
  </si>
  <si>
    <t>Projected</t>
  </si>
  <si>
    <t>Acct No.</t>
  </si>
  <si>
    <t>Demand Surcharge/Refund Amortization</t>
  </si>
  <si>
    <t>Beginning</t>
  </si>
  <si>
    <t>Transfer Deferral Amounts to Surcharge/Refund Account</t>
  </si>
  <si>
    <t>Refund (Surcharge) Amortization</t>
  </si>
  <si>
    <t>Migration Credit</t>
  </si>
  <si>
    <t>Total Month</t>
  </si>
  <si>
    <t>Ending</t>
  </si>
  <si>
    <t>Commodity Surcharge/Refund Amortization</t>
  </si>
  <si>
    <t>PGA 106A Supplemental Amortization (Commodity)</t>
  </si>
  <si>
    <t>Transfer Combined Acct between Demand and Commodity</t>
  </si>
  <si>
    <t xml:space="preserve">Adjust PGA Refund/Surcharge </t>
  </si>
  <si>
    <t>Surcharge/Refund Amortization</t>
  </si>
  <si>
    <t>New Account</t>
  </si>
  <si>
    <t>Total Surcharge/Refund Amortization</t>
  </si>
  <si>
    <t>Wire Deposit 8/31/01 - NW Pipeline</t>
  </si>
  <si>
    <t>Wire Deposit 9/10/01 - NW Pipeline</t>
  </si>
  <si>
    <t>Correct PGA surcharge/refund amortization 11/99 - 8/01</t>
  </si>
  <si>
    <t>Adj NWP demand contract 121293</t>
  </si>
  <si>
    <t>Correct 5/95 - 8/02 contract demand deferral</t>
  </si>
  <si>
    <t>Current Demand Deferral</t>
  </si>
  <si>
    <t>Adjust PGA Deferral for Everett Delta Revenue from Nov 08 through May 09</t>
  </si>
  <si>
    <t>PSE Deferral</t>
  </si>
  <si>
    <t>WNG-CAP Deferral</t>
  </si>
  <si>
    <t>PGA Incentive</t>
  </si>
  <si>
    <t>Current Commodity Deferral</t>
  </si>
  <si>
    <t xml:space="preserve">Transfer Deferral Amounts to Surcharge/Refund Account - 106B Portion </t>
  </si>
  <si>
    <t>Refund of B&amp;O Taxes on Off System Sales</t>
  </si>
  <si>
    <t>Adjust Commodity Deferral</t>
  </si>
  <si>
    <t>Transfer Deferral Amounts to Gas Conservation Account UG-120291</t>
  </si>
  <si>
    <t>PGA Deferral Commd Vlntr RNG CR Tru-up 12/21-05/22</t>
  </si>
  <si>
    <t>Interest on Demand Deferral</t>
  </si>
  <si>
    <t>Adjust PGA Interest for Everett Delta Revenue from Nov 08 through May 09</t>
  </si>
  <si>
    <t>Activity (19100012)</t>
  </si>
  <si>
    <t>Interest on Commodity Deferral</t>
  </si>
  <si>
    <t>Activity (19100022)</t>
  </si>
  <si>
    <t>Total 191</t>
  </si>
  <si>
    <t>Less Amount Being Amortized</t>
  </si>
  <si>
    <t>Current Period Under (Over) Recovered</t>
  </si>
  <si>
    <t>Summary of Projected Demand and Commodity Costs</t>
  </si>
  <si>
    <t xml:space="preserve">Summary of Projected Demand and Commodity Costs </t>
  </si>
  <si>
    <t>Projected Demand Cost</t>
  </si>
  <si>
    <t>Projected Commodity Cost</t>
  </si>
  <si>
    <t>Projected Total Gas Cost</t>
  </si>
  <si>
    <t>Estimated Revenue from Schs. 101 and 106 Rates</t>
  </si>
  <si>
    <t>Therm Volumes (Including Unbilled)</t>
  </si>
  <si>
    <t xml:space="preserve">23 - Res. General Service </t>
  </si>
  <si>
    <t>16 - Gas Lighting Service</t>
  </si>
  <si>
    <t xml:space="preserve">31 - Comm. &amp; Ind. General Service </t>
  </si>
  <si>
    <t xml:space="preserve">41 - Lg. Volume High Load Factor </t>
  </si>
  <si>
    <t xml:space="preserve">85 - Interruptible Gas Service </t>
  </si>
  <si>
    <t xml:space="preserve">86 - Limited Interruptible Gas Service </t>
  </si>
  <si>
    <t xml:space="preserve">87 - Non-Exclusive Interruptible Service </t>
  </si>
  <si>
    <t>Total Sales</t>
  </si>
  <si>
    <t xml:space="preserve">Transportation </t>
  </si>
  <si>
    <t>Schedule 41 Gas Supply Demand</t>
  </si>
  <si>
    <t>RS 85 Firm Contract Demand</t>
  </si>
  <si>
    <t>RS 86 Firm Contract Demand</t>
  </si>
  <si>
    <t>RS 87 Firm Contract Demand</t>
  </si>
  <si>
    <t>DEMAND (Schedule 101)</t>
  </si>
  <si>
    <t>Demand Recovery Rates (Schedule 101)</t>
  </si>
  <si>
    <t>RS 85,86,87 Firm CD</t>
  </si>
  <si>
    <t>Transportation (Balancing)</t>
  </si>
  <si>
    <t>Recoveries of Demand Costs</t>
  </si>
  <si>
    <t>RS 85 Firm CD</t>
  </si>
  <si>
    <t>RS 86 Firm CD</t>
  </si>
  <si>
    <t>RS 87 Firm CD</t>
  </si>
  <si>
    <t>Total Recoveries</t>
  </si>
  <si>
    <t>COMMODITY (Schedule 101)</t>
  </si>
  <si>
    <t xml:space="preserve">Commodity Recovery Rates </t>
  </si>
  <si>
    <t>All Rate Schedules(101)</t>
  </si>
  <si>
    <t>Recoveries of Commodity Costs</t>
  </si>
  <si>
    <t>SURCHARGE/CREDIT (Schedule 106)</t>
  </si>
  <si>
    <t>Total Surcharge (Refund) Amortization</t>
  </si>
  <si>
    <t>Demand Surcharge (Refund) Amortization Rates (Schedule 106)</t>
  </si>
  <si>
    <t>Demand Surcharge (Refund) Amortization</t>
  </si>
  <si>
    <t>Total Surcharge Demand (Refund) Amortization</t>
  </si>
  <si>
    <t>Commodity Surcharge (Refund) Amortization Rates (Schedule 106)</t>
  </si>
  <si>
    <t>Commodity Surcharge (Refund) Amortization</t>
  </si>
  <si>
    <t>Total Commodity Surcharge (Refund) Amortization</t>
  </si>
  <si>
    <t>Commodity Surcharge (Refund) Amortization Rates (Schedule 106A - Supplemental)</t>
  </si>
  <si>
    <t>Commodity Surcharge (Refund) Amortization Rates (Schedule 106B - Supplemental)</t>
  </si>
  <si>
    <t>Projected Volume by Month (Therms)</t>
  </si>
  <si>
    <t>Rate Schedule</t>
  </si>
  <si>
    <t>Transportation</t>
  </si>
  <si>
    <t>cross check</t>
  </si>
  <si>
    <t>Projected Demand Volume by Month (Therms)</t>
  </si>
  <si>
    <t>Gas Resource Demand Cost Allocation</t>
  </si>
  <si>
    <t>E</t>
  </si>
  <si>
    <t>G</t>
  </si>
  <si>
    <t>Units</t>
  </si>
  <si>
    <t>Res
16, 23 &amp; 53</t>
  </si>
  <si>
    <t>Commercial &amp; Industrial
31 &amp; 31T</t>
  </si>
  <si>
    <t>Large Volume
41 &amp; 41T</t>
  </si>
  <si>
    <t>Interruptible
85 &amp; 85T</t>
  </si>
  <si>
    <t>Limited Interruptible
86 &amp; 86T</t>
  </si>
  <si>
    <t>Non-Exclusive Interruptible
87 &amp; 87T</t>
  </si>
  <si>
    <t>Spl Contracts</t>
  </si>
  <si>
    <t>Annual Throughput (Sales &amp; Transport Excluding Spl Contracts)</t>
  </si>
  <si>
    <t>(Therms)</t>
  </si>
  <si>
    <t>Annual Sales</t>
  </si>
  <si>
    <t>Nov-Mar Winter Throughput (Sales &amp; Transport Excluding Spl Contracts)</t>
  </si>
  <si>
    <t>Nov-Mar Winter Sales</t>
  </si>
  <si>
    <t>Design Day Sales</t>
  </si>
  <si>
    <t>Cost Allocations</t>
  </si>
  <si>
    <t>Indication</t>
  </si>
  <si>
    <t>Winter Sales</t>
  </si>
  <si>
    <t>Design Peak</t>
  </si>
  <si>
    <t>Sys.Balanc'g</t>
  </si>
  <si>
    <t>Williams Northwest Pipeline,  Gas Transmission Northwest, NGTL, Foothills</t>
  </si>
  <si>
    <t>YR Capacity</t>
  </si>
  <si>
    <t>TF-2 for PSE Owned Storage &amp; JP Leased</t>
  </si>
  <si>
    <t>TF-2</t>
  </si>
  <si>
    <t>Jackson Prairie Storage plus Williams Northwest Pipeline TF-2</t>
  </si>
  <si>
    <t>JP</t>
  </si>
  <si>
    <t>Delivered Product Peaking Contract</t>
  </si>
  <si>
    <t>PC</t>
  </si>
  <si>
    <t>Clay Basin Storage</t>
  </si>
  <si>
    <t>CB</t>
  </si>
  <si>
    <t>Illustrative Costs</t>
  </si>
  <si>
    <t>Clay Basin Storage + Credit for release of JP</t>
  </si>
  <si>
    <t>Illustrative Demand Component</t>
  </si>
  <si>
    <t>PGA Demand Component</t>
  </si>
  <si>
    <t>PGA System Balancing Component</t>
  </si>
  <si>
    <t xml:space="preserve">FERC Interest rate </t>
  </si>
  <si>
    <t>Applicable Annual Quarter</t>
  </si>
  <si>
    <t xml:space="preserve">Annual Rate </t>
  </si>
  <si>
    <t xml:space="preserve">Monthly Rate </t>
  </si>
  <si>
    <t>Source:</t>
  </si>
  <si>
    <t>https://www.ferc.gov/enforcement-legal/enforcement/interest-rates</t>
  </si>
  <si>
    <t>LINE</t>
  </si>
  <si>
    <t>NO.</t>
  </si>
  <si>
    <t>DESCRIPTION</t>
  </si>
  <si>
    <t>RATE</t>
  </si>
  <si>
    <t>BAD DEBTS</t>
  </si>
  <si>
    <t>ANNUAL FILING FEE</t>
  </si>
  <si>
    <t>SUM OF TAXES OTHER</t>
  </si>
  <si>
    <t>CONVERSION FACTOR EXCLUDING FEDERAL INCOME TAX ( 1 - LINE 5)</t>
  </si>
  <si>
    <t>FEDERAL INCOME TAX ( LINE 7 * 21%)</t>
  </si>
  <si>
    <t xml:space="preserve">CONVERSION FACTOR INCL FEDERAL INCOME TAX ( LINE 5 + LINE 8 ) </t>
  </si>
  <si>
    <t>2022 GENERAL RATE CASE</t>
  </si>
  <si>
    <t>NWP Refund for Gas (Demand)</t>
  </si>
  <si>
    <t>Rcrd Northwest Pipeline Refund Alloc to Gas Book</t>
  </si>
  <si>
    <t>North West Pipeline Refund</t>
  </si>
  <si>
    <t xml:space="preserve">PGA Deferral Amortization 106 Tracker Filing </t>
  </si>
  <si>
    <t>Forecasted Sales Volumes and Customer Counts</t>
  </si>
  <si>
    <t>Reclass to PLNG</t>
  </si>
  <si>
    <r>
      <t xml:space="preserve">Unit Demand Costs from Cost Study </t>
    </r>
    <r>
      <rPr>
        <vertAlign val="superscript"/>
        <sz val="8"/>
        <rFont val="Arial"/>
        <family val="2"/>
      </rPr>
      <t>(1)</t>
    </r>
  </si>
  <si>
    <r>
      <t>Current Sch. 106A Supplemental Rates</t>
    </r>
    <r>
      <rPr>
        <vertAlign val="superscript"/>
        <sz val="8"/>
        <rFont val="Arial"/>
        <family val="2"/>
      </rPr>
      <t>(1)</t>
    </r>
  </si>
  <si>
    <r>
      <t>Current Sch. 106B Supplemental Rates</t>
    </r>
    <r>
      <rPr>
        <vertAlign val="superscript"/>
        <sz val="8"/>
        <rFont val="Arial"/>
        <family val="2"/>
      </rPr>
      <t>(2)</t>
    </r>
  </si>
  <si>
    <r>
      <t>Portion of Current Demand to Transfer to Amortization Account</t>
    </r>
    <r>
      <rPr>
        <vertAlign val="superscript"/>
        <sz val="8"/>
        <rFont val="Arial"/>
        <family val="2"/>
      </rPr>
      <t xml:space="preserve"> (1)</t>
    </r>
  </si>
  <si>
    <r>
      <t>Portion of Current Commodity to Transfer to Amortization Account</t>
    </r>
    <r>
      <rPr>
        <vertAlign val="superscript"/>
        <sz val="8"/>
        <rFont val="Arial"/>
        <family val="2"/>
      </rPr>
      <t xml:space="preserve"> (2)</t>
    </r>
  </si>
  <si>
    <r>
      <t xml:space="preserve">2022 Gas General Rate Case (Docket </t>
    </r>
    <r>
      <rPr>
        <b/>
        <sz val="8"/>
        <rFont val="Arial"/>
        <family val="2"/>
      </rPr>
      <t>UG-220067)</t>
    </r>
  </si>
  <si>
    <t>Source: 2022 Gas General Rate Case (UG-222067) Compliance Filing (01-06-2023), Gas Resource Allocation Cost of Service model.</t>
  </si>
  <si>
    <t>Proposed Sch. 106B Supplemental Rates</t>
  </si>
  <si>
    <t>Twelve Months Ended June 30, 2021</t>
  </si>
  <si>
    <t>Source: 2022 Gas General Rate Case (Docket UG-220067) Compliance Filing (1-6-2023), Gas Resource Allocation Cost of Service model.</t>
  </si>
  <si>
    <t>Source: PSE 2022 GRC (Docket UG-220067), with updated annual filing fee.</t>
  </si>
  <si>
    <t>Proposed Rates Effective November 1, 2024</t>
  </si>
  <si>
    <t>Fourth Quarter 2024</t>
  </si>
  <si>
    <t>F2024 Forecast (5-30-2024)</t>
  </si>
  <si>
    <r>
      <t xml:space="preserve">Estimated Amortization Balance as of </t>
    </r>
    <r>
      <rPr>
        <b/>
        <u/>
        <sz val="8"/>
        <color rgb="FF0000FF"/>
        <rFont val="Arial"/>
        <family val="2"/>
      </rPr>
      <t>Oct 31, 2024</t>
    </r>
  </si>
  <si>
    <r>
      <t>Estimated Current Period Balance as of</t>
    </r>
    <r>
      <rPr>
        <b/>
        <u/>
        <sz val="8"/>
        <color rgb="FF0000FF"/>
        <rFont val="Arial"/>
        <family val="2"/>
      </rPr>
      <t xml:space="preserve"> Oct 31, 2024</t>
    </r>
  </si>
  <si>
    <r>
      <t xml:space="preserve">Balance To Collect Through Schedule 106 Amortization Rates in </t>
    </r>
    <r>
      <rPr>
        <b/>
        <u/>
        <sz val="8"/>
        <color rgb="FF0000FF"/>
        <rFont val="Arial"/>
        <family val="2"/>
      </rPr>
      <t xml:space="preserve">2024 PGA </t>
    </r>
  </si>
  <si>
    <t>Oct. 2025</t>
  </si>
  <si>
    <t>Effective November 1, 2024</t>
  </si>
  <si>
    <t>PGA 106B Supplemental Amortization (Demand)</t>
  </si>
  <si>
    <t>check</t>
  </si>
  <si>
    <t>Contracts</t>
  </si>
  <si>
    <t>88T</t>
  </si>
  <si>
    <t>Exclusive interruptible</t>
  </si>
  <si>
    <t>87,87T</t>
  </si>
  <si>
    <t>Non-exclusive interruptible</t>
  </si>
  <si>
    <t>86,86T</t>
  </si>
  <si>
    <t>Limited interruptible</t>
  </si>
  <si>
    <t>85,85T</t>
  </si>
  <si>
    <t>41,41T</t>
  </si>
  <si>
    <t>Large volume</t>
  </si>
  <si>
    <t>31,31T</t>
  </si>
  <si>
    <t>Commercial &amp; industrial</t>
  </si>
  <si>
    <t>16,23,53</t>
  </si>
  <si>
    <t>By Customer Class:</t>
  </si>
  <si>
    <t>Exclusive Interruptible Transportation</t>
  </si>
  <si>
    <t>87T</t>
  </si>
  <si>
    <t>Non-exclusive Interruptible Transportation</t>
  </si>
  <si>
    <t>86T</t>
  </si>
  <si>
    <t>Limited Interruptible Transportation</t>
  </si>
  <si>
    <t>85T</t>
  </si>
  <si>
    <t>Interruptible Transportation</t>
  </si>
  <si>
    <t>41T</t>
  </si>
  <si>
    <t>Large Volume Transportation</t>
  </si>
  <si>
    <t>31T</t>
  </si>
  <si>
    <t>Commercial &amp; Industrial Transportation</t>
  </si>
  <si>
    <t>Non-exclusive Interruptible</t>
  </si>
  <si>
    <t>Limited Interruptible</t>
  </si>
  <si>
    <t>Large Volume</t>
  </si>
  <si>
    <t>Commercial &amp; Industrial</t>
  </si>
  <si>
    <t>Residential Gas Lights</t>
  </si>
  <si>
    <t>23,53</t>
  </si>
  <si>
    <t>AB=Z/U</t>
  </si>
  <si>
    <t>AA=U+Z</t>
  </si>
  <si>
    <t>Z=V+X</t>
  </si>
  <si>
    <t>Y=X/U</t>
  </si>
  <si>
    <t>X</t>
  </si>
  <si>
    <t>W=V/U</t>
  </si>
  <si>
    <t>V</t>
  </si>
  <si>
    <t>U=sum(G:T)</t>
  </si>
  <si>
    <t>T</t>
  </si>
  <si>
    <t>S</t>
  </si>
  <si>
    <t>R</t>
  </si>
  <si>
    <t>Q</t>
  </si>
  <si>
    <t>P</t>
  </si>
  <si>
    <t>O</t>
  </si>
  <si>
    <t>N</t>
  </si>
  <si>
    <t>M</t>
  </si>
  <si>
    <t>L</t>
  </si>
  <si>
    <t>K</t>
  </si>
  <si>
    <t xml:space="preserve">G=E*F </t>
  </si>
  <si>
    <t xml:space="preserve">F </t>
  </si>
  <si>
    <t>E=D/C</t>
  </si>
  <si>
    <t>Change</t>
  </si>
  <si>
    <t>Proposed Rates</t>
  </si>
  <si>
    <t>Revenue</t>
  </si>
  <si>
    <t>$/Therm</t>
  </si>
  <si>
    <t>Schedule</t>
  </si>
  <si>
    <t>Rate Class</t>
  </si>
  <si>
    <t xml:space="preserve">Revenue at </t>
  </si>
  <si>
    <t>Sch. 142</t>
  </si>
  <si>
    <t>Sch. 141R</t>
  </si>
  <si>
    <t>Sch. 141PFG</t>
  </si>
  <si>
    <t>Sch. 141N</t>
  </si>
  <si>
    <t>Sch. 141LNG</t>
  </si>
  <si>
    <t>Sch. 141D</t>
  </si>
  <si>
    <t>Sch. 140</t>
  </si>
  <si>
    <t>Sch. 129D</t>
  </si>
  <si>
    <t>Sch. 129</t>
  </si>
  <si>
    <t>Sch. 120</t>
  </si>
  <si>
    <t>Sch. 111</t>
  </si>
  <si>
    <t>Sch. 106</t>
  </si>
  <si>
    <t>Sch. 101</t>
  </si>
  <si>
    <t>Base Schedule</t>
  </si>
  <si>
    <t>Nov. 2024 -</t>
  </si>
  <si>
    <t>Rate</t>
  </si>
  <si>
    <t>Volume</t>
  </si>
  <si>
    <t>Total Forecasted</t>
  </si>
  <si>
    <t>PGA</t>
  </si>
  <si>
    <t>Therms</t>
  </si>
  <si>
    <t>Base Sch.</t>
  </si>
  <si>
    <t>UG-220067</t>
  </si>
  <si>
    <t>12ME Oct. 2025</t>
  </si>
  <si>
    <t>Forecasted</t>
  </si>
  <si>
    <t>Rate Change Impacts by Rate Schedule</t>
  </si>
  <si>
    <t>2024 Gas Schedule 101 &amp; 106 Purchased Gas Adjustment Filing</t>
  </si>
  <si>
    <t>Total volumetric rates less gas costs</t>
  </si>
  <si>
    <t>Percent change from bill under current rates</t>
  </si>
  <si>
    <t>Change from bill under current rates</t>
  </si>
  <si>
    <t>Total monthly bill</t>
  </si>
  <si>
    <t>Total volumetric charges</t>
  </si>
  <si>
    <t>Subtotal</t>
  </si>
  <si>
    <t>Gas cost amort. charge (Sch. 106)</t>
  </si>
  <si>
    <t>Gas cost charge (Sch. 101)</t>
  </si>
  <si>
    <t>Cap &amp; Invest charge (Sch. 111)</t>
  </si>
  <si>
    <t>Decoupling charge (Sch. 142)</t>
  </si>
  <si>
    <t>Rates Subject to Refund (Sch. 141R)</t>
  </si>
  <si>
    <t>Participatory Funding (Sch. 141PFG)</t>
  </si>
  <si>
    <t>Rates Not Subject to Refund (Sch. 141N)</t>
  </si>
  <si>
    <t>LNG charge (Sch. 141LNG)</t>
  </si>
  <si>
    <t>Dist. Pipeline Provisional (Sch. 141D)</t>
  </si>
  <si>
    <t>Property Tax charge (Sch. 140)</t>
  </si>
  <si>
    <t>Low Income Discount charge (Sch. 129D)</t>
  </si>
  <si>
    <t>Low Income charge (Sch. 129)</t>
  </si>
  <si>
    <t>Conservation charge (Sch. 120)</t>
  </si>
  <si>
    <t>Delivery charge (Sch. 23)</t>
  </si>
  <si>
    <t>Volumetric charges ($/therm)</t>
  </si>
  <si>
    <t>Cap &amp; Invest Non-Vol Credit (Sch. 111)</t>
  </si>
  <si>
    <t>Basic charge (Sch. 23)</t>
  </si>
  <si>
    <t>Customer charge ($/month)</t>
  </si>
  <si>
    <t>Volume (therms)</t>
  </si>
  <si>
    <t>Charges</t>
  </si>
  <si>
    <t>Rates</t>
  </si>
  <si>
    <t>Total Rate Change</t>
  </si>
  <si>
    <t>Rate Change</t>
  </si>
  <si>
    <t>Current Rates</t>
  </si>
  <si>
    <t>Schedule 106 PGA Amort.</t>
  </si>
  <si>
    <t>Schedule 101 PGA</t>
  </si>
  <si>
    <t>Typical Residential Bill Impacts</t>
  </si>
  <si>
    <t>Combined</t>
  </si>
  <si>
    <t xml:space="preserve">(Supp) </t>
  </si>
  <si>
    <t>(Tracker)</t>
  </si>
  <si>
    <t>Volume (Therms)</t>
  </si>
  <si>
    <t>Sched 106</t>
  </si>
  <si>
    <t>SCH 106</t>
  </si>
  <si>
    <t>SCH 106-B</t>
  </si>
  <si>
    <t>SCH 106-A</t>
  </si>
  <si>
    <t xml:space="preserve">SCH 106 </t>
  </si>
  <si>
    <t>Purchased Gas Adjustment - Deferred Account Adjustment</t>
  </si>
  <si>
    <t>Gas Schedule 106</t>
  </si>
  <si>
    <t>12 MONTHS ENDED JUNE 30, 2021</t>
  </si>
  <si>
    <t>RATE YEARS CALENDAR 2023 AND 2024</t>
  </si>
  <si>
    <t>CONVERSION FACTOR</t>
  </si>
  <si>
    <t>PUGET SOUND ENERGY - Gas</t>
  </si>
  <si>
    <t>Gas RESULTS OF OPERATIONS</t>
  </si>
  <si>
    <t xml:space="preserve">2024 Gas Schedule 106 PGA Deferral Amortization Tracker Filing </t>
  </si>
  <si>
    <t xml:space="preserve">2024 Gas Schedule 106 Purchased Gas Adjustment (PGA) Deferral Amortization Tracker Filing </t>
  </si>
  <si>
    <t>Net Under (Over) Collection (Line 3 + Line 11)</t>
  </si>
  <si>
    <t>Summary of Proposed Schedule 106 Rates (Including Supplemental 106A, 106B)</t>
  </si>
  <si>
    <t>Supplemental Sch. 106A rates were effective from May 2019 to April 2020, after which rates were set to zero and balance on the account 19100192 transferred to regular Sch. 106 Amortization account 19100162.</t>
  </si>
  <si>
    <t>Supplemental Sch. 106B rates are in effect from November 1, 2023 until October 31,2024 per PGA UG-230769.</t>
  </si>
  <si>
    <t xml:space="preserve">(3) </t>
  </si>
  <si>
    <t xml:space="preserve">None of the PGA demand balance is transferred to the amortization account because an over-collected balance is expected at the end of October 2025 due to the cyclical nature of demand gas cost recoveries relative to cost incurrence.  </t>
  </si>
  <si>
    <t>Demand (line 1 + line 20)  (3)</t>
  </si>
  <si>
    <r>
      <t>(Therms)</t>
    </r>
    <r>
      <rPr>
        <vertAlign val="superscript"/>
        <sz val="8"/>
        <color theme="1"/>
        <rFont val="Arial"/>
        <family val="2"/>
      </rPr>
      <t xml:space="preserve"> (1)</t>
    </r>
  </si>
  <si>
    <r>
      <t>Revenue</t>
    </r>
    <r>
      <rPr>
        <vertAlign val="superscript"/>
        <sz val="8"/>
        <color theme="1"/>
        <rFont val="Arial"/>
        <family val="2"/>
      </rPr>
      <t xml:space="preserve"> (1)</t>
    </r>
  </si>
  <si>
    <r>
      <t>Current Rates</t>
    </r>
    <r>
      <rPr>
        <vertAlign val="superscript"/>
        <sz val="8"/>
        <color theme="1"/>
        <rFont val="Arial"/>
        <family val="2"/>
      </rPr>
      <t xml:space="preserve"> (2)</t>
    </r>
  </si>
  <si>
    <r>
      <rPr>
        <vertAlign val="superscript"/>
        <sz val="8"/>
        <color theme="1"/>
        <rFont val="Arial"/>
        <family val="2"/>
      </rPr>
      <t xml:space="preserve">(1) </t>
    </r>
    <r>
      <rPr>
        <sz val="8"/>
        <color theme="1"/>
        <rFont val="Arial"/>
        <family val="2"/>
      </rPr>
      <t>Weather normalized volume and base schedule margin for 12 months ending June 2021, at approved rates from UG-220067 GRC compliance filing.</t>
    </r>
  </si>
  <si>
    <r>
      <t>Rates</t>
    </r>
    <r>
      <rPr>
        <vertAlign val="superscript"/>
        <sz val="8"/>
        <rFont val="Arial"/>
        <family val="2"/>
      </rPr>
      <t xml:space="preserve"> (1)</t>
    </r>
  </si>
  <si>
    <r>
      <rPr>
        <vertAlign val="superscript"/>
        <sz val="8"/>
        <color theme="1"/>
        <rFont val="Arial"/>
        <family val="2"/>
      </rPr>
      <t xml:space="preserve">(2) </t>
    </r>
    <r>
      <rPr>
        <sz val="8"/>
        <color theme="1"/>
        <rFont val="Arial"/>
        <family val="2"/>
      </rPr>
      <t>Forecasted revenues at current rates effective September 01, 2024.</t>
    </r>
  </si>
  <si>
    <r>
      <rPr>
        <vertAlign val="superscript"/>
        <sz val="8"/>
        <rFont val="Arial"/>
        <family val="2"/>
      </rPr>
      <t xml:space="preserve">(1) </t>
    </r>
    <r>
      <rPr>
        <sz val="8"/>
        <rFont val="Arial"/>
        <family val="2"/>
      </rPr>
      <t>Rates for Schedule 23 customers in effect September 01, 2024.</t>
    </r>
  </si>
  <si>
    <t>Sch 106B Balance</t>
  </si>
  <si>
    <t>The remaining balance of Sch.106B was transferred to demand amortization account.</t>
  </si>
  <si>
    <t>Average Rate Per Therm Impacts by Rate Schedule</t>
  </si>
  <si>
    <t>Average Rate</t>
  </si>
  <si>
    <t>Nov. 2024 - Oct. 2025</t>
  </si>
  <si>
    <t>Per Therm</t>
  </si>
  <si>
    <t>% Change</t>
  </si>
  <si>
    <t>E = D/C</t>
  </si>
  <si>
    <t>H = G/F</t>
  </si>
  <si>
    <t>I = (G-D)/D</t>
  </si>
  <si>
    <t>Exclusive Interruptible</t>
  </si>
  <si>
    <r>
      <t>Current Rates</t>
    </r>
    <r>
      <rPr>
        <vertAlign val="superscript"/>
        <sz val="8"/>
        <color theme="1"/>
        <rFont val="Arial"/>
        <family val="2"/>
      </rPr>
      <t xml:space="preserve"> (1)</t>
    </r>
  </si>
  <si>
    <t>REDACTED VERSION</t>
  </si>
  <si>
    <r>
      <rPr>
        <vertAlign val="superscript"/>
        <sz val="8"/>
        <color theme="1"/>
        <rFont val="Arial"/>
        <family val="2"/>
      </rPr>
      <t xml:space="preserve">(1) </t>
    </r>
    <r>
      <rPr>
        <sz val="8"/>
        <color theme="1"/>
        <rFont val="Arial"/>
        <family val="2"/>
      </rPr>
      <t>Rates effective September 01,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</si>
</sst>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_);_(&quot;$&quot;* \(#,##0.00000\);_(&quot;$&quot;* &quot;-&quot;?????_);_(@_)"/>
    <numFmt numFmtId="165" formatCode="_(&quot;$&quot;* #,##0_);_(&quot;$&quot;* \(#,##0\);_(&quot;$&quot;* &quot;-&quot;??_);_(@_)"/>
    <numFmt numFmtId="166" formatCode="0.0%"/>
    <numFmt numFmtId="167" formatCode="_(&quot;$&quot;* #,##0.00000_);_(&quot;$&quot;* \(#,##0.00000\);_(&quot;$&quot;* &quot;-&quot;??_);_(@_)"/>
    <numFmt numFmtId="168" formatCode="0.0000%"/>
    <numFmt numFmtId="169" formatCode="_(&quot;$&quot;* #,##0.00_);_(&quot;$&quot;* \(#,##0.00\);_(&quot;$&quot;* &quot;-&quot;?????_);_(@_)"/>
    <numFmt numFmtId="170" formatCode="_(* #,##0_);_(* \(#,##0\);_(* &quot;-&quot;??_);_(@_)"/>
    <numFmt numFmtId="171" formatCode="0.000000%"/>
    <numFmt numFmtId="172" formatCode="&quot;$&quot;#,##0"/>
    <numFmt numFmtId="173" formatCode="_(&quot;$&quot;* #,##0.00_);_(&quot;$&quot;* \(#,##0.00\);_(&quot;$&quot;* &quot;-&quot;_);_(@_)"/>
    <numFmt numFmtId="174" formatCode="mmm\-yyyy"/>
    <numFmt numFmtId="175" formatCode="_(* #,##0.00_);_(* \(#,##0.00\);_(* &quot;-&quot;_);_(@_)"/>
    <numFmt numFmtId="176" formatCode="_(&quot;$&quot;* #,##0.0_);_(&quot;$&quot;* \(#,##0.0\);_(&quot;$&quot;* &quot;-&quot;??_);_(@_)"/>
    <numFmt numFmtId="177" formatCode="_(* #,##0.00000_);_(* \(#,##0.00000\);_(* &quot;-&quot;??_);_(@_)"/>
    <numFmt numFmtId="178" formatCode="_(* #,##0.0000_);_(* \(#,##0.0000\);_(* &quot;-&quot;??_);_(@_)"/>
    <numFmt numFmtId="179" formatCode="0.0000"/>
    <numFmt numFmtId="180" formatCode="0.000000"/>
    <numFmt numFmtId="181" formatCode="0.00000000"/>
    <numFmt numFmtId="182" formatCode="_(* #,##0.000000_);_(* \(#,##0.000000\);_(* &quot;-&quot;??_);_(@_)"/>
  </numFmts>
  <fonts count="33" x14ac:knownFonts="1">
    <font>
      <sz val="11"/>
      <color theme="1"/>
      <name val="Calibri"/>
      <family val="2"/>
      <scheme val="minor"/>
    </font>
    <font>
      <sz val="10"/>
      <name val="Arial"/>
      <family val="2"/>
    </font>
    <font>
      <b/>
      <sz val="12"/>
      <name val="Arial"/>
      <family val="2"/>
    </font>
    <font>
      <sz val="10"/>
      <name val="Arial"/>
      <family val="2"/>
    </font>
    <font>
      <sz val="8"/>
      <name val="Arial"/>
      <family val="2"/>
    </font>
    <font>
      <sz val="8"/>
      <color rgb="FF0000FF"/>
      <name val="Arial"/>
      <family val="2"/>
    </font>
    <font>
      <b/>
      <sz val="8"/>
      <name val="Arial"/>
      <family val="2"/>
    </font>
    <font>
      <sz val="8"/>
      <color rgb="FFFF0000"/>
      <name val="Arial"/>
      <family val="2"/>
    </font>
    <font>
      <b/>
      <sz val="8"/>
      <color rgb="FF0000FF"/>
      <name val="Arial"/>
      <family val="2"/>
    </font>
    <font>
      <b/>
      <u/>
      <sz val="8"/>
      <name val="Arial"/>
      <family val="2"/>
    </font>
    <font>
      <sz val="8"/>
      <color indexed="21"/>
      <name val="Arial"/>
      <family val="2"/>
    </font>
    <font>
      <vertAlign val="superscript"/>
      <sz val="8"/>
      <name val="Arial"/>
      <family val="2"/>
    </font>
    <font>
      <sz val="8"/>
      <color rgb="FF008080"/>
      <name val="Arial"/>
      <family val="2"/>
    </font>
    <font>
      <sz val="8"/>
      <color theme="1"/>
      <name val="Arial"/>
      <family val="2"/>
    </font>
    <font>
      <b/>
      <u/>
      <sz val="8"/>
      <color rgb="FF0000FF"/>
      <name val="Arial"/>
      <family val="2"/>
    </font>
    <font>
      <sz val="8"/>
      <color indexed="10"/>
      <name val="Arial"/>
      <family val="2"/>
    </font>
    <font>
      <sz val="8"/>
      <color indexed="12"/>
      <name val="Arial"/>
      <family val="2"/>
    </font>
    <font>
      <sz val="8"/>
      <color rgb="FF9C6500"/>
      <name val="Arial"/>
      <family val="2"/>
    </font>
    <font>
      <b/>
      <sz val="8"/>
      <color indexed="21"/>
      <name val="Arial"/>
      <family val="2"/>
    </font>
    <font>
      <sz val="8"/>
      <color rgb="FF009999"/>
      <name val="Arial"/>
      <family val="2"/>
    </font>
    <font>
      <b/>
      <sz val="8"/>
      <color theme="1"/>
      <name val="Arial"/>
      <family val="2"/>
    </font>
    <font>
      <u/>
      <sz val="8"/>
      <name val="Arial"/>
      <family val="2"/>
    </font>
    <font>
      <sz val="8"/>
      <color indexed="57"/>
      <name val="Arial"/>
      <family val="2"/>
    </font>
    <font>
      <sz val="8"/>
      <color indexed="17"/>
      <name val="Arial"/>
      <family val="2"/>
    </font>
    <font>
      <b/>
      <i/>
      <sz val="8"/>
      <name val="Arial"/>
      <family val="2"/>
    </font>
    <font>
      <b/>
      <sz val="8"/>
      <color rgb="FF008080"/>
      <name val="Arial"/>
      <family val="2"/>
    </font>
    <font>
      <sz val="8"/>
      <color rgb="FFCC66FF"/>
      <name val="Arial"/>
      <family val="2"/>
    </font>
    <font>
      <sz val="8"/>
      <color rgb="FF006100"/>
      <name val="Arial"/>
      <family val="2"/>
    </font>
    <font>
      <b/>
      <sz val="8"/>
      <color rgb="FFFF0000"/>
      <name val="Arial"/>
      <family val="2"/>
    </font>
    <font>
      <vertAlign val="superscript"/>
      <sz val="9"/>
      <name val="Arial"/>
      <family val="2"/>
    </font>
    <font>
      <vertAlign val="superscript"/>
      <sz val="8"/>
      <color theme="1"/>
      <name val="Arial"/>
      <family val="2"/>
    </font>
    <font>
      <u/>
      <sz val="8"/>
      <color rgb="FF0000FF"/>
      <name val="Arial"/>
      <family val="2"/>
    </font>
    <font>
      <u/>
      <sz val="8"/>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E9BFF"/>
        <bgColor indexed="64"/>
      </patternFill>
    </fill>
    <fill>
      <patternFill patternType="solid">
        <fgColor theme="6" tint="0.59999389629810485"/>
        <bgColor indexed="64"/>
      </patternFill>
    </fill>
  </fills>
  <borders count="4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rgb="FFFFFF00"/>
      </right>
      <top/>
      <bottom/>
      <diagonal/>
    </border>
    <border>
      <left/>
      <right/>
      <top/>
      <bottom style="double">
        <color indexed="64"/>
      </bottom>
      <diagonal/>
    </border>
    <border>
      <left/>
      <right/>
      <top/>
      <bottom style="medium">
        <color indexed="64"/>
      </bottom>
      <diagonal/>
    </border>
    <border>
      <left/>
      <right/>
      <top style="medium">
        <color indexed="64"/>
      </top>
      <bottom style="thin">
        <color indexed="64"/>
      </bottom>
      <diagonal/>
    </border>
    <border>
      <left/>
      <right/>
      <top/>
      <bottom style="thick">
        <color rgb="FFFFFF00"/>
      </bottom>
      <diagonal/>
    </border>
    <border>
      <left/>
      <right style="thick">
        <color rgb="FFFFFF00"/>
      </right>
      <top/>
      <bottom style="thick">
        <color rgb="FFFFFF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663">
    <xf numFmtId="0" fontId="0" fillId="0" borderId="0" xfId="0"/>
    <xf numFmtId="0" fontId="3" fillId="0" borderId="0" xfId="0" applyFont="1"/>
    <xf numFmtId="182" fontId="4" fillId="0" borderId="11" xfId="0" applyNumberFormat="1" applyFont="1" applyBorder="1" applyAlignment="1"/>
    <xf numFmtId="180" fontId="4" fillId="0" borderId="2" xfId="0" applyNumberFormat="1" applyFont="1" applyFill="1" applyBorder="1" applyAlignment="1"/>
    <xf numFmtId="180" fontId="4" fillId="0" borderId="0" xfId="0" applyNumberFormat="1" applyFont="1" applyFill="1" applyBorder="1" applyAlignment="1"/>
    <xf numFmtId="180" fontId="4" fillId="0" borderId="0" xfId="0" applyNumberFormat="1" applyFont="1" applyFill="1" applyAlignment="1"/>
    <xf numFmtId="180" fontId="4" fillId="0" borderId="9" xfId="0" applyNumberFormat="1" applyFont="1" applyFill="1" applyBorder="1" applyAlignment="1" applyProtection="1">
      <protection locked="0"/>
    </xf>
    <xf numFmtId="0" fontId="4" fillId="0" borderId="0" xfId="0" applyNumberFormat="1" applyFont="1" applyFill="1" applyAlignment="1"/>
    <xf numFmtId="0" fontId="4" fillId="0" borderId="0" xfId="0" applyNumberFormat="1" applyFont="1" applyAlignment="1"/>
    <xf numFmtId="0" fontId="4" fillId="0" borderId="0" xfId="0" applyNumberFormat="1" applyFont="1" applyFill="1" applyAlignment="1">
      <alignment horizontal="center"/>
    </xf>
    <xf numFmtId="0" fontId="4" fillId="0" borderId="0" xfId="0" applyNumberFormat="1" applyFont="1" applyFill="1" applyAlignment="1">
      <alignment horizontal="left"/>
    </xf>
    <xf numFmtId="0" fontId="4" fillId="0" borderId="0" xfId="0" applyFont="1" applyFill="1"/>
    <xf numFmtId="0" fontId="7" fillId="0" borderId="0" xfId="0" applyFont="1" applyFill="1" applyAlignment="1">
      <alignment horizontal="right"/>
    </xf>
    <xf numFmtId="37" fontId="4" fillId="0" borderId="0" xfId="0" applyNumberFormat="1" applyFont="1" applyFill="1"/>
    <xf numFmtId="0" fontId="7" fillId="0" borderId="0" xfId="0" applyFont="1" applyFill="1"/>
    <xf numFmtId="43" fontId="5" fillId="0" borderId="0" xfId="0" applyNumberFormat="1" applyFont="1" applyFill="1"/>
    <xf numFmtId="0" fontId="4" fillId="0" borderId="0" xfId="0" applyFont="1" applyFill="1"/>
    <xf numFmtId="44" fontId="5" fillId="0" borderId="0" xfId="0" applyNumberFormat="1" applyFont="1" applyFill="1"/>
    <xf numFmtId="43" fontId="4" fillId="0" borderId="5" xfId="0" applyNumberFormat="1" applyFont="1" applyFill="1" applyBorder="1"/>
    <xf numFmtId="44" fontId="4" fillId="0" borderId="0" xfId="0" applyNumberFormat="1" applyFont="1" applyFill="1"/>
    <xf numFmtId="0" fontId="6" fillId="0" borderId="0" xfId="0" applyNumberFormat="1" applyFont="1" applyFill="1" applyAlignment="1" applyProtection="1">
      <alignment horizontal="center"/>
      <protection locked="0"/>
    </xf>
    <xf numFmtId="0" fontId="6" fillId="0" borderId="0" xfId="0" applyNumberFormat="1" applyFont="1" applyFill="1" applyAlignment="1">
      <alignment horizontal="center"/>
    </xf>
    <xf numFmtId="0" fontId="6" fillId="0" borderId="0" xfId="0" applyFont="1" applyFill="1" applyBorder="1" applyAlignment="1">
      <alignment horizontal="centerContinuous" wrapText="1"/>
    </xf>
    <xf numFmtId="0" fontId="6" fillId="0" borderId="0" xfId="0" applyFont="1" applyFill="1"/>
    <xf numFmtId="0" fontId="4" fillId="0" borderId="0" xfId="0" applyFont="1" applyFill="1"/>
    <xf numFmtId="0" fontId="4"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 xfId="0" applyFont="1" applyFill="1" applyBorder="1"/>
    <xf numFmtId="0" fontId="6" fillId="0" borderId="2" xfId="0" applyFont="1" applyFill="1" applyBorder="1" applyAlignment="1">
      <alignment horizontal="centerContinuous"/>
    </xf>
    <xf numFmtId="0" fontId="6" fillId="0" borderId="3" xfId="0" applyFont="1" applyFill="1" applyBorder="1" applyAlignment="1">
      <alignment horizontal="centerContinuous"/>
    </xf>
    <xf numFmtId="0" fontId="6" fillId="0" borderId="4" xfId="0" applyFont="1" applyFill="1" applyBorder="1" applyAlignment="1">
      <alignment horizontal="centerContinuous"/>
    </xf>
    <xf numFmtId="0" fontId="6" fillId="0" borderId="2" xfId="0" applyFont="1" applyFill="1" applyBorder="1" applyAlignment="1">
      <alignment horizontal="center" vertical="center"/>
    </xf>
    <xf numFmtId="0" fontId="6" fillId="0" borderId="2" xfId="0" applyFont="1" applyFill="1" applyBorder="1" applyAlignment="1">
      <alignment horizontal="center"/>
    </xf>
    <xf numFmtId="0" fontId="6" fillId="0" borderId="2" xfId="0" applyFont="1" applyFill="1" applyBorder="1" applyAlignment="1">
      <alignment horizontal="center" vertical="center"/>
    </xf>
    <xf numFmtId="0" fontId="6" fillId="0" borderId="3"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4" fillId="0" borderId="0" xfId="0" quotePrefix="1"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center"/>
    </xf>
    <xf numFmtId="0" fontId="9" fillId="0" borderId="0" xfId="0" applyFont="1" applyFill="1" applyBorder="1" applyAlignment="1">
      <alignment horizontal="left"/>
    </xf>
    <xf numFmtId="0" fontId="6" fillId="0" borderId="0" xfId="0" applyFont="1" applyFill="1" applyBorder="1" applyAlignment="1">
      <alignment horizontal="center" vertical="center"/>
    </xf>
    <xf numFmtId="0" fontId="4" fillId="0" borderId="0" xfId="0" applyFont="1" applyFill="1" applyAlignment="1">
      <alignment horizontal="left"/>
    </xf>
    <xf numFmtId="3" fontId="4" fillId="0" borderId="0" xfId="0" applyNumberFormat="1" applyFont="1" applyFill="1"/>
    <xf numFmtId="164" fontId="10" fillId="0" borderId="0" xfId="0" applyNumberFormat="1" applyFont="1" applyFill="1"/>
    <xf numFmtId="164" fontId="12" fillId="0" borderId="0" xfId="0" applyNumberFormat="1" applyFont="1" applyFill="1"/>
    <xf numFmtId="165" fontId="4" fillId="0" borderId="0" xfId="0" applyNumberFormat="1" applyFont="1" applyFill="1"/>
    <xf numFmtId="44" fontId="4" fillId="0" borderId="0" xfId="0" applyNumberFormat="1" applyFont="1" applyFill="1"/>
    <xf numFmtId="42" fontId="4" fillId="0" borderId="0" xfId="0" applyNumberFormat="1" applyFont="1" applyFill="1"/>
    <xf numFmtId="166" fontId="13" fillId="0" borderId="0" xfId="0" applyNumberFormat="1" applyFont="1" applyFill="1"/>
    <xf numFmtId="166" fontId="4" fillId="0" borderId="0" xfId="0" applyNumberFormat="1" applyFont="1" applyFill="1"/>
    <xf numFmtId="167" fontId="4" fillId="0" borderId="0" xfId="0" applyNumberFormat="1" applyFont="1" applyFill="1"/>
    <xf numFmtId="0" fontId="4" fillId="0" borderId="0" xfId="0" applyFont="1" applyFill="1" applyAlignment="1">
      <alignment horizontal="left" indent="1"/>
    </xf>
    <xf numFmtId="0" fontId="4" fillId="0" borderId="0" xfId="0" applyFont="1" applyFill="1" applyAlignment="1">
      <alignment horizontal="right"/>
    </xf>
    <xf numFmtId="0" fontId="9" fillId="0" borderId="0" xfId="0" applyFont="1" applyFill="1"/>
    <xf numFmtId="0" fontId="4" fillId="0" borderId="0" xfId="0" applyFont="1" applyFill="1" applyAlignment="1">
      <alignment horizontal="right"/>
    </xf>
    <xf numFmtId="0" fontId="4" fillId="0" borderId="0" xfId="0" applyFont="1" applyFill="1"/>
    <xf numFmtId="0" fontId="4" fillId="0" borderId="0" xfId="0" quotePrefix="1" applyFont="1" applyFill="1" applyAlignment="1">
      <alignment horizontal="center" vertical="center"/>
    </xf>
    <xf numFmtId="164" fontId="4" fillId="0" borderId="0" xfId="0" applyNumberFormat="1" applyFont="1" applyFill="1"/>
    <xf numFmtId="164" fontId="4" fillId="0" borderId="8" xfId="0" applyNumberFormat="1" applyFont="1" applyFill="1" applyBorder="1"/>
    <xf numFmtId="168" fontId="12" fillId="0" borderId="0" xfId="0" applyNumberFormat="1" applyFont="1" applyFill="1" applyBorder="1"/>
    <xf numFmtId="168" fontId="4" fillId="0" borderId="0" xfId="0" applyNumberFormat="1" applyFont="1" applyFill="1"/>
    <xf numFmtId="0" fontId="6" fillId="0" borderId="0" xfId="0" applyFont="1" applyFill="1" applyAlignment="1">
      <alignment horizontal="left"/>
    </xf>
    <xf numFmtId="164" fontId="6" fillId="0" borderId="8" xfId="0" applyNumberFormat="1" applyFont="1" applyFill="1" applyBorder="1"/>
    <xf numFmtId="0" fontId="6" fillId="0" borderId="0" xfId="0" applyFont="1" applyFill="1" applyAlignment="1">
      <alignment horizontal="left" indent="1"/>
    </xf>
    <xf numFmtId="44" fontId="6" fillId="0" borderId="0" xfId="0" applyNumberFormat="1" applyFont="1" applyFill="1"/>
    <xf numFmtId="0" fontId="4" fillId="0" borderId="0" xfId="0" applyFont="1" applyFill="1" applyAlignment="1"/>
    <xf numFmtId="0" fontId="11" fillId="0" borderId="0" xfId="0" quotePrefix="1" applyFont="1" applyFill="1" applyAlignment="1">
      <alignment horizontal="left" vertical="top"/>
    </xf>
    <xf numFmtId="0" fontId="6" fillId="0" borderId="0" xfId="0" applyFont="1" applyFill="1" applyAlignment="1">
      <alignment horizontal="centerContinuous"/>
    </xf>
    <xf numFmtId="0" fontId="6" fillId="0" borderId="0" xfId="0" applyFont="1" applyAlignment="1">
      <alignment horizontal="centerContinuous"/>
    </xf>
    <xf numFmtId="0" fontId="6" fillId="0" borderId="0" xfId="0" applyFont="1" applyBorder="1" applyAlignment="1">
      <alignment horizontal="centerContinuous" wrapText="1"/>
    </xf>
    <xf numFmtId="0" fontId="4" fillId="0" borderId="0" xfId="0" applyFont="1"/>
    <xf numFmtId="0" fontId="4" fillId="0" borderId="0" xfId="0" applyFont="1" applyFill="1" applyBorder="1" applyAlignment="1">
      <alignment wrapText="1"/>
    </xf>
    <xf numFmtId="0" fontId="6" fillId="0" borderId="7" xfId="0" applyFont="1" applyFill="1" applyBorder="1" applyAlignment="1">
      <alignment horizontal="centerContinuous"/>
    </xf>
    <xf numFmtId="0" fontId="6" fillId="0" borderId="6" xfId="0" applyFont="1" applyFill="1" applyBorder="1" applyAlignment="1">
      <alignment horizontal="centerContinuous"/>
    </xf>
    <xf numFmtId="0" fontId="6" fillId="0" borderId="5" xfId="0" applyFont="1" applyFill="1" applyBorder="1" applyAlignment="1">
      <alignment horizontal="centerContinuous"/>
    </xf>
    <xf numFmtId="0" fontId="6" fillId="0" borderId="0" xfId="0" applyFont="1" applyFill="1" applyBorder="1" applyAlignment="1">
      <alignment horizontal="center"/>
    </xf>
    <xf numFmtId="0" fontId="4" fillId="0" borderId="0" xfId="0" applyFont="1" applyAlignment="1">
      <alignment horizontal="center"/>
    </xf>
    <xf numFmtId="9" fontId="4" fillId="0" borderId="0" xfId="0" applyNumberFormat="1" applyFont="1"/>
    <xf numFmtId="164" fontId="5" fillId="0" borderId="0" xfId="0" applyNumberFormat="1" applyFont="1" applyFill="1"/>
    <xf numFmtId="169" fontId="12" fillId="0" borderId="0" xfId="0" applyNumberFormat="1" applyFont="1" applyFill="1"/>
    <xf numFmtId="169" fontId="4" fillId="0" borderId="0" xfId="0" applyNumberFormat="1" applyFont="1" applyFill="1"/>
    <xf numFmtId="0" fontId="6" fillId="0" borderId="0" xfId="0" applyFont="1" applyAlignment="1">
      <alignment horizontal="left"/>
    </xf>
    <xf numFmtId="164" fontId="6" fillId="0" borderId="8" xfId="0" applyNumberFormat="1" applyFont="1" applyBorder="1"/>
    <xf numFmtId="164" fontId="6" fillId="0" borderId="0" xfId="0" applyNumberFormat="1" applyFont="1"/>
    <xf numFmtId="169" fontId="6" fillId="0" borderId="0" xfId="0" applyNumberFormat="1" applyFont="1"/>
    <xf numFmtId="0" fontId="4" fillId="0" borderId="0" xfId="0" applyFont="1" applyAlignment="1">
      <alignment horizontal="left"/>
    </xf>
    <xf numFmtId="166" fontId="4" fillId="0" borderId="0" xfId="0" applyNumberFormat="1" applyFont="1"/>
    <xf numFmtId="0" fontId="4" fillId="0" borderId="0" xfId="0" applyFont="1" applyFill="1" applyAlignment="1">
      <alignment wrapText="1"/>
    </xf>
    <xf numFmtId="0" fontId="4" fillId="0" borderId="0" xfId="0" applyFont="1" applyAlignment="1">
      <alignment wrapText="1"/>
    </xf>
    <xf numFmtId="0" fontId="6" fillId="0" borderId="0" xfId="0" applyFont="1" applyFill="1" applyAlignment="1">
      <alignment vertical="center" wrapText="1"/>
    </xf>
    <xf numFmtId="0" fontId="6" fillId="0" borderId="2" xfId="0" applyFont="1" applyFill="1" applyBorder="1" applyAlignment="1">
      <alignment horizontal="center" vertical="center" wrapText="1"/>
    </xf>
    <xf numFmtId="17" fontId="4" fillId="0" borderId="0" xfId="0" applyNumberFormat="1" applyFont="1" applyFill="1" applyAlignment="1">
      <alignment horizontal="center" wrapText="1"/>
    </xf>
    <xf numFmtId="0" fontId="4" fillId="0" borderId="0" xfId="0" applyFont="1" applyFill="1" applyAlignment="1">
      <alignment horizontal="center"/>
    </xf>
    <xf numFmtId="17" fontId="4" fillId="0" borderId="2" xfId="0" applyNumberFormat="1" applyFont="1" applyFill="1" applyBorder="1" applyAlignment="1">
      <alignment horizontal="center" wrapText="1"/>
    </xf>
    <xf numFmtId="165" fontId="12" fillId="0" borderId="0" xfId="0" applyNumberFormat="1" applyFont="1" applyFill="1"/>
    <xf numFmtId="165" fontId="4" fillId="0" borderId="8" xfId="0" applyNumberFormat="1" applyFont="1" applyFill="1" applyBorder="1"/>
    <xf numFmtId="170" fontId="4" fillId="0" borderId="0" xfId="0" applyNumberFormat="1" applyFont="1" applyFill="1"/>
    <xf numFmtId="0" fontId="4" fillId="0" borderId="0" xfId="0" applyFont="1" applyFill="1" applyAlignment="1">
      <alignment horizontal="center" wrapText="1"/>
    </xf>
    <xf numFmtId="0" fontId="4" fillId="0" borderId="2" xfId="0" applyFont="1" applyFill="1" applyBorder="1" applyAlignment="1">
      <alignment horizontal="center"/>
    </xf>
    <xf numFmtId="9" fontId="4" fillId="0" borderId="2" xfId="0" applyNumberFormat="1" applyFont="1" applyFill="1" applyBorder="1" applyAlignment="1">
      <alignment horizontal="center"/>
    </xf>
    <xf numFmtId="0" fontId="7" fillId="0" borderId="0" xfId="0" applyFont="1" applyFill="1"/>
    <xf numFmtId="166" fontId="15" fillId="0" borderId="9" xfId="0" applyNumberFormat="1" applyFont="1" applyFill="1" applyBorder="1"/>
    <xf numFmtId="171" fontId="15" fillId="0" borderId="0" xfId="0" applyNumberFormat="1" applyFont="1" applyFill="1" applyBorder="1"/>
    <xf numFmtId="165" fontId="4" fillId="0" borderId="0" xfId="0" applyNumberFormat="1" applyFont="1" applyFill="1" applyAlignment="1">
      <alignment horizontal="center"/>
    </xf>
    <xf numFmtId="166" fontId="4" fillId="0" borderId="2" xfId="0" applyNumberFormat="1" applyFont="1" applyFill="1" applyBorder="1" applyAlignment="1">
      <alignment horizontal="center"/>
    </xf>
    <xf numFmtId="43" fontId="4" fillId="0" borderId="0" xfId="0" applyNumberFormat="1" applyFont="1" applyFill="1"/>
    <xf numFmtId="0" fontId="7" fillId="0" borderId="0" xfId="0" applyFont="1" applyFill="1"/>
    <xf numFmtId="165" fontId="4" fillId="0" borderId="0" xfId="0" applyNumberFormat="1" applyFont="1" applyFill="1"/>
    <xf numFmtId="165" fontId="4" fillId="0" borderId="0" xfId="0" applyNumberFormat="1" applyFont="1" applyFill="1"/>
    <xf numFmtId="165" fontId="4" fillId="0" borderId="10" xfId="0" applyNumberFormat="1" applyFont="1" applyFill="1" applyBorder="1"/>
    <xf numFmtId="172" fontId="4" fillId="0" borderId="0" xfId="0" applyNumberFormat="1" applyFont="1" applyFill="1"/>
    <xf numFmtId="42" fontId="16" fillId="0" borderId="0" xfId="0" applyNumberFormat="1" applyFont="1" applyFill="1"/>
    <xf numFmtId="165" fontId="4" fillId="0" borderId="9" xfId="0" applyNumberFormat="1" applyFont="1" applyFill="1" applyBorder="1"/>
    <xf numFmtId="0" fontId="17" fillId="0" borderId="0" xfId="0" applyFont="1" applyFill="1"/>
    <xf numFmtId="0" fontId="9" fillId="0" borderId="0" xfId="0" applyFont="1" applyFill="1" applyAlignment="1">
      <alignment horizontal="left" wrapText="1"/>
    </xf>
    <xf numFmtId="0" fontId="6" fillId="0" borderId="0" xfId="0" applyFont="1" applyFill="1" applyAlignment="1">
      <alignment horizontal="left" wrapText="1"/>
    </xf>
    <xf numFmtId="0" fontId="4" fillId="0" borderId="0" xfId="0" applyFont="1" applyFill="1" applyBorder="1" applyAlignment="1">
      <alignment horizontal="center" wrapText="1"/>
    </xf>
    <xf numFmtId="0" fontId="8" fillId="0" borderId="0" xfId="0" applyFont="1" applyFill="1" applyBorder="1" applyAlignment="1">
      <alignment horizontal="center" wrapText="1"/>
    </xf>
    <xf numFmtId="0" fontId="4" fillId="0" borderId="0" xfId="0" applyFont="1" applyFill="1" applyBorder="1"/>
    <xf numFmtId="42" fontId="7" fillId="0" borderId="0" xfId="0" applyNumberFormat="1" applyFont="1" applyFill="1" applyBorder="1"/>
    <xf numFmtId="42" fontId="10" fillId="0" borderId="0" xfId="0" applyNumberFormat="1" applyFont="1" applyFill="1" applyBorder="1"/>
    <xf numFmtId="0" fontId="4" fillId="0" borderId="0" xfId="0" applyFont="1" applyFill="1" applyAlignment="1">
      <alignment horizontal="left" wrapText="1"/>
    </xf>
    <xf numFmtId="0" fontId="4" fillId="0" borderId="2" xfId="0" applyFont="1" applyFill="1" applyBorder="1" applyAlignment="1">
      <alignment horizontal="left" wrapText="1"/>
    </xf>
    <xf numFmtId="42" fontId="18" fillId="0" borderId="0" xfId="0" applyNumberFormat="1" applyFont="1" applyFill="1" applyBorder="1"/>
    <xf numFmtId="42" fontId="4" fillId="0" borderId="0" xfId="0" applyNumberFormat="1" applyFont="1" applyFill="1" applyBorder="1"/>
    <xf numFmtId="174" fontId="4" fillId="0" borderId="0" xfId="0" applyNumberFormat="1" applyFont="1" applyFill="1"/>
    <xf numFmtId="174" fontId="4" fillId="0" borderId="0" xfId="0" applyNumberFormat="1" applyFont="1" applyFill="1" applyBorder="1"/>
    <xf numFmtId="174" fontId="4" fillId="0" borderId="0" xfId="0" applyNumberFormat="1" applyFont="1" applyFill="1" applyBorder="1" applyAlignment="1">
      <alignment horizontal="center"/>
    </xf>
    <xf numFmtId="17" fontId="4" fillId="0" borderId="0" xfId="0" applyNumberFormat="1" applyFont="1" applyFill="1"/>
    <xf numFmtId="41" fontId="4" fillId="0" borderId="0" xfId="0" applyNumberFormat="1" applyFont="1" applyFill="1" applyBorder="1" applyAlignment="1">
      <alignment horizontal="center"/>
    </xf>
    <xf numFmtId="0" fontId="16" fillId="0" borderId="0" xfId="0" applyFont="1" applyFill="1" applyBorder="1" applyAlignment="1">
      <alignment horizontal="center"/>
    </xf>
    <xf numFmtId="0" fontId="5" fillId="0" borderId="0" xfId="0" applyFont="1" applyFill="1" applyBorder="1" applyAlignment="1">
      <alignment horizontal="center"/>
    </xf>
    <xf numFmtId="174" fontId="4" fillId="0" borderId="2" xfId="0" applyNumberFormat="1" applyFont="1" applyFill="1" applyBorder="1" applyAlignment="1">
      <alignment horizontal="center" wrapText="1"/>
    </xf>
    <xf numFmtId="174" fontId="6" fillId="0" borderId="2" xfId="0" applyNumberFormat="1" applyFont="1" applyFill="1" applyBorder="1" applyAlignment="1">
      <alignment horizontal="center" wrapText="1"/>
    </xf>
    <xf numFmtId="174" fontId="6" fillId="0" borderId="0" xfId="0" applyNumberFormat="1" applyFont="1" applyFill="1" applyBorder="1" applyAlignment="1">
      <alignment horizontal="center" wrapText="1"/>
    </xf>
    <xf numFmtId="173" fontId="4" fillId="0" borderId="0" xfId="0" applyNumberFormat="1" applyFont="1" applyFill="1" applyBorder="1"/>
    <xf numFmtId="41" fontId="4" fillId="0" borderId="0" xfId="0" applyNumberFormat="1" applyFont="1" applyFill="1" applyBorder="1"/>
    <xf numFmtId="41" fontId="4" fillId="3" borderId="0" xfId="0" applyNumberFormat="1" applyFont="1" applyFill="1" applyBorder="1"/>
    <xf numFmtId="41" fontId="4" fillId="0" borderId="0" xfId="0" applyNumberFormat="1" applyFont="1" applyFill="1"/>
    <xf numFmtId="41" fontId="16" fillId="0" borderId="0" xfId="0" applyNumberFormat="1" applyFont="1" applyFill="1"/>
    <xf numFmtId="41" fontId="16" fillId="0" borderId="0" xfId="0" applyNumberFormat="1" applyFont="1" applyFill="1" applyBorder="1"/>
    <xf numFmtId="173" fontId="5" fillId="0" borderId="0" xfId="0" applyNumberFormat="1" applyFont="1" applyFill="1" applyBorder="1"/>
    <xf numFmtId="41" fontId="5" fillId="0" borderId="0" xfId="0" applyNumberFormat="1" applyFont="1" applyFill="1" applyBorder="1"/>
    <xf numFmtId="42" fontId="16" fillId="0" borderId="0" xfId="0" applyNumberFormat="1" applyFont="1" applyFill="1" applyBorder="1"/>
    <xf numFmtId="170" fontId="16" fillId="0" borderId="0" xfId="0" applyNumberFormat="1" applyFont="1" applyFill="1" applyBorder="1"/>
    <xf numFmtId="173" fontId="16" fillId="0" borderId="0" xfId="0" applyNumberFormat="1" applyFont="1" applyFill="1" applyBorder="1"/>
    <xf numFmtId="170" fontId="16" fillId="0" borderId="0" xfId="0" applyNumberFormat="1" applyFont="1" applyFill="1"/>
    <xf numFmtId="43" fontId="16" fillId="0" borderId="0" xfId="0" applyNumberFormat="1" applyFont="1" applyFill="1"/>
    <xf numFmtId="41" fontId="16" fillId="0" borderId="2" xfId="0" applyNumberFormat="1" applyFont="1" applyFill="1" applyBorder="1"/>
    <xf numFmtId="42" fontId="16" fillId="0" borderId="2" xfId="0" applyNumberFormat="1" applyFont="1" applyFill="1" applyBorder="1"/>
    <xf numFmtId="173" fontId="16" fillId="0" borderId="2" xfId="0" applyNumberFormat="1" applyFont="1" applyFill="1" applyBorder="1"/>
    <xf numFmtId="42" fontId="4" fillId="0" borderId="5" xfId="0" applyNumberFormat="1" applyFont="1" applyFill="1" applyBorder="1" applyAlignment="1"/>
    <xf numFmtId="173" fontId="4" fillId="0" borderId="5" xfId="0" applyNumberFormat="1" applyFont="1" applyFill="1" applyBorder="1" applyAlignment="1"/>
    <xf numFmtId="41" fontId="4" fillId="0" borderId="5" xfId="0" applyNumberFormat="1" applyFont="1" applyFill="1" applyBorder="1" applyAlignment="1"/>
    <xf numFmtId="42" fontId="4" fillId="0" borderId="8" xfId="0" applyNumberFormat="1" applyFont="1" applyFill="1" applyBorder="1"/>
    <xf numFmtId="173" fontId="4" fillId="0" borderId="8" xfId="0" applyNumberFormat="1" applyFont="1" applyFill="1" applyBorder="1"/>
    <xf numFmtId="42" fontId="5" fillId="0" borderId="0" xfId="0" applyNumberFormat="1" applyFont="1" applyFill="1" applyBorder="1"/>
    <xf numFmtId="170" fontId="5" fillId="0" borderId="0" xfId="0" applyNumberFormat="1" applyFont="1" applyFill="1"/>
    <xf numFmtId="175" fontId="16" fillId="0" borderId="0" xfId="0" applyNumberFormat="1" applyFont="1" applyFill="1" applyBorder="1"/>
    <xf numFmtId="175" fontId="5" fillId="0" borderId="0" xfId="0" applyNumberFormat="1" applyFont="1" applyFill="1"/>
    <xf numFmtId="0" fontId="4" fillId="6" borderId="0" xfId="0" applyFont="1" applyFill="1"/>
    <xf numFmtId="44" fontId="4" fillId="0" borderId="0" xfId="0" applyNumberFormat="1" applyFont="1"/>
    <xf numFmtId="0" fontId="4" fillId="0" borderId="0" xfId="0" applyFont="1" applyBorder="1"/>
    <xf numFmtId="44" fontId="5" fillId="0" borderId="0" xfId="0" applyNumberFormat="1" applyFont="1" applyFill="1"/>
    <xf numFmtId="170" fontId="4" fillId="0" borderId="0" xfId="0" applyNumberFormat="1" applyFont="1" applyBorder="1"/>
    <xf numFmtId="43" fontId="5" fillId="0" borderId="0" xfId="0" applyNumberFormat="1" applyFont="1" applyFill="1"/>
    <xf numFmtId="170" fontId="4" fillId="0" borderId="0" xfId="0" applyNumberFormat="1" applyFont="1" applyFill="1" applyBorder="1"/>
    <xf numFmtId="0" fontId="16" fillId="0" borderId="0" xfId="0" applyFont="1" applyBorder="1"/>
    <xf numFmtId="41" fontId="16" fillId="0" borderId="0" xfId="0" applyNumberFormat="1" applyFont="1" applyBorder="1"/>
    <xf numFmtId="41" fontId="4" fillId="0" borderId="5" xfId="0" applyNumberFormat="1" applyFont="1" applyFill="1" applyBorder="1"/>
    <xf numFmtId="43" fontId="4" fillId="0" borderId="0" xfId="0" applyNumberFormat="1" applyFont="1" applyFill="1" applyBorder="1"/>
    <xf numFmtId="0" fontId="4" fillId="4" borderId="0" xfId="0" applyFont="1" applyFill="1"/>
    <xf numFmtId="175" fontId="4" fillId="0" borderId="0" xfId="0" applyNumberFormat="1" applyFont="1"/>
    <xf numFmtId="43" fontId="5" fillId="0" borderId="0" xfId="0" applyNumberFormat="1" applyFont="1" applyFill="1"/>
    <xf numFmtId="41" fontId="22" fillId="0" borderId="0" xfId="0" applyNumberFormat="1" applyFont="1" applyFill="1" applyBorder="1"/>
    <xf numFmtId="170" fontId="16" fillId="0" borderId="0" xfId="0" applyNumberFormat="1" applyFont="1" applyFill="1" applyBorder="1" applyAlignment="1">
      <alignment horizontal="left" indent="2"/>
    </xf>
    <xf numFmtId="170" fontId="16" fillId="0" borderId="0" xfId="0" applyNumberFormat="1" applyFont="1" applyFill="1"/>
    <xf numFmtId="42" fontId="4" fillId="0" borderId="5" xfId="0" applyNumberFormat="1" applyFont="1" applyFill="1" applyBorder="1"/>
    <xf numFmtId="41" fontId="5" fillId="5" borderId="0" xfId="0" applyNumberFormat="1" applyFont="1" applyFill="1" applyBorder="1"/>
    <xf numFmtId="41" fontId="5" fillId="4" borderId="0" xfId="0" applyNumberFormat="1" applyFont="1" applyFill="1" applyBorder="1"/>
    <xf numFmtId="43" fontId="12" fillId="0" borderId="0" xfId="0" applyNumberFormat="1" applyFont="1" applyFill="1"/>
    <xf numFmtId="37" fontId="16" fillId="0" borderId="0" xfId="0" applyNumberFormat="1" applyFont="1" applyFill="1" applyBorder="1"/>
    <xf numFmtId="37" fontId="16" fillId="0" borderId="0" xfId="0" applyNumberFormat="1" applyFont="1" applyFill="1"/>
    <xf numFmtId="39" fontId="16" fillId="0" borderId="0" xfId="0" applyNumberFormat="1" applyFont="1" applyFill="1"/>
    <xf numFmtId="39" fontId="5" fillId="0" borderId="0" xfId="0" applyNumberFormat="1" applyFont="1" applyFill="1"/>
    <xf numFmtId="165" fontId="4" fillId="0" borderId="0" xfId="0" applyNumberFormat="1" applyFont="1" applyFill="1" applyBorder="1"/>
    <xf numFmtId="165" fontId="23" fillId="0" borderId="0" xfId="0" applyNumberFormat="1" applyFont="1" applyFill="1" applyBorder="1"/>
    <xf numFmtId="41" fontId="4" fillId="0" borderId="2" xfId="0" applyNumberFormat="1" applyFont="1" applyFill="1" applyBorder="1"/>
    <xf numFmtId="165" fontId="16" fillId="0" borderId="0" xfId="0" applyNumberFormat="1" applyFont="1" applyFill="1" applyBorder="1"/>
    <xf numFmtId="37" fontId="5" fillId="0" borderId="0" xfId="0" applyNumberFormat="1" applyFont="1" applyFill="1"/>
    <xf numFmtId="37" fontId="5" fillId="5" borderId="0" xfId="0" applyNumberFormat="1" applyFont="1" applyFill="1"/>
    <xf numFmtId="37" fontId="5" fillId="4" borderId="0" xfId="0" applyNumberFormat="1" applyFont="1" applyFill="1"/>
    <xf numFmtId="37" fontId="16" fillId="4" borderId="0" xfId="0" applyNumberFormat="1" applyFont="1" applyFill="1"/>
    <xf numFmtId="42" fontId="21" fillId="0" borderId="0" xfId="0" applyNumberFormat="1" applyFont="1" applyFill="1" applyAlignment="1">
      <alignment horizontal="center" wrapText="1"/>
    </xf>
    <xf numFmtId="42" fontId="21" fillId="0" borderId="0" xfId="0" applyNumberFormat="1" applyFont="1" applyFill="1" applyBorder="1" applyAlignment="1">
      <alignment horizontal="center" wrapText="1"/>
    </xf>
    <xf numFmtId="41" fontId="21" fillId="0" borderId="0" xfId="0" applyNumberFormat="1" applyFont="1" applyFill="1" applyBorder="1" applyAlignment="1">
      <alignment horizontal="center" wrapText="1"/>
    </xf>
    <xf numFmtId="42" fontId="4" fillId="0" borderId="15" xfId="0" applyNumberFormat="1" applyFont="1" applyFill="1" applyBorder="1"/>
    <xf numFmtId="42" fontId="4" fillId="0" borderId="16" xfId="0" applyNumberFormat="1" applyFont="1" applyFill="1" applyBorder="1"/>
    <xf numFmtId="41" fontId="4" fillId="0" borderId="16" xfId="0" applyNumberFormat="1" applyFont="1" applyFill="1" applyBorder="1"/>
    <xf numFmtId="42" fontId="4" fillId="0" borderId="17" xfId="0" applyNumberFormat="1" applyFont="1" applyFill="1" applyBorder="1"/>
    <xf numFmtId="41" fontId="4" fillId="0" borderId="17" xfId="0" applyNumberFormat="1" applyFont="1" applyFill="1" applyBorder="1"/>
    <xf numFmtId="42" fontId="4" fillId="0" borderId="11" xfId="0" applyNumberFormat="1" applyFont="1" applyFill="1" applyBorder="1"/>
    <xf numFmtId="17" fontId="21" fillId="0" borderId="0" xfId="0" applyNumberFormat="1" applyFont="1" applyFill="1" applyBorder="1" applyAlignment="1">
      <alignment horizontal="center" wrapText="1"/>
    </xf>
    <xf numFmtId="176" fontId="4" fillId="0" borderId="0" xfId="0" applyNumberFormat="1" applyFont="1" applyFill="1" applyBorder="1"/>
    <xf numFmtId="44" fontId="4" fillId="0" borderId="0" xfId="0" applyNumberFormat="1" applyFont="1" applyFill="1" applyBorder="1"/>
    <xf numFmtId="174" fontId="4" fillId="0" borderId="2" xfId="0" applyNumberFormat="1" applyFont="1" applyFill="1" applyBorder="1" applyAlignment="1">
      <alignment horizontal="center"/>
    </xf>
    <xf numFmtId="174" fontId="4" fillId="0" borderId="20" xfId="0" applyNumberFormat="1" applyFont="1" applyFill="1" applyBorder="1" applyAlignment="1">
      <alignment horizontal="center"/>
    </xf>
    <xf numFmtId="174" fontId="4" fillId="0" borderId="17" xfId="0" applyNumberFormat="1" applyFont="1" applyFill="1" applyBorder="1" applyAlignment="1">
      <alignment horizontal="center"/>
    </xf>
    <xf numFmtId="174" fontId="4" fillId="0" borderId="21" xfId="0" applyNumberFormat="1" applyFont="1" applyFill="1" applyBorder="1" applyAlignment="1">
      <alignment horizontal="center"/>
    </xf>
    <xf numFmtId="0" fontId="4" fillId="0" borderId="22" xfId="0" applyFont="1" applyFill="1" applyBorder="1"/>
    <xf numFmtId="0" fontId="4" fillId="0" borderId="23" xfId="0" applyFont="1" applyFill="1" applyBorder="1"/>
    <xf numFmtId="37" fontId="10" fillId="0" borderId="0" xfId="0" applyNumberFormat="1" applyFont="1" applyFill="1" applyBorder="1"/>
    <xf numFmtId="170" fontId="4" fillId="0" borderId="5" xfId="0" applyNumberFormat="1" applyFont="1" applyFill="1" applyBorder="1"/>
    <xf numFmtId="170" fontId="4" fillId="0" borderId="24" xfId="0" applyNumberFormat="1" applyFont="1" applyFill="1" applyBorder="1"/>
    <xf numFmtId="170" fontId="4" fillId="0" borderId="25" xfId="0" applyNumberFormat="1" applyFont="1" applyFill="1" applyBorder="1"/>
    <xf numFmtId="170" fontId="22" fillId="0" borderId="0" xfId="0" applyNumberFormat="1" applyFont="1" applyFill="1"/>
    <xf numFmtId="170" fontId="22" fillId="0" borderId="22" xfId="0" applyNumberFormat="1" applyFont="1" applyFill="1" applyBorder="1"/>
    <xf numFmtId="170" fontId="22" fillId="0" borderId="0" xfId="0" applyNumberFormat="1" applyFont="1" applyFill="1" applyBorder="1"/>
    <xf numFmtId="170" fontId="22" fillId="0" borderId="23" xfId="0" applyNumberFormat="1" applyFont="1" applyFill="1" applyBorder="1"/>
    <xf numFmtId="170" fontId="4" fillId="0" borderId="8" xfId="0" applyNumberFormat="1" applyFont="1" applyFill="1" applyBorder="1"/>
    <xf numFmtId="170" fontId="4" fillId="0" borderId="26" xfId="0" applyNumberFormat="1" applyFont="1" applyFill="1" applyBorder="1"/>
    <xf numFmtId="170" fontId="4" fillId="0" borderId="27" xfId="0" applyNumberFormat="1" applyFont="1" applyFill="1" applyBorder="1"/>
    <xf numFmtId="0" fontId="24" fillId="0" borderId="0" xfId="0" applyFont="1" applyFill="1"/>
    <xf numFmtId="164" fontId="4" fillId="0" borderId="0" xfId="0" applyNumberFormat="1" applyFont="1" applyFill="1" applyBorder="1"/>
    <xf numFmtId="164" fontId="4" fillId="0" borderId="23" xfId="0" applyNumberFormat="1" applyFont="1" applyFill="1" applyBorder="1"/>
    <xf numFmtId="169" fontId="4" fillId="0" borderId="0" xfId="0" applyNumberFormat="1" applyFont="1" applyFill="1" applyBorder="1"/>
    <xf numFmtId="169" fontId="4" fillId="0" borderId="23" xfId="0" applyNumberFormat="1" applyFont="1" applyFill="1" applyBorder="1"/>
    <xf numFmtId="165" fontId="4" fillId="0" borderId="22" xfId="0" applyNumberFormat="1" applyFont="1" applyFill="1" applyBorder="1"/>
    <xf numFmtId="165" fontId="4" fillId="0" borderId="23" xfId="0" applyNumberFormat="1" applyFont="1" applyFill="1" applyBorder="1"/>
    <xf numFmtId="0" fontId="4" fillId="7" borderId="0" xfId="0" applyFont="1" applyFill="1"/>
    <xf numFmtId="0" fontId="6" fillId="0" borderId="0" xfId="0" applyFont="1" applyFill="1" applyAlignment="1">
      <alignment vertical="center"/>
    </xf>
    <xf numFmtId="164" fontId="4" fillId="0" borderId="22" xfId="0" applyNumberFormat="1" applyFont="1" applyFill="1" applyBorder="1"/>
    <xf numFmtId="167" fontId="12" fillId="0" borderId="28" xfId="0" applyNumberFormat="1" applyFont="1" applyFill="1" applyBorder="1"/>
    <xf numFmtId="167" fontId="4" fillId="0" borderId="0" xfId="0" applyNumberFormat="1" applyFont="1" applyFill="1" applyBorder="1"/>
    <xf numFmtId="167" fontId="4" fillId="0" borderId="23" xfId="0" applyNumberFormat="1" applyFont="1" applyFill="1" applyBorder="1"/>
    <xf numFmtId="177" fontId="4" fillId="0" borderId="22" xfId="0" applyNumberFormat="1" applyFont="1" applyFill="1" applyBorder="1"/>
    <xf numFmtId="167" fontId="4" fillId="0" borderId="13" xfId="0" applyNumberFormat="1" applyFont="1" applyFill="1" applyBorder="1"/>
    <xf numFmtId="167" fontId="4" fillId="0" borderId="29" xfId="0" applyNumberFormat="1" applyFont="1" applyFill="1" applyBorder="1"/>
    <xf numFmtId="167" fontId="4" fillId="0" borderId="12" xfId="0" applyNumberFormat="1" applyFont="1" applyFill="1" applyBorder="1"/>
    <xf numFmtId="167" fontId="4" fillId="0" borderId="30" xfId="0" applyNumberFormat="1" applyFont="1" applyFill="1" applyBorder="1"/>
    <xf numFmtId="0" fontId="4" fillId="0" borderId="27" xfId="0" applyFont="1" applyFill="1" applyBorder="1"/>
    <xf numFmtId="167" fontId="5" fillId="0" borderId="10" xfId="0" applyNumberFormat="1" applyFont="1" applyFill="1" applyBorder="1"/>
    <xf numFmtId="0" fontId="24" fillId="0" borderId="0" xfId="0" applyFont="1" applyFill="1" applyBorder="1"/>
    <xf numFmtId="167" fontId="12" fillId="0" borderId="0" xfId="0" applyNumberFormat="1" applyFont="1" applyFill="1" applyBorder="1"/>
    <xf numFmtId="0" fontId="25" fillId="0" borderId="0" xfId="0" applyFont="1" applyFill="1" applyAlignment="1">
      <alignment horizontal="centerContinuous"/>
    </xf>
    <xf numFmtId="0" fontId="6" fillId="0" borderId="0" xfId="0" applyFont="1" applyFill="1" applyAlignment="1"/>
    <xf numFmtId="0" fontId="6" fillId="0" borderId="0" xfId="0" applyFont="1" applyFill="1" applyBorder="1" applyAlignment="1"/>
    <xf numFmtId="0" fontId="4" fillId="0" borderId="0" xfId="0" applyFont="1" applyFill="1"/>
    <xf numFmtId="0" fontId="6" fillId="0" borderId="0" xfId="0" applyFont="1" applyFill="1" applyAlignment="1">
      <alignment horizontal="centerContinuous"/>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xf numFmtId="17" fontId="5" fillId="0" borderId="0" xfId="0" applyNumberFormat="1" applyFont="1" applyFill="1" applyBorder="1" applyAlignment="1">
      <alignment horizontal="center"/>
    </xf>
    <xf numFmtId="0" fontId="4" fillId="0" borderId="2" xfId="0" applyFont="1" applyFill="1" applyBorder="1" applyAlignment="1">
      <alignment horizontal="center"/>
    </xf>
    <xf numFmtId="0" fontId="6" fillId="0" borderId="2" xfId="0" applyFont="1" applyFill="1" applyBorder="1" applyAlignment="1">
      <alignment horizontal="center"/>
    </xf>
    <xf numFmtId="0" fontId="4" fillId="0" borderId="0" xfId="0" applyFont="1" applyFill="1" applyBorder="1" applyAlignment="1">
      <alignment horizontal="center"/>
    </xf>
    <xf numFmtId="170" fontId="4" fillId="0" borderId="0" xfId="0" applyNumberFormat="1" applyFont="1" applyFill="1" applyBorder="1"/>
    <xf numFmtId="37" fontId="4" fillId="0" borderId="0" xfId="0" applyNumberFormat="1" applyFont="1" applyFill="1"/>
    <xf numFmtId="0" fontId="4" fillId="0" borderId="11" xfId="0" applyFont="1" applyFill="1" applyBorder="1" applyAlignment="1">
      <alignment horizontal="center" vertical="center"/>
    </xf>
    <xf numFmtId="37" fontId="6" fillId="0" borderId="0" xfId="0" applyNumberFormat="1" applyFont="1" applyFill="1" applyBorder="1"/>
    <xf numFmtId="0" fontId="4" fillId="0" borderId="0" xfId="0" applyFont="1" applyFill="1" applyBorder="1" applyAlignment="1">
      <alignment horizontal="center" vertical="center"/>
    </xf>
    <xf numFmtId="43" fontId="7" fillId="0" borderId="0" xfId="0" applyNumberFormat="1" applyFont="1" applyFill="1" applyBorder="1"/>
    <xf numFmtId="0" fontId="7" fillId="0" borderId="0" xfId="0" applyFont="1" applyFill="1" applyBorder="1" applyAlignment="1">
      <alignment horizontal="right"/>
    </xf>
    <xf numFmtId="37" fontId="7" fillId="0" borderId="0" xfId="0" applyNumberFormat="1" applyFont="1" applyFill="1"/>
    <xf numFmtId="37" fontId="7" fillId="0" borderId="0" xfId="0" applyNumberFormat="1" applyFont="1" applyFill="1" applyBorder="1"/>
    <xf numFmtId="0" fontId="4" fillId="0" borderId="0" xfId="0" applyFont="1" applyFill="1" applyAlignment="1">
      <alignment horizontal="left"/>
    </xf>
    <xf numFmtId="0" fontId="4" fillId="0" borderId="0" xfId="0" applyFont="1" applyFill="1" applyBorder="1"/>
    <xf numFmtId="17" fontId="5" fillId="0" borderId="0" xfId="0" applyNumberFormat="1" applyFont="1" applyFill="1" applyBorder="1" applyAlignment="1">
      <alignment horizontal="center"/>
    </xf>
    <xf numFmtId="37" fontId="4" fillId="0" borderId="0" xfId="0" applyNumberFormat="1" applyFont="1" applyFill="1" applyBorder="1"/>
    <xf numFmtId="0" fontId="4" fillId="0" borderId="0" xfId="0" applyFont="1" applyFill="1" applyAlignment="1">
      <alignment horizontal="center"/>
    </xf>
    <xf numFmtId="0" fontId="20"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3" fillId="0" borderId="0" xfId="0" applyFont="1" applyAlignment="1"/>
    <xf numFmtId="0" fontId="13" fillId="0" borderId="0" xfId="0" applyFont="1" applyAlignment="1">
      <alignment wrapText="1"/>
    </xf>
    <xf numFmtId="0" fontId="20" fillId="0" borderId="0" xfId="0" applyFont="1" applyAlignment="1">
      <alignment horizontal="center"/>
    </xf>
    <xf numFmtId="0" fontId="20" fillId="0" borderId="0" xfId="0" applyFont="1" applyAlignment="1">
      <alignment horizontal="center" wrapText="1"/>
    </xf>
    <xf numFmtId="0" fontId="20" fillId="0" borderId="7" xfId="0" applyFont="1" applyFill="1" applyBorder="1" applyAlignment="1">
      <alignment horizontal="center"/>
    </xf>
    <xf numFmtId="0" fontId="20" fillId="0" borderId="9" xfId="0" applyFont="1" applyFill="1" applyBorder="1" applyAlignment="1">
      <alignment horizontal="center"/>
    </xf>
    <xf numFmtId="37" fontId="20" fillId="0" borderId="7" xfId="0" applyNumberFormat="1" applyFont="1" applyFill="1" applyBorder="1" applyAlignment="1" applyProtection="1">
      <alignment horizontal="center" vertical="center" wrapText="1"/>
    </xf>
    <xf numFmtId="37" fontId="20" fillId="0" borderId="5" xfId="0" applyNumberFormat="1" applyFont="1" applyFill="1" applyBorder="1" applyAlignment="1" applyProtection="1">
      <alignment horizontal="center" vertical="center" wrapText="1"/>
    </xf>
    <xf numFmtId="37" fontId="20" fillId="0" borderId="6" xfId="0" applyNumberFormat="1" applyFont="1" applyFill="1" applyBorder="1" applyAlignment="1" applyProtection="1">
      <alignment horizontal="center" vertical="center" wrapText="1"/>
    </xf>
    <xf numFmtId="0" fontId="13" fillId="0" borderId="32" xfId="0" applyFont="1" applyFill="1" applyBorder="1"/>
    <xf numFmtId="0" fontId="13" fillId="0" borderId="13" xfId="0" applyFont="1" applyFill="1" applyBorder="1" applyAlignment="1">
      <alignment horizontal="center"/>
    </xf>
    <xf numFmtId="170" fontId="13" fillId="0" borderId="13" xfId="0" applyNumberFormat="1" applyFont="1" applyFill="1" applyBorder="1"/>
    <xf numFmtId="170" fontId="5" fillId="0" borderId="1" xfId="0" applyNumberFormat="1" applyFont="1" applyFill="1" applyBorder="1"/>
    <xf numFmtId="0" fontId="13" fillId="0" borderId="13" xfId="0" applyFont="1" applyFill="1" applyBorder="1"/>
    <xf numFmtId="10" fontId="13" fillId="0" borderId="32" xfId="0" applyNumberFormat="1" applyFont="1" applyFill="1" applyBorder="1"/>
    <xf numFmtId="10" fontId="13" fillId="0" borderId="0" xfId="0" applyNumberFormat="1" applyFont="1" applyFill="1" applyBorder="1"/>
    <xf numFmtId="10" fontId="13" fillId="0" borderId="1" xfId="0" applyNumberFormat="1" applyFont="1" applyFill="1" applyBorder="1"/>
    <xf numFmtId="170" fontId="13" fillId="0" borderId="32" xfId="0" applyNumberFormat="1" applyFont="1" applyFill="1" applyBorder="1"/>
    <xf numFmtId="170" fontId="13" fillId="0" borderId="0" xfId="0" applyNumberFormat="1" applyFont="1" applyFill="1" applyBorder="1"/>
    <xf numFmtId="170" fontId="13" fillId="0" borderId="1" xfId="0" applyNumberFormat="1" applyFont="1" applyFill="1" applyBorder="1"/>
    <xf numFmtId="0" fontId="13" fillId="0" borderId="4" xfId="0" applyFont="1" applyFill="1" applyBorder="1"/>
    <xf numFmtId="0" fontId="13" fillId="0" borderId="12" xfId="0" applyFont="1" applyFill="1" applyBorder="1"/>
    <xf numFmtId="170" fontId="13" fillId="0" borderId="12" xfId="0" applyNumberFormat="1" applyFont="1" applyFill="1" applyBorder="1"/>
    <xf numFmtId="10" fontId="13" fillId="0" borderId="4" xfId="0" applyNumberFormat="1" applyFont="1" applyFill="1" applyBorder="1"/>
    <xf numFmtId="10" fontId="13" fillId="0" borderId="2" xfId="0" applyNumberFormat="1" applyFont="1" applyFill="1" applyBorder="1"/>
    <xf numFmtId="10" fontId="13" fillId="0" borderId="3" xfId="0" applyNumberFormat="1" applyFont="1" applyFill="1" applyBorder="1"/>
    <xf numFmtId="0" fontId="13" fillId="0" borderId="0" xfId="0" applyFont="1" applyFill="1"/>
    <xf numFmtId="170" fontId="13" fillId="0" borderId="0" xfId="0" applyNumberFormat="1" applyFont="1" applyFill="1"/>
    <xf numFmtId="170" fontId="13" fillId="0" borderId="0" xfId="0" applyNumberFormat="1" applyFont="1"/>
    <xf numFmtId="0" fontId="20" fillId="0" borderId="0" xfId="0" applyFont="1" applyFill="1"/>
    <xf numFmtId="0" fontId="20" fillId="0" borderId="9" xfId="0" applyFont="1" applyFill="1" applyBorder="1"/>
    <xf numFmtId="0" fontId="20" fillId="0" borderId="5" xfId="0" applyFont="1" applyFill="1" applyBorder="1" applyAlignment="1">
      <alignment horizontal="center"/>
    </xf>
    <xf numFmtId="0" fontId="20" fillId="0" borderId="6" xfId="0" applyFont="1" applyFill="1" applyBorder="1" applyAlignment="1">
      <alignment horizontal="center"/>
    </xf>
    <xf numFmtId="0" fontId="13" fillId="0" borderId="10" xfId="0" applyFont="1" applyFill="1" applyBorder="1"/>
    <xf numFmtId="166" fontId="13" fillId="0" borderId="10" xfId="0" applyNumberFormat="1" applyFont="1" applyFill="1" applyBorder="1"/>
    <xf numFmtId="166" fontId="13" fillId="0" borderId="13" xfId="0" applyNumberFormat="1" applyFont="1" applyFill="1" applyBorder="1"/>
    <xf numFmtId="166" fontId="13" fillId="0" borderId="12" xfId="0" applyNumberFormat="1" applyFont="1" applyFill="1" applyBorder="1"/>
    <xf numFmtId="0" fontId="13" fillId="0" borderId="0" xfId="0" applyFont="1" applyFill="1" applyBorder="1"/>
    <xf numFmtId="166" fontId="13" fillId="0" borderId="0" xfId="0" applyNumberFormat="1" applyFont="1" applyFill="1" applyBorder="1"/>
    <xf numFmtId="0" fontId="20" fillId="0" borderId="0" xfId="0" applyFont="1" applyFill="1" applyBorder="1"/>
    <xf numFmtId="0" fontId="20" fillId="0" borderId="5" xfId="0" applyFont="1" applyFill="1" applyBorder="1" applyAlignment="1">
      <alignment horizontal="center" wrapText="1"/>
    </xf>
    <xf numFmtId="0" fontId="20" fillId="0" borderId="6" xfId="0" applyFont="1" applyFill="1" applyBorder="1" applyAlignment="1">
      <alignment horizontal="center" wrapText="1"/>
    </xf>
    <xf numFmtId="165" fontId="13" fillId="0" borderId="0" xfId="0" applyNumberFormat="1" applyFont="1" applyFill="1" applyBorder="1"/>
    <xf numFmtId="0" fontId="13" fillId="0" borderId="9" xfId="0" applyFont="1" applyFill="1" applyBorder="1"/>
    <xf numFmtId="42" fontId="13" fillId="0" borderId="9" xfId="0" applyNumberFormat="1" applyFont="1" applyFill="1" applyBorder="1" applyAlignment="1">
      <alignment horizontal="center"/>
    </xf>
    <xf numFmtId="42" fontId="13" fillId="0" borderId="5" xfId="0" applyNumberFormat="1" applyFont="1" applyFill="1" applyBorder="1" applyAlignment="1">
      <alignment horizontal="center"/>
    </xf>
    <xf numFmtId="42" fontId="13" fillId="0" borderId="6" xfId="0" applyNumberFormat="1" applyFont="1" applyFill="1" applyBorder="1" applyAlignment="1">
      <alignment horizontal="center"/>
    </xf>
    <xf numFmtId="0" fontId="20" fillId="0" borderId="7" xfId="0" applyFont="1" applyFill="1" applyBorder="1"/>
    <xf numFmtId="0" fontId="20" fillId="0" borderId="5" xfId="0" applyFont="1" applyFill="1" applyBorder="1"/>
    <xf numFmtId="0" fontId="13" fillId="0" borderId="1" xfId="0" applyFont="1" applyBorder="1"/>
    <xf numFmtId="165" fontId="13" fillId="0" borderId="13" xfId="0" applyNumberFormat="1" applyFont="1" applyFill="1" applyBorder="1"/>
    <xf numFmtId="165" fontId="13" fillId="0" borderId="1" xfId="0" applyNumberFormat="1" applyFont="1" applyBorder="1"/>
    <xf numFmtId="0" fontId="13" fillId="0" borderId="7" xfId="0" applyFont="1" applyFill="1" applyBorder="1"/>
    <xf numFmtId="0" fontId="13" fillId="0" borderId="5" xfId="0" applyFont="1" applyFill="1" applyBorder="1"/>
    <xf numFmtId="165" fontId="13" fillId="0" borderId="9" xfId="0" applyNumberFormat="1" applyFont="1" applyFill="1" applyBorder="1"/>
    <xf numFmtId="165" fontId="13" fillId="0" borderId="5" xfId="0" applyNumberFormat="1" applyFont="1" applyFill="1" applyBorder="1"/>
    <xf numFmtId="165" fontId="13" fillId="0" borderId="6" xfId="0" applyNumberFormat="1" applyFont="1" applyBorder="1"/>
    <xf numFmtId="0" fontId="13" fillId="0" borderId="8" xfId="0" applyFont="1" applyFill="1" applyBorder="1"/>
    <xf numFmtId="170" fontId="13" fillId="0" borderId="0" xfId="0" applyNumberFormat="1" applyFont="1" applyBorder="1"/>
    <xf numFmtId="170" fontId="13" fillId="0" borderId="5" xfId="0" applyNumberFormat="1" applyFont="1" applyFill="1" applyBorder="1"/>
    <xf numFmtId="170" fontId="13" fillId="0" borderId="6" xfId="0" applyNumberFormat="1" applyFont="1" applyBorder="1"/>
    <xf numFmtId="0" fontId="13" fillId="0" borderId="34" xfId="0" applyFont="1" applyFill="1" applyBorder="1"/>
    <xf numFmtId="178" fontId="13" fillId="0" borderId="8" xfId="0" applyNumberFormat="1" applyFont="1" applyFill="1" applyBorder="1"/>
    <xf numFmtId="167" fontId="13" fillId="0" borderId="8" xfId="0" applyNumberFormat="1" applyFont="1" applyFill="1" applyBorder="1"/>
    <xf numFmtId="167" fontId="13" fillId="0" borderId="33" xfId="0" applyNumberFormat="1" applyFont="1" applyBorder="1"/>
    <xf numFmtId="178" fontId="13" fillId="0" borderId="0" xfId="0" applyNumberFormat="1" applyFont="1" applyFill="1" applyBorder="1"/>
    <xf numFmtId="167" fontId="13" fillId="0" borderId="0" xfId="0" applyNumberFormat="1" applyFont="1" applyFill="1" applyBorder="1"/>
    <xf numFmtId="167" fontId="13" fillId="0" borderId="1" xfId="0" applyNumberFormat="1" applyFont="1" applyBorder="1"/>
    <xf numFmtId="178" fontId="13" fillId="0" borderId="5" xfId="0" applyNumberFormat="1" applyFont="1" applyFill="1" applyBorder="1"/>
    <xf numFmtId="167" fontId="13" fillId="0" borderId="5" xfId="0" applyNumberFormat="1" applyFont="1" applyFill="1" applyBorder="1"/>
    <xf numFmtId="167" fontId="13" fillId="0" borderId="6" xfId="0" applyNumberFormat="1" applyFont="1" applyBorder="1"/>
    <xf numFmtId="0" fontId="13" fillId="0" borderId="0" xfId="0" applyFont="1" applyBorder="1"/>
    <xf numFmtId="0" fontId="6" fillId="0" borderId="0" xfId="0" applyFont="1" applyFill="1" applyAlignment="1">
      <alignment horizontal="centerContinuous" wrapText="1"/>
    </xf>
    <xf numFmtId="0" fontId="4" fillId="0" borderId="3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xf numFmtId="0" fontId="4" fillId="0" borderId="10" xfId="0" applyFont="1" applyFill="1" applyBorder="1"/>
    <xf numFmtId="0" fontId="4" fillId="0" borderId="33" xfId="0" applyFont="1" applyFill="1" applyBorder="1"/>
    <xf numFmtId="0" fontId="4" fillId="0" borderId="32" xfId="0" applyFont="1" applyFill="1" applyBorder="1"/>
    <xf numFmtId="179" fontId="4" fillId="0" borderId="1" xfId="0" applyNumberFormat="1" applyFont="1" applyFill="1" applyBorder="1"/>
    <xf numFmtId="0" fontId="4" fillId="0" borderId="4" xfId="0" applyFont="1" applyFill="1" applyBorder="1"/>
    <xf numFmtId="0" fontId="4" fillId="0" borderId="12" xfId="0" applyFont="1" applyFill="1" applyBorder="1"/>
    <xf numFmtId="0" fontId="4" fillId="0" borderId="3" xfId="0" applyFont="1" applyFill="1" applyBorder="1"/>
    <xf numFmtId="0" fontId="6" fillId="0" borderId="0" xfId="0" applyNumberFormat="1" applyFont="1" applyFill="1" applyAlignment="1"/>
    <xf numFmtId="0" fontId="6" fillId="0" borderId="2" xfId="0" applyNumberFormat="1" applyFont="1" applyFill="1" applyBorder="1" applyAlignment="1">
      <alignment horizontal="center"/>
    </xf>
    <xf numFmtId="0" fontId="6" fillId="0" borderId="2" xfId="0" applyNumberFormat="1" applyFont="1" applyFill="1" applyBorder="1" applyAlignment="1" applyProtection="1">
      <protection locked="0"/>
    </xf>
    <xf numFmtId="0" fontId="6" fillId="0" borderId="2" xfId="0" applyNumberFormat="1" applyFont="1" applyFill="1" applyBorder="1" applyAlignment="1"/>
    <xf numFmtId="0" fontId="6" fillId="0" borderId="2" xfId="0" applyNumberFormat="1" applyFont="1" applyFill="1" applyBorder="1" applyAlignment="1">
      <alignment horizontal="right"/>
    </xf>
    <xf numFmtId="0" fontId="13" fillId="0" borderId="0" xfId="0" applyNumberFormat="1" applyFont="1" applyFill="1" applyAlignment="1"/>
    <xf numFmtId="181" fontId="4" fillId="0" borderId="0" xfId="0" applyNumberFormat="1" applyFont="1" applyAlignment="1"/>
    <xf numFmtId="177" fontId="4" fillId="0" borderId="0" xfId="0" applyNumberFormat="1" applyFont="1" applyFill="1" applyAlignment="1"/>
    <xf numFmtId="0" fontId="6" fillId="0" borderId="32" xfId="0" applyFont="1" applyFill="1" applyBorder="1"/>
    <xf numFmtId="10" fontId="8" fillId="0" borderId="13" xfId="0" applyNumberFormat="1" applyFont="1" applyFill="1" applyBorder="1"/>
    <xf numFmtId="41" fontId="12" fillId="0" borderId="0" xfId="0" applyNumberFormat="1" applyFont="1" applyFill="1" applyBorder="1"/>
    <xf numFmtId="44" fontId="7" fillId="0" borderId="35" xfId="0" applyNumberFormat="1" applyFont="1" applyFill="1" applyBorder="1"/>
    <xf numFmtId="44" fontId="7" fillId="0" borderId="0" xfId="0" applyNumberFormat="1" applyFont="1" applyFill="1" applyBorder="1"/>
    <xf numFmtId="0" fontId="6" fillId="0" borderId="0" xfId="0" applyFont="1" applyFill="1" applyBorder="1" applyAlignment="1"/>
    <xf numFmtId="0" fontId="6" fillId="0" borderId="0" xfId="0" applyFont="1" applyFill="1" applyBorder="1" applyAlignment="1">
      <alignment wrapText="1"/>
    </xf>
    <xf numFmtId="0" fontId="6" fillId="2" borderId="0" xfId="0" applyFont="1" applyFill="1" applyBorder="1" applyAlignment="1">
      <alignment horizontal="centerContinuous" wrapText="1"/>
    </xf>
    <xf numFmtId="0" fontId="6" fillId="2" borderId="0" xfId="0" applyFont="1" applyFill="1" applyBorder="1" applyAlignment="1"/>
    <xf numFmtId="0" fontId="4" fillId="2" borderId="0" xfId="0" applyFont="1" applyFill="1" applyBorder="1" applyAlignment="1">
      <alignment wrapText="1"/>
    </xf>
    <xf numFmtId="0" fontId="6" fillId="2" borderId="0" xfId="0" applyFont="1" applyFill="1" applyBorder="1" applyAlignment="1">
      <alignment wrapText="1"/>
    </xf>
    <xf numFmtId="165" fontId="26" fillId="0" borderId="0" xfId="0" applyNumberFormat="1" applyFont="1" applyFill="1"/>
    <xf numFmtId="165" fontId="26" fillId="0" borderId="0" xfId="0" applyNumberFormat="1" applyFont="1" applyFill="1" applyAlignment="1">
      <alignment horizontal="center"/>
    </xf>
    <xf numFmtId="42" fontId="26" fillId="0" borderId="0" xfId="0" applyNumberFormat="1" applyFont="1" applyFill="1"/>
    <xf numFmtId="172" fontId="26" fillId="0" borderId="0" xfId="0" applyNumberFormat="1" applyFont="1" applyFill="1"/>
    <xf numFmtId="170" fontId="7" fillId="0" borderId="0" xfId="0" applyNumberFormat="1" applyFont="1" applyFill="1"/>
    <xf numFmtId="0" fontId="7" fillId="0" borderId="0" xfId="0" applyFont="1" applyFill="1" applyAlignment="1">
      <alignment horizontal="right"/>
    </xf>
    <xf numFmtId="0" fontId="5" fillId="0" borderId="0" xfId="0" applyFont="1" applyFill="1"/>
    <xf numFmtId="0" fontId="5" fillId="0" borderId="0" xfId="0" applyFont="1" applyAlignment="1">
      <alignment vertical="center"/>
    </xf>
    <xf numFmtId="180" fontId="12" fillId="0" borderId="0" xfId="0" applyNumberFormat="1" applyFont="1" applyFill="1" applyAlignment="1"/>
    <xf numFmtId="168" fontId="5" fillId="0" borderId="0" xfId="0" applyNumberFormat="1" applyFont="1" applyFill="1" applyAlignment="1"/>
    <xf numFmtId="9" fontId="5" fillId="0" borderId="0" xfId="0" applyNumberFormat="1" applyFont="1" applyFill="1" applyAlignment="1"/>
    <xf numFmtId="180" fontId="5" fillId="0" borderId="0" xfId="0" applyNumberFormat="1" applyFont="1" applyFill="1" applyAlignment="1"/>
    <xf numFmtId="169" fontId="5" fillId="0" borderId="0" xfId="0" applyNumberFormat="1" applyFont="1" applyFill="1"/>
    <xf numFmtId="0" fontId="28" fillId="0" borderId="0" xfId="0" applyFont="1" applyFill="1"/>
    <xf numFmtId="9" fontId="4" fillId="0" borderId="0" xfId="0" applyNumberFormat="1" applyFont="1" applyFill="1" applyBorder="1" applyAlignment="1">
      <alignment horizontal="center"/>
    </xf>
    <xf numFmtId="174" fontId="7" fillId="0" borderId="0" xfId="0" applyNumberFormat="1" applyFont="1" applyFill="1" applyBorder="1" applyAlignment="1">
      <alignment horizontal="center"/>
    </xf>
    <xf numFmtId="170" fontId="5" fillId="0" borderId="0" xfId="0" applyNumberFormat="1" applyFont="1" applyFill="1"/>
    <xf numFmtId="0" fontId="1" fillId="0" borderId="0" xfId="0" applyFont="1" applyFill="1" applyAlignment="1">
      <alignment horizontal="right"/>
    </xf>
    <xf numFmtId="166" fontId="1" fillId="0" borderId="0" xfId="0" applyNumberFormat="1" applyFont="1"/>
    <xf numFmtId="43" fontId="1" fillId="0" borderId="0" xfId="0" applyNumberFormat="1" applyFont="1"/>
    <xf numFmtId="0" fontId="29" fillId="0" borderId="0" xfId="0" quotePrefix="1" applyFont="1" applyFill="1" applyAlignment="1">
      <alignment horizontal="left" vertical="top"/>
    </xf>
    <xf numFmtId="9" fontId="4" fillId="0" borderId="0" xfId="0" applyNumberFormat="1" applyFont="1" applyFill="1"/>
    <xf numFmtId="3" fontId="10" fillId="0" borderId="0" xfId="0" applyNumberFormat="1" applyFont="1" applyFill="1"/>
    <xf numFmtId="0" fontId="27" fillId="0" borderId="0" xfId="0" applyFont="1" applyFill="1" applyAlignment="1">
      <alignment horizontal="left"/>
    </xf>
    <xf numFmtId="174" fontId="4" fillId="0" borderId="0" xfId="0" applyNumberFormat="1" applyFont="1" applyFill="1" applyBorder="1" applyAlignment="1">
      <alignment horizontal="center"/>
    </xf>
    <xf numFmtId="174" fontId="13" fillId="0" borderId="0" xfId="0" applyNumberFormat="1" applyFont="1" applyFill="1" applyBorder="1" applyAlignment="1">
      <alignment horizontal="center"/>
    </xf>
    <xf numFmtId="37" fontId="4" fillId="0" borderId="11" xfId="0" applyNumberFormat="1" applyFont="1" applyFill="1" applyBorder="1"/>
    <xf numFmtId="37" fontId="6" fillId="0" borderId="11" xfId="0" applyNumberFormat="1" applyFont="1" applyFill="1" applyBorder="1"/>
    <xf numFmtId="0" fontId="6" fillId="0" borderId="0" xfId="0" applyFont="1" applyFill="1"/>
    <xf numFmtId="0" fontId="7" fillId="0" borderId="22" xfId="0" applyFont="1" applyFill="1" applyBorder="1"/>
    <xf numFmtId="167" fontId="12" fillId="0" borderId="29" xfId="0" applyNumberFormat="1" applyFont="1" applyFill="1" applyBorder="1"/>
    <xf numFmtId="167" fontId="12" fillId="0" borderId="30" xfId="0" applyNumberFormat="1" applyFont="1" applyFill="1" applyBorder="1"/>
    <xf numFmtId="0" fontId="7" fillId="0" borderId="0" xfId="0" applyFont="1" applyFill="1" applyBorder="1"/>
    <xf numFmtId="42" fontId="7" fillId="0" borderId="0" xfId="0" applyNumberFormat="1" applyFont="1" applyFill="1"/>
    <xf numFmtId="41" fontId="12" fillId="8" borderId="0" xfId="0" applyNumberFormat="1" applyFont="1" applyFill="1" applyBorder="1"/>
    <xf numFmtId="41" fontId="4" fillId="8" borderId="0" xfId="0" applyNumberFormat="1" applyFont="1" applyFill="1" applyBorder="1"/>
    <xf numFmtId="41" fontId="16" fillId="8" borderId="0" xfId="0" applyNumberFormat="1" applyFont="1" applyFill="1" applyBorder="1"/>
    <xf numFmtId="41" fontId="21" fillId="8" borderId="0" xfId="0" applyNumberFormat="1" applyFont="1" applyFill="1" applyBorder="1" applyAlignment="1">
      <alignment horizontal="center" wrapText="1"/>
    </xf>
    <xf numFmtId="174" fontId="19" fillId="0" borderId="2" xfId="0" applyNumberFormat="1" applyFont="1" applyFill="1" applyBorder="1" applyAlignment="1">
      <alignment horizontal="center"/>
    </xf>
    <xf numFmtId="37" fontId="10" fillId="0" borderId="0" xfId="0" applyNumberFormat="1" applyFont="1" applyFill="1"/>
    <xf numFmtId="37" fontId="10" fillId="0" borderId="22" xfId="0" applyNumberFormat="1" applyFont="1" applyFill="1" applyBorder="1"/>
    <xf numFmtId="37" fontId="10" fillId="0" borderId="23" xfId="0" applyNumberFormat="1" applyFont="1" applyFill="1" applyBorder="1"/>
    <xf numFmtId="37" fontId="12" fillId="0" borderId="0" xfId="0" applyNumberFormat="1" applyFont="1" applyFill="1" applyBorder="1"/>
    <xf numFmtId="37" fontId="10" fillId="0" borderId="26" xfId="0" applyNumberFormat="1" applyFont="1" applyFill="1" applyBorder="1"/>
    <xf numFmtId="37" fontId="10" fillId="0" borderId="8" xfId="0" applyNumberFormat="1" applyFont="1" applyFill="1" applyBorder="1"/>
    <xf numFmtId="37" fontId="10" fillId="0" borderId="27" xfId="0" applyNumberFormat="1" applyFont="1" applyFill="1" applyBorder="1"/>
    <xf numFmtId="170" fontId="19" fillId="0" borderId="0" xfId="0" applyNumberFormat="1" applyFont="1" applyFill="1" applyBorder="1"/>
    <xf numFmtId="170" fontId="12" fillId="0" borderId="0" xfId="0" applyNumberFormat="1" applyFont="1" applyFill="1"/>
    <xf numFmtId="170" fontId="12" fillId="0" borderId="22" xfId="0" applyNumberFormat="1" applyFont="1" applyFill="1" applyBorder="1"/>
    <xf numFmtId="170" fontId="12" fillId="0" borderId="0" xfId="0" applyNumberFormat="1" applyFont="1" applyFill="1" applyBorder="1"/>
    <xf numFmtId="170" fontId="12" fillId="0" borderId="23" xfId="0" applyNumberFormat="1" applyFont="1" applyFill="1" applyBorder="1"/>
    <xf numFmtId="170" fontId="19" fillId="0" borderId="2" xfId="0" applyNumberFormat="1" applyFont="1" applyFill="1" applyBorder="1"/>
    <xf numFmtId="164" fontId="5" fillId="0" borderId="30" xfId="0" applyNumberFormat="1" applyFont="1" applyFill="1" applyBorder="1"/>
    <xf numFmtId="165" fontId="4" fillId="0" borderId="5" xfId="0" applyNumberFormat="1" applyFont="1" applyFill="1" applyBorder="1"/>
    <xf numFmtId="165" fontId="4" fillId="0" borderId="24" xfId="0" applyNumberFormat="1" applyFont="1" applyFill="1" applyBorder="1"/>
    <xf numFmtId="165" fontId="4" fillId="0" borderId="25" xfId="0" applyNumberFormat="1" applyFont="1" applyFill="1" applyBorder="1"/>
    <xf numFmtId="0" fontId="4" fillId="0" borderId="0" xfId="0" applyFont="1" applyFill="1" applyAlignment="1">
      <alignment horizontal="left" vertical="top" wrapText="1"/>
    </xf>
    <xf numFmtId="0" fontId="6" fillId="0" borderId="0" xfId="0" applyFont="1" applyFill="1" applyAlignment="1">
      <alignment horizontal="left" vertical="center" wrapText="1"/>
    </xf>
    <xf numFmtId="0" fontId="4" fillId="0" borderId="0" xfId="0" applyFont="1" applyAlignment="1">
      <alignment horizontal="centerContinuous"/>
    </xf>
    <xf numFmtId="0" fontId="13" fillId="0" borderId="0" xfId="0" applyFont="1" applyAlignment="1">
      <alignment horizontal="centerContinuous"/>
    </xf>
    <xf numFmtId="0" fontId="13" fillId="0" borderId="0" xfId="0" applyFont="1"/>
    <xf numFmtId="0" fontId="13" fillId="0" borderId="0" xfId="0" applyFont="1" applyAlignment="1">
      <alignment horizontal="center"/>
    </xf>
    <xf numFmtId="0" fontId="13" fillId="0" borderId="0" xfId="0" applyFont="1" applyBorder="1" applyAlignment="1">
      <alignment horizontal="center"/>
    </xf>
    <xf numFmtId="0" fontId="5" fillId="0" borderId="0" xfId="0" applyFont="1" applyBorder="1" applyAlignment="1">
      <alignment horizontal="center"/>
    </xf>
    <xf numFmtId="0" fontId="13" fillId="0" borderId="2" xfId="0" applyFont="1" applyBorder="1" applyAlignment="1">
      <alignment horizontal="center"/>
    </xf>
    <xf numFmtId="0" fontId="5" fillId="0" borderId="2" xfId="0" quotePrefix="1" applyFont="1" applyFill="1" applyBorder="1" applyAlignment="1">
      <alignment horizontal="center"/>
    </xf>
    <xf numFmtId="3" fontId="13" fillId="0" borderId="0" xfId="0" applyNumberFormat="1" applyFont="1" applyBorder="1" applyAlignment="1">
      <alignment horizontal="center"/>
    </xf>
    <xf numFmtId="42" fontId="13" fillId="0" borderId="0" xfId="0" applyNumberFormat="1" applyFont="1" applyBorder="1" applyAlignment="1">
      <alignment horizontal="center"/>
    </xf>
    <xf numFmtId="3" fontId="12" fillId="0" borderId="0" xfId="0" applyNumberFormat="1" applyFont="1"/>
    <xf numFmtId="42" fontId="12" fillId="0" borderId="0" xfId="0" applyNumberFormat="1" applyFont="1"/>
    <xf numFmtId="167" fontId="13" fillId="0" borderId="0" xfId="0" applyNumberFormat="1" applyFont="1"/>
    <xf numFmtId="42" fontId="13" fillId="0" borderId="0" xfId="0" applyNumberFormat="1" applyFont="1"/>
    <xf numFmtId="42" fontId="4" fillId="0" borderId="0" xfId="0" applyNumberFormat="1" applyFont="1"/>
    <xf numFmtId="10" fontId="13" fillId="0" borderId="0" xfId="0" applyNumberFormat="1" applyFont="1"/>
    <xf numFmtId="42" fontId="5" fillId="0" borderId="0" xfId="0" applyNumberFormat="1" applyFont="1"/>
    <xf numFmtId="167" fontId="13" fillId="0" borderId="2" xfId="0" applyNumberFormat="1" applyFont="1" applyBorder="1"/>
    <xf numFmtId="3" fontId="13" fillId="0" borderId="8" xfId="0" applyNumberFormat="1" applyFont="1" applyBorder="1"/>
    <xf numFmtId="42" fontId="13" fillId="0" borderId="8" xfId="0" applyNumberFormat="1" applyFont="1" applyBorder="1"/>
    <xf numFmtId="42" fontId="4" fillId="0" borderId="8" xfId="0" applyNumberFormat="1" applyFont="1" applyBorder="1"/>
    <xf numFmtId="10" fontId="13" fillId="0" borderId="8" xfId="0" applyNumberFormat="1" applyFont="1" applyBorder="1"/>
    <xf numFmtId="3" fontId="13" fillId="0" borderId="0" xfId="0" applyNumberFormat="1" applyFont="1"/>
    <xf numFmtId="0" fontId="21" fillId="0" borderId="0" xfId="0" applyFont="1" applyBorder="1" applyAlignment="1">
      <alignment horizontal="left"/>
    </xf>
    <xf numFmtId="0" fontId="6" fillId="0" borderId="0" xfId="0" applyFont="1" applyAlignment="1">
      <alignment horizontal="left"/>
    </xf>
    <xf numFmtId="3" fontId="4" fillId="0" borderId="0" xfId="0" applyNumberFormat="1" applyFont="1" applyBorder="1"/>
    <xf numFmtId="42" fontId="4" fillId="0" borderId="0" xfId="0" applyNumberFormat="1" applyFont="1" applyBorder="1"/>
    <xf numFmtId="0" fontId="4" fillId="0" borderId="0" xfId="0" applyFont="1"/>
    <xf numFmtId="10" fontId="4" fillId="0" borderId="0" xfId="0" applyNumberFormat="1" applyFont="1"/>
    <xf numFmtId="0" fontId="4" fillId="0" borderId="0" xfId="0" applyFont="1" applyAlignment="1">
      <alignment horizontal="left"/>
    </xf>
    <xf numFmtId="0" fontId="4" fillId="0" borderId="0" xfId="0" applyFont="1" applyAlignment="1">
      <alignment horizontal="center"/>
    </xf>
    <xf numFmtId="170" fontId="4" fillId="0" borderId="0" xfId="0" applyNumberFormat="1" applyFont="1" applyFill="1"/>
    <xf numFmtId="165" fontId="4" fillId="0" borderId="0" xfId="0" applyNumberFormat="1" applyFont="1" applyFill="1"/>
    <xf numFmtId="0" fontId="4" fillId="0" borderId="0" xfId="0" applyFont="1" applyFill="1" applyBorder="1" applyAlignment="1">
      <alignment horizontal="left"/>
    </xf>
    <xf numFmtId="0" fontId="4" fillId="0" borderId="0" xfId="0" applyFont="1" applyBorder="1" applyAlignment="1">
      <alignment horizontal="left"/>
    </xf>
    <xf numFmtId="170" fontId="4" fillId="0" borderId="8" xfId="0" applyNumberFormat="1" applyFont="1" applyFill="1" applyBorder="1"/>
    <xf numFmtId="165" fontId="4" fillId="0" borderId="8" xfId="0" applyNumberFormat="1" applyFont="1" applyFill="1" applyBorder="1"/>
    <xf numFmtId="167" fontId="13" fillId="0" borderId="8" xfId="0" applyNumberFormat="1" applyFont="1" applyBorder="1"/>
    <xf numFmtId="0" fontId="4" fillId="0" borderId="0" xfId="0" applyFont="1" applyBorder="1"/>
    <xf numFmtId="44" fontId="4" fillId="0" borderId="0" xfId="0" applyNumberFormat="1" applyFont="1"/>
    <xf numFmtId="0" fontId="7" fillId="0" borderId="0" xfId="0" applyFont="1"/>
    <xf numFmtId="170" fontId="7" fillId="0" borderId="0" xfId="0" applyNumberFormat="1" applyFont="1"/>
    <xf numFmtId="0" fontId="4" fillId="0" borderId="0" xfId="0" applyFont="1" applyFill="1" applyAlignment="1">
      <alignment horizontal="centerContinuous"/>
    </xf>
    <xf numFmtId="0" fontId="4" fillId="0" borderId="0" xfId="0" applyFont="1" applyBorder="1" applyAlignment="1">
      <alignment horizontal="centerContinuous"/>
    </xf>
    <xf numFmtId="0" fontId="4" fillId="0" borderId="2" xfId="0" applyFont="1" applyBorder="1" applyAlignment="1">
      <alignment horizontal="centerContinuous"/>
    </xf>
    <xf numFmtId="0" fontId="4" fillId="0" borderId="2" xfId="0" applyFont="1" applyBorder="1" applyAlignment="1">
      <alignment horizontal="center"/>
    </xf>
    <xf numFmtId="0" fontId="4" fillId="0" borderId="0" xfId="0" applyFont="1" applyBorder="1" applyAlignment="1">
      <alignment horizontal="center"/>
    </xf>
    <xf numFmtId="0" fontId="16" fillId="0" borderId="0" xfId="0" applyFont="1"/>
    <xf numFmtId="173" fontId="4" fillId="0" borderId="0" xfId="0" applyNumberFormat="1" applyFont="1"/>
    <xf numFmtId="0" fontId="16" fillId="0" borderId="0" xfId="0" applyFont="1" applyBorder="1"/>
    <xf numFmtId="44" fontId="16" fillId="0" borderId="0" xfId="0" applyNumberFormat="1" applyFont="1" applyBorder="1"/>
    <xf numFmtId="44" fontId="4" fillId="0" borderId="8" xfId="0" applyNumberFormat="1" applyFont="1" applyFill="1" applyBorder="1"/>
    <xf numFmtId="44" fontId="4" fillId="0" borderId="8" xfId="0" applyNumberFormat="1" applyFont="1" applyBorder="1"/>
    <xf numFmtId="44" fontId="4" fillId="0" borderId="0" xfId="0" applyNumberFormat="1" applyFont="1" applyFill="1" applyBorder="1"/>
    <xf numFmtId="44" fontId="4" fillId="0" borderId="0" xfId="0" applyNumberFormat="1" applyFont="1" applyBorder="1"/>
    <xf numFmtId="44" fontId="13" fillId="0" borderId="0" xfId="0" applyNumberFormat="1" applyFont="1"/>
    <xf numFmtId="44" fontId="16" fillId="0" borderId="0" xfId="0" applyNumberFormat="1" applyFont="1" applyFill="1"/>
    <xf numFmtId="164" fontId="12" fillId="0" borderId="0" xfId="0" applyNumberFormat="1" applyFont="1" applyFill="1"/>
    <xf numFmtId="164" fontId="16" fillId="0" borderId="0" xfId="0" applyNumberFormat="1" applyFont="1" applyBorder="1"/>
    <xf numFmtId="164" fontId="4" fillId="0" borderId="0" xfId="0" applyNumberFormat="1" applyFont="1"/>
    <xf numFmtId="164" fontId="13" fillId="0" borderId="0" xfId="0" applyNumberFormat="1" applyFont="1" applyFill="1"/>
    <xf numFmtId="164" fontId="13" fillId="0" borderId="0" xfId="0" applyNumberFormat="1" applyFont="1"/>
    <xf numFmtId="164" fontId="4" fillId="0" borderId="8" xfId="0" applyNumberFormat="1" applyFont="1" applyFill="1" applyBorder="1"/>
    <xf numFmtId="164" fontId="4" fillId="0" borderId="8" xfId="0" applyNumberFormat="1" applyFont="1" applyBorder="1"/>
    <xf numFmtId="164" fontId="4" fillId="0" borderId="0" xfId="0" applyNumberFormat="1" applyFont="1" applyFill="1"/>
    <xf numFmtId="164" fontId="12" fillId="0" borderId="0" xfId="0" applyNumberFormat="1" applyFont="1"/>
    <xf numFmtId="173" fontId="4" fillId="0" borderId="8" xfId="0" applyNumberFormat="1" applyFont="1" applyBorder="1"/>
    <xf numFmtId="164" fontId="4" fillId="0" borderId="0" xfId="0" applyNumberFormat="1" applyFont="1" applyBorder="1"/>
    <xf numFmtId="166" fontId="4" fillId="0" borderId="0" xfId="0" applyNumberFormat="1" applyFont="1"/>
    <xf numFmtId="166" fontId="4" fillId="0" borderId="0" xfId="0" applyNumberFormat="1" applyFont="1" applyBorder="1"/>
    <xf numFmtId="0" fontId="4" fillId="0" borderId="0" xfId="0" applyFont="1" applyFill="1" applyAlignment="1"/>
    <xf numFmtId="0" fontId="4" fillId="0" borderId="0" xfId="0" applyFont="1" applyAlignment="1"/>
    <xf numFmtId="0" fontId="13" fillId="0" borderId="10" xfId="0" applyFont="1" applyBorder="1" applyAlignment="1">
      <alignment horizontal="center"/>
    </xf>
    <xf numFmtId="0" fontId="13" fillId="0" borderId="1" xfId="0" applyFont="1" applyBorder="1" applyAlignment="1">
      <alignment horizontal="center"/>
    </xf>
    <xf numFmtId="0" fontId="13" fillId="0" borderId="13" xfId="0" applyFont="1" applyBorder="1" applyAlignment="1">
      <alignment horizontal="center"/>
    </xf>
    <xf numFmtId="0" fontId="12" fillId="0" borderId="2" xfId="0" applyFont="1" applyFill="1" applyBorder="1" applyAlignment="1">
      <alignment horizontal="center"/>
    </xf>
    <xf numFmtId="0" fontId="13" fillId="0" borderId="12" xfId="0" applyFont="1" applyBorder="1" applyAlignment="1">
      <alignment horizontal="center"/>
    </xf>
    <xf numFmtId="0" fontId="13" fillId="0" borderId="3" xfId="0" applyFont="1" applyBorder="1" applyAlignment="1">
      <alignment horizontal="center"/>
    </xf>
    <xf numFmtId="167" fontId="5" fillId="0" borderId="10" xfId="0" applyNumberFormat="1" applyFont="1" applyFill="1" applyBorder="1"/>
    <xf numFmtId="167" fontId="5" fillId="0" borderId="1" xfId="0" applyNumberFormat="1" applyFont="1" applyFill="1" applyBorder="1"/>
    <xf numFmtId="167" fontId="4" fillId="0" borderId="13" xfId="0" applyNumberFormat="1" applyFont="1" applyFill="1" applyBorder="1"/>
    <xf numFmtId="167" fontId="12" fillId="0" borderId="10" xfId="0" applyNumberFormat="1" applyFont="1" applyFill="1" applyBorder="1"/>
    <xf numFmtId="167" fontId="5" fillId="0" borderId="0" xfId="0" applyNumberFormat="1" applyFont="1" applyFill="1" applyBorder="1"/>
    <xf numFmtId="167" fontId="4" fillId="0" borderId="1" xfId="0" applyNumberFormat="1" applyFont="1" applyFill="1" applyBorder="1"/>
    <xf numFmtId="166" fontId="13" fillId="0" borderId="0" xfId="0" applyNumberFormat="1" applyFont="1"/>
    <xf numFmtId="167" fontId="5" fillId="0" borderId="13" xfId="0" applyNumberFormat="1" applyFont="1" applyFill="1" applyBorder="1"/>
    <xf numFmtId="167" fontId="12" fillId="0" borderId="13" xfId="0" applyNumberFormat="1" applyFont="1" applyFill="1" applyBorder="1"/>
    <xf numFmtId="167" fontId="5" fillId="0" borderId="12" xfId="0" applyNumberFormat="1" applyFont="1" applyFill="1" applyBorder="1"/>
    <xf numFmtId="167" fontId="4" fillId="0" borderId="12" xfId="0" applyNumberFormat="1" applyFont="1" applyFill="1" applyBorder="1"/>
    <xf numFmtId="167" fontId="12" fillId="0" borderId="12" xfId="0" applyNumberFormat="1" applyFont="1" applyFill="1" applyBorder="1"/>
    <xf numFmtId="167" fontId="5" fillId="0" borderId="3" xfId="0" applyNumberFormat="1" applyFont="1" applyFill="1" applyBorder="1"/>
    <xf numFmtId="166" fontId="13" fillId="0" borderId="8" xfId="0" applyNumberFormat="1" applyFont="1" applyBorder="1"/>
    <xf numFmtId="0" fontId="25" fillId="0" borderId="0" xfId="0" applyFont="1" applyAlignment="1">
      <alignment horizontal="center" wrapText="1"/>
    </xf>
    <xf numFmtId="0" fontId="12" fillId="0" borderId="0" xfId="0" applyFont="1" applyAlignment="1">
      <alignment horizontal="center" wrapText="1"/>
    </xf>
    <xf numFmtId="0" fontId="6" fillId="0" borderId="0" xfId="0" applyFont="1"/>
    <xf numFmtId="174" fontId="21" fillId="0" borderId="0" xfId="0" applyNumberFormat="1" applyFont="1" applyFill="1" applyAlignment="1">
      <alignment horizontal="center" wrapText="1"/>
    </xf>
    <xf numFmtId="17" fontId="31" fillId="0" borderId="0" xfId="0" applyNumberFormat="1" applyFont="1" applyFill="1" applyAlignment="1">
      <alignment horizontal="center"/>
    </xf>
    <xf numFmtId="0" fontId="21" fillId="0" borderId="0" xfId="0" applyFont="1" applyAlignment="1">
      <alignment horizontal="center"/>
    </xf>
    <xf numFmtId="0" fontId="4" fillId="0" borderId="18" xfId="0" applyFont="1" applyBorder="1"/>
    <xf numFmtId="0" fontId="7" fillId="0" borderId="0" xfId="0" applyFont="1" applyAlignment="1">
      <alignment horizontal="right"/>
    </xf>
    <xf numFmtId="0" fontId="4" fillId="0" borderId="14" xfId="0" applyFont="1" applyBorder="1"/>
    <xf numFmtId="42" fontId="4" fillId="0" borderId="0" xfId="0" applyNumberFormat="1" applyFont="1"/>
    <xf numFmtId="43" fontId="7" fillId="0" borderId="0" xfId="0" applyNumberFormat="1" applyFont="1"/>
    <xf numFmtId="165" fontId="4" fillId="0" borderId="0" xfId="0" applyNumberFormat="1" applyFont="1"/>
    <xf numFmtId="165" fontId="4" fillId="3" borderId="18" xfId="0" applyNumberFormat="1" applyFont="1" applyFill="1" applyBorder="1"/>
    <xf numFmtId="165" fontId="4" fillId="3" borderId="19" xfId="0" applyNumberFormat="1" applyFont="1" applyFill="1" applyBorder="1"/>
    <xf numFmtId="17" fontId="4" fillId="0" borderId="0" xfId="0" applyNumberFormat="1" applyFont="1"/>
    <xf numFmtId="42" fontId="4" fillId="0" borderId="0" xfId="0" applyNumberFormat="1" applyFont="1" applyBorder="1"/>
    <xf numFmtId="17" fontId="21" fillId="0" borderId="0" xfId="0" applyNumberFormat="1" applyFont="1" applyFill="1" applyAlignment="1">
      <alignment horizontal="center" wrapText="1"/>
    </xf>
    <xf numFmtId="17" fontId="4" fillId="0" borderId="0" xfId="0" applyNumberFormat="1" applyFont="1" applyBorder="1"/>
    <xf numFmtId="165" fontId="21" fillId="0" borderId="0" xfId="0" applyNumberFormat="1" applyFont="1" applyFill="1" applyAlignment="1">
      <alignment horizontal="center" wrapText="1"/>
    </xf>
    <xf numFmtId="44" fontId="4" fillId="0" borderId="0" xfId="0" applyNumberFormat="1" applyFont="1" applyFill="1" applyAlignment="1">
      <alignment horizontal="center" wrapText="1"/>
    </xf>
    <xf numFmtId="17" fontId="13" fillId="0" borderId="0" xfId="0" applyNumberFormat="1" applyFont="1" applyFill="1"/>
    <xf numFmtId="17" fontId="32" fillId="0" borderId="0" xfId="0" applyNumberFormat="1" applyFont="1" applyFill="1" applyAlignment="1">
      <alignment horizontal="center"/>
    </xf>
    <xf numFmtId="42" fontId="16" fillId="0" borderId="0" xfId="0" applyNumberFormat="1" applyFont="1"/>
    <xf numFmtId="17" fontId="6" fillId="0" borderId="0" xfId="0" applyNumberFormat="1" applyFont="1" applyBorder="1"/>
    <xf numFmtId="0" fontId="6" fillId="0" borderId="0" xfId="0" applyFont="1" applyBorder="1"/>
    <xf numFmtId="0" fontId="21" fillId="0" borderId="0" xfId="0" applyFont="1" applyBorder="1" applyAlignment="1">
      <alignment horizontal="center"/>
    </xf>
    <xf numFmtId="6" fontId="16" fillId="0" borderId="0" xfId="0" applyNumberFormat="1" applyFont="1" applyFill="1" applyBorder="1"/>
    <xf numFmtId="37" fontId="12" fillId="0" borderId="0" xfId="0" applyNumberFormat="1" applyFont="1" applyBorder="1"/>
    <xf numFmtId="3" fontId="4" fillId="0" borderId="0" xfId="0" applyNumberFormat="1" applyFont="1" applyBorder="1"/>
    <xf numFmtId="44" fontId="4" fillId="0" borderId="0" xfId="0" applyNumberFormat="1" applyFont="1" applyBorder="1"/>
    <xf numFmtId="165" fontId="4" fillId="0" borderId="0" xfId="0" applyNumberFormat="1" applyFont="1" applyBorder="1"/>
    <xf numFmtId="0" fontId="6" fillId="0" borderId="0" xfId="0" applyFont="1" applyFill="1" applyAlignment="1"/>
    <xf numFmtId="0" fontId="6" fillId="0" borderId="0" xfId="0" applyFont="1" applyAlignment="1">
      <alignment horizontal="centerContinuous"/>
    </xf>
    <xf numFmtId="0" fontId="20" fillId="0" borderId="0" xfId="0" applyFont="1" applyAlignment="1">
      <alignment horizontal="centerContinuous"/>
    </xf>
    <xf numFmtId="0" fontId="6" fillId="0" borderId="0" xfId="0" applyFont="1" applyFill="1" applyAlignment="1">
      <alignment horizontal="centerContinuous"/>
    </xf>
    <xf numFmtId="0" fontId="27" fillId="0" borderId="0" xfId="0" applyFont="1" applyFill="1" applyAlignment="1">
      <alignment horizontal="centerContinuous"/>
    </xf>
    <xf numFmtId="0" fontId="6" fillId="0" borderId="0" xfId="0" applyFont="1" applyAlignment="1">
      <alignment horizontal="centerContinuous"/>
    </xf>
    <xf numFmtId="0" fontId="5" fillId="0" borderId="0" xfId="0" applyFont="1"/>
    <xf numFmtId="3" fontId="5" fillId="0" borderId="0" xfId="0" applyNumberFormat="1" applyFont="1"/>
    <xf numFmtId="164" fontId="5" fillId="0" borderId="0" xfId="0" applyNumberFormat="1" applyFont="1"/>
    <xf numFmtId="164" fontId="5" fillId="0" borderId="33" xfId="0" applyNumberFormat="1" applyFont="1" applyFill="1" applyBorder="1"/>
    <xf numFmtId="164" fontId="5" fillId="0" borderId="1" xfId="0" applyNumberFormat="1" applyFont="1" applyFill="1" applyBorder="1"/>
    <xf numFmtId="169" fontId="5" fillId="0" borderId="1" xfId="0" applyNumberFormat="1" applyFont="1" applyFill="1" applyBorder="1"/>
    <xf numFmtId="164" fontId="5" fillId="0" borderId="3" xfId="0" applyNumberFormat="1" applyFont="1" applyFill="1" applyBorder="1"/>
    <xf numFmtId="164" fontId="5" fillId="0" borderId="28" xfId="0" applyNumberFormat="1" applyFont="1" applyFill="1" applyBorder="1"/>
    <xf numFmtId="164" fontId="5" fillId="0" borderId="29" xfId="0" applyNumberFormat="1" applyFont="1" applyFill="1" applyBorder="1"/>
    <xf numFmtId="169" fontId="5" fillId="0" borderId="29" xfId="0" applyNumberFormat="1" applyFont="1" applyFill="1" applyBorder="1"/>
    <xf numFmtId="164" fontId="5" fillId="0" borderId="31" xfId="0" applyNumberFormat="1" applyFont="1" applyFill="1" applyBorder="1"/>
    <xf numFmtId="167" fontId="5" fillId="0" borderId="33" xfId="0" applyNumberFormat="1" applyFont="1" applyFill="1" applyBorder="1"/>
    <xf numFmtId="167" fontId="5" fillId="0" borderId="28" xfId="0" applyNumberFormat="1" applyFont="1" applyFill="1" applyBorder="1"/>
    <xf numFmtId="37" fontId="5" fillId="0" borderId="8" xfId="0" applyNumberFormat="1" applyFont="1" applyFill="1" applyBorder="1"/>
    <xf numFmtId="37" fontId="5" fillId="0" borderId="0" xfId="0" applyNumberFormat="1" applyFont="1" applyFill="1" applyBorder="1"/>
    <xf numFmtId="170" fontId="5" fillId="0" borderId="32" xfId="0" applyNumberFormat="1" applyFont="1" applyFill="1" applyBorder="1"/>
    <xf numFmtId="170" fontId="5" fillId="0" borderId="0" xfId="0" applyNumberFormat="1" applyFont="1" applyFill="1" applyBorder="1"/>
    <xf numFmtId="166" fontId="5" fillId="0" borderId="8" xfId="0" applyNumberFormat="1" applyFont="1" applyFill="1" applyBorder="1"/>
    <xf numFmtId="166" fontId="5" fillId="0" borderId="33" xfId="0" applyNumberFormat="1" applyFont="1" applyFill="1" applyBorder="1"/>
    <xf numFmtId="0" fontId="5" fillId="0" borderId="0" xfId="0" applyFont="1" applyFill="1" applyBorder="1"/>
    <xf numFmtId="166" fontId="5" fillId="0" borderId="0" xfId="0" applyNumberFormat="1" applyFont="1" applyFill="1" applyBorder="1"/>
    <xf numFmtId="166" fontId="5" fillId="0" borderId="1" xfId="0" applyNumberFormat="1" applyFont="1" applyFill="1" applyBorder="1"/>
    <xf numFmtId="9" fontId="5" fillId="0" borderId="0" xfId="0" applyNumberFormat="1" applyFont="1" applyFill="1" applyBorder="1"/>
    <xf numFmtId="0" fontId="5" fillId="0" borderId="2" xfId="0" applyFont="1" applyFill="1" applyBorder="1"/>
    <xf numFmtId="9" fontId="5" fillId="0" borderId="2" xfId="0" applyNumberFormat="1" applyFont="1" applyFill="1" applyBorder="1"/>
    <xf numFmtId="166" fontId="5" fillId="0" borderId="3" xfId="0" applyNumberFormat="1" applyFont="1" applyFill="1" applyBorder="1"/>
    <xf numFmtId="42" fontId="5" fillId="0" borderId="13" xfId="0" applyNumberFormat="1" applyFont="1" applyFill="1" applyBorder="1"/>
    <xf numFmtId="0" fontId="13" fillId="0" borderId="0" xfId="0" applyFont="1" applyFill="1" applyBorder="1" applyAlignment="1">
      <alignment horizontal="center"/>
    </xf>
    <xf numFmtId="0" fontId="13" fillId="0" borderId="2" xfId="0" applyFont="1" applyFill="1" applyBorder="1" applyAlignment="1">
      <alignment horizontal="center"/>
    </xf>
    <xf numFmtId="0" fontId="13" fillId="0" borderId="5" xfId="0" applyFont="1" applyBorder="1"/>
    <xf numFmtId="0" fontId="13" fillId="0" borderId="5" xfId="0" applyFont="1" applyBorder="1" applyAlignment="1">
      <alignment horizontal="center"/>
    </xf>
    <xf numFmtId="3" fontId="13" fillId="0" borderId="5" xfId="0" applyNumberFormat="1" applyFont="1" applyBorder="1" applyAlignment="1">
      <alignment horizontal="center"/>
    </xf>
    <xf numFmtId="42" fontId="13" fillId="0" borderId="5" xfId="0" applyNumberFormat="1" applyFont="1" applyBorder="1" applyAlignment="1">
      <alignment horizontal="center"/>
    </xf>
    <xf numFmtId="170" fontId="5" fillId="0" borderId="0" xfId="0" applyNumberFormat="1" applyFont="1" applyAlignment="1">
      <alignment horizontal="left"/>
    </xf>
    <xf numFmtId="42" fontId="5" fillId="0" borderId="0" xfId="0" applyNumberFormat="1" applyFont="1" applyAlignment="1">
      <alignment horizontal="left"/>
    </xf>
    <xf numFmtId="170" fontId="13" fillId="0" borderId="0" xfId="0" applyNumberFormat="1" applyFont="1" applyAlignment="1">
      <alignment horizontal="left"/>
    </xf>
    <xf numFmtId="165" fontId="12" fillId="0" borderId="0" xfId="0" applyNumberFormat="1" applyFont="1" applyBorder="1"/>
    <xf numFmtId="10" fontId="7" fillId="0" borderId="0" xfId="0" applyNumberFormat="1" applyFont="1"/>
    <xf numFmtId="167" fontId="13" fillId="0" borderId="0" xfId="0" applyNumberFormat="1" applyFont="1" applyBorder="1"/>
    <xf numFmtId="170" fontId="13" fillId="0" borderId="8" xfId="0" applyNumberFormat="1" applyFont="1" applyBorder="1"/>
    <xf numFmtId="165" fontId="13" fillId="0" borderId="0" xfId="0" applyNumberFormat="1" applyFont="1" applyBorder="1"/>
    <xf numFmtId="42" fontId="13" fillId="0" borderId="0" xfId="0" applyNumberFormat="1" applyFont="1" applyBorder="1"/>
    <xf numFmtId="3" fontId="4" fillId="0" borderId="0" xfId="0" applyNumberFormat="1" applyFont="1" applyFill="1" applyBorder="1"/>
    <xf numFmtId="164" fontId="13" fillId="0" borderId="0" xfId="0" applyNumberFormat="1" applyFont="1" applyFill="1" applyBorder="1"/>
    <xf numFmtId="0" fontId="4" fillId="0" borderId="0" xfId="0" applyFont="1" applyFill="1" applyBorder="1" applyAlignment="1">
      <alignment horizontal="left" vertical="center" textRotation="180"/>
    </xf>
    <xf numFmtId="170" fontId="4" fillId="0" borderId="8" xfId="0" applyNumberFormat="1" applyFont="1" applyBorder="1" applyAlignment="1">
      <alignment horizontal="left"/>
    </xf>
    <xf numFmtId="165" fontId="4" fillId="0" borderId="8" xfId="0" applyNumberFormat="1" applyFont="1" applyBorder="1" applyAlignment="1">
      <alignment horizontal="left"/>
    </xf>
    <xf numFmtId="167" fontId="4" fillId="0" borderId="8" xfId="0" applyNumberFormat="1" applyFont="1" applyFill="1" applyBorder="1"/>
    <xf numFmtId="165" fontId="13" fillId="0" borderId="0" xfId="0" applyNumberFormat="1" applyFont="1" applyFill="1"/>
    <xf numFmtId="0" fontId="1" fillId="3" borderId="0" xfId="1" applyFill="1"/>
    <xf numFmtId="0" fontId="2" fillId="3" borderId="0" xfId="2" applyFont="1" applyFill="1"/>
    <xf numFmtId="165" fontId="5" fillId="0" borderId="0" xfId="0" applyNumberFormat="1" applyFont="1" applyFill="1"/>
    <xf numFmtId="42" fontId="8" fillId="0" borderId="8" xfId="0" applyNumberFormat="1" applyFont="1" applyFill="1" applyBorder="1"/>
    <xf numFmtId="42" fontId="5" fillId="0" borderId="2" xfId="0" applyNumberFormat="1" applyFont="1" applyBorder="1"/>
    <xf numFmtId="165" fontId="12" fillId="3" borderId="36" xfId="3" applyNumberFormat="1" applyFont="1" applyFill="1" applyBorder="1"/>
    <xf numFmtId="165" fontId="12" fillId="3" borderId="37" xfId="3" applyNumberFormat="1" applyFont="1" applyFill="1" applyBorder="1"/>
    <xf numFmtId="165" fontId="12" fillId="3" borderId="38" xfId="3" applyNumberFormat="1" applyFont="1" applyFill="1" applyBorder="1"/>
    <xf numFmtId="165" fontId="12" fillId="3" borderId="39" xfId="3" applyNumberFormat="1" applyFont="1" applyFill="1" applyBorder="1"/>
    <xf numFmtId="165" fontId="12" fillId="3" borderId="0" xfId="3" applyNumberFormat="1" applyFont="1" applyFill="1" applyBorder="1"/>
    <xf numFmtId="165" fontId="12" fillId="3" borderId="40" xfId="3" applyNumberFormat="1" applyFont="1" applyFill="1" applyBorder="1"/>
    <xf numFmtId="41" fontId="4" fillId="8" borderId="0" xfId="0" applyNumberFormat="1" applyFont="1" applyFill="1" applyBorder="1" applyAlignment="1"/>
    <xf numFmtId="42" fontId="4" fillId="3" borderId="41" xfId="0" applyNumberFormat="1" applyFont="1" applyFill="1" applyBorder="1"/>
    <xf numFmtId="42" fontId="4" fillId="3" borderId="42" xfId="0" applyNumberFormat="1" applyFont="1" applyFill="1" applyBorder="1"/>
    <xf numFmtId="42" fontId="4" fillId="3" borderId="43" xfId="0" applyNumberFormat="1" applyFont="1" applyFill="1" applyBorder="1"/>
    <xf numFmtId="41" fontId="4" fillId="3" borderId="44" xfId="0" applyNumberFormat="1" applyFont="1" applyFill="1" applyBorder="1"/>
    <xf numFmtId="41" fontId="4" fillId="3" borderId="45" xfId="0" applyNumberFormat="1" applyFont="1" applyFill="1" applyBorder="1"/>
    <xf numFmtId="41" fontId="4" fillId="8" borderId="44" xfId="0" applyNumberFormat="1" applyFont="1" applyFill="1" applyBorder="1"/>
    <xf numFmtId="41" fontId="4" fillId="8" borderId="45" xfId="0" applyNumberFormat="1" applyFont="1" applyFill="1" applyBorder="1"/>
    <xf numFmtId="41" fontId="12" fillId="8" borderId="44" xfId="0" applyNumberFormat="1" applyFont="1" applyFill="1" applyBorder="1"/>
    <xf numFmtId="41" fontId="12" fillId="8" borderId="45" xfId="0" applyNumberFormat="1" applyFont="1" applyFill="1" applyBorder="1"/>
    <xf numFmtId="41" fontId="16" fillId="8" borderId="44" xfId="0" applyNumberFormat="1" applyFont="1" applyFill="1" applyBorder="1"/>
    <xf numFmtId="41" fontId="16" fillId="8" borderId="45" xfId="0" applyNumberFormat="1" applyFont="1" applyFill="1" applyBorder="1"/>
    <xf numFmtId="41" fontId="4" fillId="8" borderId="44" xfId="0" applyNumberFormat="1" applyFont="1" applyFill="1" applyBorder="1" applyAlignment="1"/>
    <xf numFmtId="41" fontId="4" fillId="8" borderId="45" xfId="0" applyNumberFormat="1" applyFont="1" applyFill="1" applyBorder="1" applyAlignment="1"/>
    <xf numFmtId="41" fontId="21" fillId="8" borderId="44" xfId="0" applyNumberFormat="1" applyFont="1" applyFill="1" applyBorder="1" applyAlignment="1">
      <alignment horizontal="center" wrapText="1"/>
    </xf>
    <xf numFmtId="41" fontId="21" fillId="8" borderId="45" xfId="0" applyNumberFormat="1" applyFont="1" applyFill="1" applyBorder="1" applyAlignment="1">
      <alignment horizontal="center" wrapText="1"/>
    </xf>
    <xf numFmtId="0" fontId="4" fillId="8" borderId="46" xfId="0" applyFont="1" applyFill="1" applyBorder="1"/>
    <xf numFmtId="0" fontId="4" fillId="8" borderId="47" xfId="0" applyFont="1" applyFill="1" applyBorder="1"/>
    <xf numFmtId="0" fontId="4" fillId="8" borderId="48" xfId="0" applyFont="1" applyFill="1" applyBorder="1"/>
    <xf numFmtId="0" fontId="4" fillId="0" borderId="0" xfId="0" applyFont="1" applyFill="1" applyAlignment="1">
      <alignment horizontal="left" vertical="top" wrapText="1"/>
    </xf>
    <xf numFmtId="0" fontId="6" fillId="0" borderId="0" xfId="0" applyFont="1" applyFill="1" applyAlignment="1">
      <alignment horizontal="center" vertical="center"/>
    </xf>
    <xf numFmtId="0" fontId="20" fillId="0" borderId="0" xfId="0" applyFont="1" applyFill="1" applyAlignment="1">
      <alignment horizontal="center" vertical="center"/>
    </xf>
    <xf numFmtId="0" fontId="13" fillId="0" borderId="0" xfId="0" applyFont="1" applyBorder="1" applyAlignment="1">
      <alignment horizontal="center" wrapText="1"/>
    </xf>
    <xf numFmtId="0" fontId="4" fillId="0" borderId="0" xfId="0" applyFont="1" applyBorder="1" applyAlignment="1">
      <alignment horizontal="center" wrapText="1"/>
    </xf>
    <xf numFmtId="0" fontId="20" fillId="0" borderId="0" xfId="0" applyFont="1" applyAlignment="1">
      <alignment horizontal="center"/>
    </xf>
    <xf numFmtId="0" fontId="6" fillId="0" borderId="0" xfId="0" applyFont="1" applyAlignment="1">
      <alignment horizontal="center"/>
    </xf>
    <xf numFmtId="0" fontId="13" fillId="0" borderId="7"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13" fillId="0" borderId="2" xfId="0" applyFont="1" applyBorder="1" applyAlignment="1">
      <alignment horizontal="center"/>
    </xf>
    <xf numFmtId="0" fontId="6" fillId="0" borderId="0" xfId="0" applyFont="1" applyAlignment="1">
      <alignment horizontal="center" wrapText="1"/>
    </xf>
    <xf numFmtId="0" fontId="4" fillId="0" borderId="0" xfId="0" applyFont="1" applyAlignment="1">
      <alignment horizontal="center" wrapText="1"/>
    </xf>
    <xf numFmtId="0" fontId="6" fillId="2" borderId="0" xfId="0" applyFont="1" applyFill="1" applyAlignment="1">
      <alignment horizontal="center" wrapText="1"/>
    </xf>
    <xf numFmtId="0" fontId="6" fillId="0" borderId="0" xfId="0" applyFont="1" applyFill="1" applyAlignment="1">
      <alignment horizontal="center" wrapText="1"/>
    </xf>
    <xf numFmtId="0" fontId="4" fillId="0" borderId="0" xfId="0" applyFont="1" applyFill="1" applyAlignment="1">
      <alignment horizontal="center" wrapText="1"/>
    </xf>
    <xf numFmtId="0" fontId="6" fillId="0" borderId="0" xfId="0" applyFont="1" applyFill="1" applyAlignment="1">
      <alignment horizontal="center"/>
    </xf>
    <xf numFmtId="0" fontId="20" fillId="0" borderId="0" xfId="0" applyFont="1" applyFill="1" applyAlignment="1">
      <alignment horizontal="center"/>
    </xf>
  </cellXfs>
  <cellStyles count="4">
    <cellStyle name="Currency 2" xfId="3"/>
    <cellStyle name="Normal" xfId="0" builtinId="0"/>
    <cellStyle name="Normal 2" xfId="1"/>
    <cellStyle name="Normal 2 2" xfId="2"/>
  </cellStyles>
  <dxfs count="0"/>
  <tableStyles count="0" defaultTableStyle="TableStyleMedium2" defaultPivotStyle="PivotStyleLight16"/>
  <colors>
    <mruColors>
      <color rgb="FF0000FF"/>
      <color rgb="FF008080"/>
      <color rgb="FFFFA3A3"/>
      <color rgb="FFDE9BFF"/>
      <color rgb="FFCC66FF"/>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
Projected 191 Account Balance
(Based on June 1, 2024 - August 31, 2024 Forward Prices)</a:t>
            </a:r>
          </a:p>
        </c:rich>
      </c:tx>
      <c:layout>
        <c:manualLayout>
          <c:xMode val="edge"/>
          <c:yMode val="edge"/>
          <c:x val="0.20832382364970559"/>
          <c:y val="1.0901770817104332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1485714359008623"/>
          <c:y val="0.14890498636696969"/>
          <c:w val="0.81575419464740451"/>
          <c:h val="0.67269876402772477"/>
        </c:manualLayout>
      </c:layout>
      <c:barChart>
        <c:barDir val="col"/>
        <c:grouping val="clustered"/>
        <c:varyColors val="0"/>
        <c:ser>
          <c:idx val="3"/>
          <c:order val="3"/>
          <c:tx>
            <c:v>Total 191 Balance</c:v>
          </c:tx>
          <c:spPr>
            <a:solidFill>
              <a:schemeClr val="accent4"/>
            </a:solidFill>
            <a:ln>
              <a:noFill/>
            </a:ln>
            <a:effectLst/>
          </c:spPr>
          <c:invertIfNegative val="0"/>
          <c:cat>
            <c:numRef>
              <c:f>'(R) 191 Accounts Balances'!$JV$1:$KI$1</c:f>
              <c:numCache>
                <c:formatCode>mmm\-yyyy</c:formatCode>
                <c:ptCount val="14"/>
              </c:numCache>
            </c:numRef>
          </c:cat>
          <c:val>
            <c:numRef>
              <c:f>'(R) 191 Accounts Balances'!$JV$113:$KI$113</c:f>
              <c:numCache>
                <c:formatCode>_(* #,##0_);_(* \(#,##0\);_(* "-"_);_(@_)</c:formatCode>
                <c:ptCount val="14"/>
              </c:numCache>
            </c:numRef>
          </c:val>
          <c:extLst>
            <c:ext xmlns:c16="http://schemas.microsoft.com/office/drawing/2014/chart" uri="{C3380CC4-5D6E-409C-BE32-E72D297353CC}">
              <c16:uniqueId val="{00000000-12EC-4771-A04A-F4D0597DE996}"/>
            </c:ext>
          </c:extLst>
        </c:ser>
        <c:dLbls>
          <c:showLegendKey val="0"/>
          <c:showVal val="0"/>
          <c:showCatName val="0"/>
          <c:showSerName val="0"/>
          <c:showPercent val="0"/>
          <c:showBubbleSize val="0"/>
        </c:dLbls>
        <c:gapWidth val="247"/>
        <c:axId val="237420544"/>
        <c:axId val="237422464"/>
      </c:barChart>
      <c:lineChart>
        <c:grouping val="standard"/>
        <c:varyColors val="0"/>
        <c:ser>
          <c:idx val="0"/>
          <c:order val="0"/>
          <c:tx>
            <c:v>Amortization Balance</c:v>
          </c:tx>
          <c:spPr>
            <a:ln w="22225" cap="rnd">
              <a:solidFill>
                <a:schemeClr val="accent1"/>
              </a:solidFill>
              <a:round/>
            </a:ln>
            <a:effectLst/>
          </c:spPr>
          <c:marker>
            <c:symbol val="circle"/>
            <c:size val="6"/>
            <c:spPr>
              <a:solidFill>
                <a:schemeClr val="lt1"/>
              </a:solidFill>
              <a:ln w="15875">
                <a:solidFill>
                  <a:schemeClr val="accent1"/>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Balances'!$JV$67:$KI$67</c:f>
              <c:numCache>
                <c:formatCode>_(* #,##0_);_(* \(#,##0\);_(* "-"_);_(@_)</c:formatCode>
                <c:ptCount val="14"/>
              </c:numCache>
            </c:numRef>
          </c:val>
          <c:smooth val="0"/>
          <c:extLst>
            <c:ext xmlns:c16="http://schemas.microsoft.com/office/drawing/2014/chart" uri="{C3380CC4-5D6E-409C-BE32-E72D297353CC}">
              <c16:uniqueId val="{00000001-12EC-4771-A04A-F4D0597DE996}"/>
            </c:ext>
          </c:extLst>
        </c:ser>
        <c:ser>
          <c:idx val="1"/>
          <c:order val="1"/>
          <c:tx>
            <c:v>Cumulative Demand</c:v>
          </c:tx>
          <c:spPr>
            <a:ln w="22225" cap="rnd">
              <a:solidFill>
                <a:schemeClr val="accent2"/>
              </a:solidFill>
              <a:round/>
            </a:ln>
            <a:effectLst/>
          </c:spPr>
          <c:marker>
            <c:symbol val="circle"/>
            <c:size val="6"/>
            <c:spPr>
              <a:solidFill>
                <a:schemeClr val="lt1"/>
              </a:solidFill>
              <a:ln w="15875">
                <a:solidFill>
                  <a:schemeClr val="accent2"/>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Balances'!$JV$78:$KI$78</c:f>
              <c:numCache>
                <c:formatCode>_(* #,##0_);_(* \(#,##0\);_(* "-"_);_(@_)</c:formatCode>
                <c:ptCount val="14"/>
              </c:numCache>
            </c:numRef>
          </c:val>
          <c:smooth val="0"/>
          <c:extLst>
            <c:ext xmlns:c16="http://schemas.microsoft.com/office/drawing/2014/chart" uri="{C3380CC4-5D6E-409C-BE32-E72D297353CC}">
              <c16:uniqueId val="{00000002-12EC-4771-A04A-F4D0597DE996}"/>
            </c:ext>
          </c:extLst>
        </c:ser>
        <c:ser>
          <c:idx val="2"/>
          <c:order val="2"/>
          <c:tx>
            <c:v>Cumulative Commodity</c:v>
          </c:tx>
          <c:spPr>
            <a:ln w="22225" cap="rnd">
              <a:solidFill>
                <a:schemeClr val="accent3"/>
              </a:solidFill>
              <a:round/>
            </a:ln>
            <a:effectLst/>
          </c:spPr>
          <c:marker>
            <c:symbol val="circle"/>
            <c:size val="6"/>
            <c:spPr>
              <a:solidFill>
                <a:schemeClr val="lt1"/>
              </a:solidFill>
              <a:ln w="15875">
                <a:solidFill>
                  <a:schemeClr val="accent3"/>
                </a:solidFill>
                <a:round/>
              </a:ln>
              <a:effectLst/>
            </c:spPr>
          </c:marker>
          <c:cat>
            <c:numRef>
              <c:f>'(R) 191 Accounts Balances'!$JV$4:$KI$4</c:f>
              <c:numCache>
                <c:formatCode>mmm\-yyyy</c:formatCode>
                <c:ptCount val="14"/>
                <c:pt idx="0">
                  <c:v>45536</c:v>
                </c:pt>
                <c:pt idx="1">
                  <c:v>45566</c:v>
                </c:pt>
                <c:pt idx="2">
                  <c:v>45597</c:v>
                </c:pt>
                <c:pt idx="3">
                  <c:v>45627</c:v>
                </c:pt>
                <c:pt idx="4">
                  <c:v>45658</c:v>
                </c:pt>
                <c:pt idx="5">
                  <c:v>45689</c:v>
                </c:pt>
                <c:pt idx="6">
                  <c:v>45717</c:v>
                </c:pt>
                <c:pt idx="7">
                  <c:v>45748</c:v>
                </c:pt>
                <c:pt idx="8">
                  <c:v>45778</c:v>
                </c:pt>
                <c:pt idx="9">
                  <c:v>45809</c:v>
                </c:pt>
                <c:pt idx="10">
                  <c:v>45839</c:v>
                </c:pt>
                <c:pt idx="11">
                  <c:v>45870</c:v>
                </c:pt>
                <c:pt idx="12">
                  <c:v>45901</c:v>
                </c:pt>
                <c:pt idx="13">
                  <c:v>45931</c:v>
                </c:pt>
              </c:numCache>
            </c:numRef>
          </c:cat>
          <c:val>
            <c:numRef>
              <c:f>'(R) 191 Accounts Balances'!$JV$91:$KI$91</c:f>
              <c:numCache>
                <c:formatCode>_(* #,##0_);_(* \(#,##0\);_(* "-"_);_(@_)</c:formatCode>
                <c:ptCount val="14"/>
              </c:numCache>
            </c:numRef>
          </c:val>
          <c:smooth val="0"/>
          <c:extLst>
            <c:ext xmlns:c16="http://schemas.microsoft.com/office/drawing/2014/chart" uri="{C3380CC4-5D6E-409C-BE32-E72D297353CC}">
              <c16:uniqueId val="{00000003-12EC-4771-A04A-F4D0597DE996}"/>
            </c:ext>
          </c:extLst>
        </c:ser>
        <c:dLbls>
          <c:showLegendKey val="0"/>
          <c:showVal val="0"/>
          <c:showCatName val="0"/>
          <c:showSerName val="0"/>
          <c:showPercent val="0"/>
          <c:showBubbleSize val="0"/>
        </c:dLbls>
        <c:marker val="1"/>
        <c:smooth val="0"/>
        <c:axId val="237420544"/>
        <c:axId val="237422464"/>
      </c:lineChart>
      <c:dateAx>
        <c:axId val="237420544"/>
        <c:scaling>
          <c:orientation val="minMax"/>
          <c:min val="45536"/>
        </c:scaling>
        <c:delete val="0"/>
        <c:axPos val="b"/>
        <c:numFmt formatCode="[$-409]mmm\-yyyy;@" sourceLinked="0"/>
        <c:majorTickMark val="out"/>
        <c:minorTickMark val="none"/>
        <c:tickLblPos val="low"/>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US"/>
          </a:p>
        </c:txPr>
        <c:crossAx val="237422464"/>
        <c:crossesAt val="0"/>
        <c:auto val="1"/>
        <c:lblOffset val="100"/>
        <c:baseTimeUnit val="months"/>
        <c:majorUnit val="1"/>
        <c:minorUnit val="1"/>
      </c:dateAx>
      <c:valAx>
        <c:axId val="237422464"/>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 Under (Over) Collection</a:t>
                </a:r>
              </a:p>
            </c:rich>
          </c:tx>
          <c:layout>
            <c:manualLayout>
              <c:xMode val="edge"/>
              <c:yMode val="edge"/>
              <c:x val="1.2263099219621001E-2"/>
              <c:y val="0.3453355155482815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37420544"/>
        <c:crosses val="autoZero"/>
        <c:crossBetween val="between"/>
        <c:majorUnit val="10000000"/>
        <c:minorUnit val="5000000"/>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codeName="Chart13"/>
  <sheetViews>
    <sheetView workbookViewId="0"/>
  </sheetViews>
  <pageMargins left="0.75" right="0.75" top="1" bottom="1" header="0.5" footer="0.5"/>
  <pageSetup orientation="landscape" r:id="rId1"/>
  <headerFooter alignWithMargins="0">
    <oddFooter>&amp;L&amp;F
&amp;A&amp;RPage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284</xdr:col>
      <xdr:colOff>0</xdr:colOff>
      <xdr:row>9</xdr:row>
      <xdr:rowOff>0</xdr:rowOff>
    </xdr:from>
    <xdr:to>
      <xdr:col>285</xdr:col>
      <xdr:colOff>463478</xdr:colOff>
      <xdr:row>10</xdr:row>
      <xdr:rowOff>107596</xdr:rowOff>
    </xdr:to>
    <xdr:sp macro="" textlink="">
      <xdr:nvSpPr>
        <xdr:cNvPr id="2" name="TextBox 1"/>
        <xdr:cNvSpPr txBox="1"/>
      </xdr:nvSpPr>
      <xdr:spPr>
        <a:xfrm>
          <a:off x="58712100" y="12954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9</xdr:row>
      <xdr:rowOff>0</xdr:rowOff>
    </xdr:from>
    <xdr:to>
      <xdr:col>292</xdr:col>
      <xdr:colOff>463478</xdr:colOff>
      <xdr:row>10</xdr:row>
      <xdr:rowOff>107596</xdr:rowOff>
    </xdr:to>
    <xdr:sp macro="" textlink="">
      <xdr:nvSpPr>
        <xdr:cNvPr id="3" name="TextBox 2"/>
        <xdr:cNvSpPr txBox="1"/>
      </xdr:nvSpPr>
      <xdr:spPr>
        <a:xfrm>
          <a:off x="63979425" y="129540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284</xdr:col>
      <xdr:colOff>0</xdr:colOff>
      <xdr:row>107</xdr:row>
      <xdr:rowOff>0</xdr:rowOff>
    </xdr:from>
    <xdr:to>
      <xdr:col>285</xdr:col>
      <xdr:colOff>463478</xdr:colOff>
      <xdr:row>108</xdr:row>
      <xdr:rowOff>107596</xdr:rowOff>
    </xdr:to>
    <xdr:sp macro="" textlink="">
      <xdr:nvSpPr>
        <xdr:cNvPr id="4" name="TextBox 3"/>
        <xdr:cNvSpPr txBox="1"/>
      </xdr:nvSpPr>
      <xdr:spPr>
        <a:xfrm>
          <a:off x="58712100" y="140493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107</xdr:row>
      <xdr:rowOff>0</xdr:rowOff>
    </xdr:from>
    <xdr:to>
      <xdr:col>292</xdr:col>
      <xdr:colOff>463478</xdr:colOff>
      <xdr:row>108</xdr:row>
      <xdr:rowOff>107596</xdr:rowOff>
    </xdr:to>
    <xdr:sp macro="" textlink="">
      <xdr:nvSpPr>
        <xdr:cNvPr id="5" name="TextBox 4"/>
        <xdr:cNvSpPr txBox="1"/>
      </xdr:nvSpPr>
      <xdr:spPr>
        <a:xfrm>
          <a:off x="63979425" y="140493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284</xdr:col>
      <xdr:colOff>0</xdr:colOff>
      <xdr:row>43</xdr:row>
      <xdr:rowOff>0</xdr:rowOff>
    </xdr:from>
    <xdr:to>
      <xdr:col>285</xdr:col>
      <xdr:colOff>463478</xdr:colOff>
      <xdr:row>44</xdr:row>
      <xdr:rowOff>107596</xdr:rowOff>
    </xdr:to>
    <xdr:sp macro="" textlink="">
      <xdr:nvSpPr>
        <xdr:cNvPr id="6" name="TextBox 5"/>
        <xdr:cNvSpPr txBox="1"/>
      </xdr:nvSpPr>
      <xdr:spPr>
        <a:xfrm>
          <a:off x="58712100" y="6153150"/>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291</xdr:col>
      <xdr:colOff>0</xdr:colOff>
      <xdr:row>42</xdr:row>
      <xdr:rowOff>0</xdr:rowOff>
    </xdr:from>
    <xdr:to>
      <xdr:col>292</xdr:col>
      <xdr:colOff>463478</xdr:colOff>
      <xdr:row>43</xdr:row>
      <xdr:rowOff>107596</xdr:rowOff>
    </xdr:to>
    <xdr:sp macro="" textlink="">
      <xdr:nvSpPr>
        <xdr:cNvPr id="7" name="TextBox 6"/>
        <xdr:cNvSpPr txBox="1"/>
      </xdr:nvSpPr>
      <xdr:spPr>
        <a:xfrm>
          <a:off x="63979425" y="6010275"/>
          <a:ext cx="1215953" cy="25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9</xdr:row>
      <xdr:rowOff>57150</xdr:rowOff>
    </xdr:from>
    <xdr:to>
      <xdr:col>4</xdr:col>
      <xdr:colOff>532623</xdr:colOff>
      <xdr:row>11</xdr:row>
      <xdr:rowOff>12347</xdr:rowOff>
    </xdr:to>
    <xdr:sp macro="" textlink="">
      <xdr:nvSpPr>
        <xdr:cNvPr id="2" name="TextBox 1"/>
        <xdr:cNvSpPr txBox="1"/>
      </xdr:nvSpPr>
      <xdr:spPr>
        <a:xfrm>
          <a:off x="3152775" y="1409700"/>
          <a:ext cx="1208898" cy="250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twoCellAnchor>
    <xdr:from>
      <xdr:col>11</xdr:col>
      <xdr:colOff>9525</xdr:colOff>
      <xdr:row>9</xdr:row>
      <xdr:rowOff>95250</xdr:rowOff>
    </xdr:from>
    <xdr:to>
      <xdr:col>12</xdr:col>
      <xdr:colOff>504048</xdr:colOff>
      <xdr:row>11</xdr:row>
      <xdr:rowOff>50447</xdr:rowOff>
    </xdr:to>
    <xdr:sp macro="" textlink="">
      <xdr:nvSpPr>
        <xdr:cNvPr id="3" name="TextBox 2"/>
        <xdr:cNvSpPr txBox="1"/>
      </xdr:nvSpPr>
      <xdr:spPr>
        <a:xfrm>
          <a:off x="8839200" y="1447800"/>
          <a:ext cx="1208898" cy="250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REDACTED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19050</xdr:colOff>
      <xdr:row>4</xdr:row>
      <xdr:rowOff>0</xdr:rowOff>
    </xdr:from>
    <xdr:to>
      <xdr:col>14</xdr:col>
      <xdr:colOff>306429</xdr:colOff>
      <xdr:row>25</xdr:row>
      <xdr:rowOff>126325</xdr:rowOff>
    </xdr:to>
    <xdr:pic>
      <xdr:nvPicPr>
        <xdr:cNvPr id="2" name="Picture 1"/>
        <xdr:cNvPicPr>
          <a:picLocks noChangeAspect="1"/>
        </xdr:cNvPicPr>
      </xdr:nvPicPr>
      <xdr:blipFill>
        <a:blip xmlns:r="http://schemas.openxmlformats.org/officeDocument/2006/relationships" r:embed="rId1"/>
        <a:stretch>
          <a:fillRect/>
        </a:stretch>
      </xdr:blipFill>
      <xdr:spPr>
        <a:xfrm>
          <a:off x="4105275" y="619126"/>
          <a:ext cx="6383379" cy="3126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1.bin"/><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1.bin"/><Relationship Id="rId2" Type="http://schemas.openxmlformats.org/officeDocument/2006/relationships/customProperty" Target="../customProperty30.bin"/><Relationship Id="rId1" Type="http://schemas.openxmlformats.org/officeDocument/2006/relationships/printerSettings" Target="../printerSettings/printerSettings15.bin"/><Relationship Id="rId4"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customProperty" Target="../customProperty9.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
  <sheetViews>
    <sheetView zoomScaleNormal="100" workbookViewId="0">
      <selection activeCell="D12" sqref="D12"/>
    </sheetView>
  </sheetViews>
  <sheetFormatPr defaultColWidth="9.140625" defaultRowHeight="12.75" x14ac:dyDescent="0.2"/>
  <cols>
    <col min="1" max="16384" width="9.140625" style="615"/>
  </cols>
  <sheetData>
    <row r="2" spans="1:1" ht="15.75" x14ac:dyDescent="0.25">
      <c r="A2" s="616" t="s">
        <v>432</v>
      </c>
    </row>
  </sheetData>
  <pageMargins left="0.75" right="0.75" top="1" bottom="1" header="0.5" footer="0.5"/>
  <pageSetup scale="75" orientation="landscape" horizontalDpi="300" verticalDpi="300" r:id="rId1"/>
  <headerFooter alignWithMargins="0">
    <oddFooter>&amp;L&amp;F
&amp;A&amp;RPage &amp;P of &amp;N</oddFoot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sheetPr>
  <dimension ref="A1"/>
  <sheetViews>
    <sheetView workbookViewId="0">
      <selection activeCell="A2" sqref="A2"/>
    </sheetView>
  </sheetViews>
  <sheetFormatPr defaultColWidth="8.7109375" defaultRowHeight="12.75" x14ac:dyDescent="0.2"/>
  <cols>
    <col min="1" max="16384" width="8.7109375" style="1"/>
  </cols>
  <sheetData/>
  <pageMargins left="0.7" right="0.7" top="0.75" bottom="0.75" header="0.3" footer="0.3"/>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I142"/>
  <sheetViews>
    <sheetView zoomScaleNormal="100" workbookViewId="0">
      <pane xSplit="3" ySplit="4" topLeftCell="JI5" activePane="bottomRight" state="frozen"/>
      <selection activeCell="A2" sqref="A2"/>
      <selection pane="topRight" activeCell="A2" sqref="A2"/>
      <selection pane="bottomLeft" activeCell="A2" sqref="A2"/>
      <selection pane="bottomRight" activeCell="D1" sqref="D1:JH1048576"/>
    </sheetView>
  </sheetViews>
  <sheetFormatPr defaultColWidth="9.140625" defaultRowHeight="11.25" outlineLevelCol="1" x14ac:dyDescent="0.2"/>
  <cols>
    <col min="1" max="1" width="6.42578125" style="24" customWidth="1"/>
    <col min="2" max="2" width="43.85546875" style="24" customWidth="1"/>
    <col min="3" max="3" width="11.5703125" style="24" customWidth="1"/>
    <col min="4" max="4" width="13.5703125" style="24" hidden="1" customWidth="1" outlineLevel="1"/>
    <col min="5" max="8" width="11.5703125" style="24" hidden="1" customWidth="1" outlineLevel="1"/>
    <col min="9" max="11" width="11.28515625" style="24" hidden="1" customWidth="1" outlineLevel="1"/>
    <col min="12" max="22" width="12.140625" style="24" hidden="1" customWidth="1" outlineLevel="1"/>
    <col min="23" max="34" width="11.28515625" style="24" hidden="1" customWidth="1" outlineLevel="1"/>
    <col min="35" max="37" width="10.7109375" style="24" hidden="1" customWidth="1" outlineLevel="1"/>
    <col min="38" max="38" width="11" style="24" hidden="1" customWidth="1" outlineLevel="1"/>
    <col min="39" max="40" width="10.7109375" style="24" hidden="1" customWidth="1" outlineLevel="1"/>
    <col min="41" max="41" width="11" style="24" hidden="1" customWidth="1" outlineLevel="1"/>
    <col min="42" max="42" width="10.85546875" style="24" hidden="1" customWidth="1" outlineLevel="1"/>
    <col min="43" max="44" width="11.28515625" style="24" hidden="1" customWidth="1" outlineLevel="1"/>
    <col min="45" max="45" width="10.85546875" style="24" hidden="1" customWidth="1" outlineLevel="1"/>
    <col min="46" max="49" width="10.7109375" style="24" hidden="1" customWidth="1" outlineLevel="1"/>
    <col min="50" max="50" width="11" style="24" hidden="1" customWidth="1" outlineLevel="1"/>
    <col min="51" max="52" width="10.7109375" style="24" hidden="1" customWidth="1" outlineLevel="1"/>
    <col min="53" max="55" width="11.28515625" style="24" hidden="1" customWidth="1" outlineLevel="1"/>
    <col min="56" max="57" width="10.85546875" style="24" hidden="1" customWidth="1" outlineLevel="1"/>
    <col min="58" max="61" width="10.7109375" style="24" hidden="1" customWidth="1" outlineLevel="1"/>
    <col min="62" max="62" width="11" style="24" hidden="1" customWidth="1" outlineLevel="1"/>
    <col min="63" max="63" width="11.42578125" style="24" hidden="1" customWidth="1" outlineLevel="1"/>
    <col min="64" max="64" width="11.28515625" style="24" hidden="1" customWidth="1" outlineLevel="1"/>
    <col min="65" max="65" width="11" style="24" hidden="1" customWidth="1" outlineLevel="1"/>
    <col min="66" max="67" width="11.28515625" style="24" hidden="1" customWidth="1" outlineLevel="1"/>
    <col min="68" max="68" width="11.7109375" style="24" hidden="1" customWidth="1" outlineLevel="1"/>
    <col min="69" max="69" width="11.28515625" style="24" hidden="1" customWidth="1" outlineLevel="1"/>
    <col min="70" max="70" width="10.28515625" style="24" hidden="1" customWidth="1" outlineLevel="1"/>
    <col min="71" max="76" width="11.28515625" style="24" hidden="1" customWidth="1" outlineLevel="1"/>
    <col min="77" max="77" width="12.42578125" style="24" hidden="1" customWidth="1" outlineLevel="1"/>
    <col min="78" max="79" width="12.140625" style="24" hidden="1" customWidth="1" outlineLevel="1"/>
    <col min="80" max="88" width="11.28515625" style="24" hidden="1" customWidth="1" outlineLevel="1"/>
    <col min="89" max="89" width="13.140625" style="24" hidden="1" customWidth="1" outlineLevel="1"/>
    <col min="90" max="90" width="13.42578125" style="24" hidden="1" customWidth="1" outlineLevel="1"/>
    <col min="91" max="91" width="11.42578125" style="24" hidden="1" customWidth="1" outlineLevel="1"/>
    <col min="92" max="92" width="11.28515625" style="24" hidden="1" customWidth="1" outlineLevel="1"/>
    <col min="93" max="93" width="10.28515625" style="24" hidden="1" customWidth="1" outlineLevel="1"/>
    <col min="94" max="110" width="11.28515625" style="24" hidden="1" customWidth="1" outlineLevel="1"/>
    <col min="111" max="111" width="12.28515625" style="24" hidden="1" customWidth="1" outlineLevel="1"/>
    <col min="112" max="115" width="11.28515625" style="24" hidden="1" customWidth="1" outlineLevel="1"/>
    <col min="116" max="117" width="10.85546875" style="24" hidden="1" customWidth="1" outlineLevel="1"/>
    <col min="118" max="118" width="10.5703125" style="24" hidden="1" customWidth="1" outlineLevel="1"/>
    <col min="119" max="120" width="10.7109375" style="24" hidden="1" customWidth="1" outlineLevel="1"/>
    <col min="121" max="121" width="11.28515625" style="24" hidden="1" customWidth="1" outlineLevel="1"/>
    <col min="122" max="122" width="11" style="24" hidden="1" customWidth="1" outlineLevel="1"/>
    <col min="123" max="123" width="10.5703125" style="24" hidden="1" customWidth="1" outlineLevel="1"/>
    <col min="124" max="124" width="10.42578125" style="24" hidden="1" customWidth="1" outlineLevel="1"/>
    <col min="125" max="125" width="11" style="24" hidden="1" customWidth="1" outlineLevel="1"/>
    <col min="126" max="126" width="10.85546875" style="24" hidden="1" customWidth="1" outlineLevel="1"/>
    <col min="127" max="127" width="10.5703125" style="24" hidden="1" customWidth="1" outlineLevel="1"/>
    <col min="128" max="129" width="10.85546875" style="24" hidden="1" customWidth="1" outlineLevel="1"/>
    <col min="130" max="130" width="11.28515625" style="24" hidden="1" customWidth="1" outlineLevel="1"/>
    <col min="131" max="136" width="11.28515625" style="121" hidden="1" customWidth="1" outlineLevel="1"/>
    <col min="137" max="137" width="11" style="121" hidden="1" customWidth="1" outlineLevel="1"/>
    <col min="138" max="138" width="10.85546875" style="121" hidden="1" customWidth="1" outlineLevel="1"/>
    <col min="139" max="139" width="10.5703125" style="121" hidden="1" customWidth="1" outlineLevel="1"/>
    <col min="140" max="141" width="10.85546875" style="121" hidden="1" customWidth="1" outlineLevel="1"/>
    <col min="142" max="147" width="11.28515625" style="121" hidden="1" customWidth="1" outlineLevel="1"/>
    <col min="148" max="148" width="10.42578125" style="121" hidden="1" customWidth="1" outlineLevel="1"/>
    <col min="149" max="149" width="11" style="121" hidden="1" customWidth="1" outlineLevel="1"/>
    <col min="150" max="150" width="10.85546875" style="121" hidden="1" customWidth="1" outlineLevel="1"/>
    <col min="151" max="151" width="10.5703125" style="121" hidden="1" customWidth="1" outlineLevel="1"/>
    <col min="152" max="153" width="10.85546875" style="121" hidden="1" customWidth="1" outlineLevel="1"/>
    <col min="154" max="159" width="11.28515625" style="121" hidden="1" customWidth="1" outlineLevel="1"/>
    <col min="160" max="160" width="10.42578125" style="121" hidden="1" customWidth="1" outlineLevel="1"/>
    <col min="161" max="161" width="11" style="121" hidden="1" customWidth="1" outlineLevel="1"/>
    <col min="162" max="162" width="10.85546875" style="121" hidden="1" customWidth="1" outlineLevel="1"/>
    <col min="163" max="163" width="10.5703125" style="121" hidden="1" customWidth="1" outlineLevel="1"/>
    <col min="164" max="165" width="10.85546875" style="121" hidden="1" customWidth="1" outlineLevel="1"/>
    <col min="166" max="166" width="10.5703125" style="121" hidden="1" customWidth="1" outlineLevel="1"/>
    <col min="167" max="169" width="10.7109375" style="121" hidden="1" customWidth="1" outlineLevel="1"/>
    <col min="170" max="170" width="11" style="121" hidden="1" customWidth="1" outlineLevel="1"/>
    <col min="171" max="171" width="10.5703125" style="121" hidden="1" customWidth="1" outlineLevel="1"/>
    <col min="172" max="172" width="10.7109375" style="121" hidden="1" customWidth="1" outlineLevel="1"/>
    <col min="173" max="173" width="11" style="121" hidden="1" customWidth="1" outlineLevel="1"/>
    <col min="174" max="174" width="10.85546875" style="121" hidden="1" customWidth="1" outlineLevel="1"/>
    <col min="175" max="175" width="10.7109375" style="121" hidden="1" customWidth="1" outlineLevel="1"/>
    <col min="176" max="177" width="10.85546875" style="121" hidden="1" customWidth="1" outlineLevel="1"/>
    <col min="178" max="178" width="10.5703125" style="121" hidden="1" customWidth="1" outlineLevel="1"/>
    <col min="179" max="181" width="10.7109375" style="121" hidden="1" customWidth="1" outlineLevel="1"/>
    <col min="182" max="182" width="11" style="121" hidden="1" customWidth="1" outlineLevel="1"/>
    <col min="183" max="184" width="10.7109375" style="121" hidden="1" customWidth="1" outlineLevel="1"/>
    <col min="185" max="185" width="11" style="121" hidden="1" customWidth="1" outlineLevel="1"/>
    <col min="186" max="186" width="10.85546875" style="121" hidden="1" customWidth="1" outlineLevel="1"/>
    <col min="187" max="187" width="10.7109375" style="121" hidden="1" customWidth="1" outlineLevel="1"/>
    <col min="188" max="189" width="10.85546875" style="121" hidden="1" customWidth="1" outlineLevel="1"/>
    <col min="190" max="190" width="10.5703125" style="121" hidden="1" customWidth="1" outlineLevel="1"/>
    <col min="191" max="194" width="11.28515625" style="121" hidden="1" customWidth="1" outlineLevel="1"/>
    <col min="195" max="195" width="10.5703125" style="121" hidden="1" customWidth="1" outlineLevel="1"/>
    <col min="196" max="196" width="10.42578125" style="121" hidden="1" customWidth="1" outlineLevel="1"/>
    <col min="197" max="197" width="11" style="121" hidden="1" customWidth="1" outlineLevel="1"/>
    <col min="198" max="198" width="11.140625" style="121" hidden="1" customWidth="1" outlineLevel="1"/>
    <col min="199" max="199" width="10.7109375" style="121" hidden="1" customWidth="1" outlineLevel="1"/>
    <col min="200" max="202" width="10.42578125" style="121" hidden="1" customWidth="1" outlineLevel="1"/>
    <col min="203" max="205" width="11.28515625" style="121" hidden="1" customWidth="1" outlineLevel="1"/>
    <col min="206" max="207" width="10.42578125" style="121" hidden="1" customWidth="1" outlineLevel="1"/>
    <col min="208" max="211" width="11.28515625" style="121" hidden="1" customWidth="1" outlineLevel="1"/>
    <col min="212" max="214" width="10.7109375" style="121" hidden="1" customWidth="1" outlineLevel="1"/>
    <col min="215" max="223" width="11.5703125" style="121" hidden="1" customWidth="1" outlineLevel="1"/>
    <col min="224" max="224" width="11.28515625" style="121" hidden="1" customWidth="1" outlineLevel="1"/>
    <col min="225" max="227" width="10.7109375" style="121" hidden="1" customWidth="1" outlineLevel="1"/>
    <col min="228" max="229" width="11.28515625" style="121" hidden="1" customWidth="1" outlineLevel="1"/>
    <col min="230" max="230" width="10.42578125" style="121" hidden="1" customWidth="1" outlineLevel="1"/>
    <col min="231" max="232" width="10.7109375" style="121" hidden="1" customWidth="1" outlineLevel="1"/>
    <col min="233" max="235" width="11.7109375" style="121" hidden="1" customWidth="1" outlineLevel="1"/>
    <col min="236" max="236" width="12.5703125" style="121" hidden="1" customWidth="1" outlineLevel="1"/>
    <col min="237" max="248" width="11.7109375" style="121" hidden="1" customWidth="1" outlineLevel="1"/>
    <col min="249" max="249" width="12" style="121" hidden="1" customWidth="1" outlineLevel="1"/>
    <col min="250" max="259" width="11.7109375" style="121" hidden="1" customWidth="1" outlineLevel="1"/>
    <col min="260" max="265" width="12.5703125" style="121" hidden="1" customWidth="1" outlineLevel="1"/>
    <col min="266" max="267" width="12.140625" style="121" hidden="1" customWidth="1" outlineLevel="1"/>
    <col min="268" max="268" width="12.5703125" style="121" hidden="1" customWidth="1" outlineLevel="1"/>
    <col min="269" max="269" width="12.140625" style="121" bestFit="1" customWidth="1" collapsed="1"/>
    <col min="270" max="271" width="11.28515625" style="121" bestFit="1" customWidth="1"/>
    <col min="272" max="275" width="11.28515625" style="24" bestFit="1" customWidth="1"/>
    <col min="276" max="281" width="10.42578125" style="24" bestFit="1" customWidth="1"/>
    <col min="282" max="295" width="11.28515625" style="24" customWidth="1"/>
    <col min="296" max="16384" width="9.140625" style="24"/>
  </cols>
  <sheetData>
    <row r="1" spans="1:295" x14ac:dyDescent="0.2">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c r="IP1" s="130"/>
      <c r="IQ1" s="130"/>
      <c r="IR1" s="130"/>
      <c r="IS1" s="130"/>
      <c r="IT1" s="130"/>
      <c r="IU1" s="130"/>
      <c r="IV1" s="130"/>
      <c r="IW1" s="130"/>
      <c r="IX1" s="130"/>
      <c r="IY1" s="130"/>
      <c r="IZ1" s="130"/>
      <c r="JA1" s="130"/>
      <c r="JB1" s="130"/>
      <c r="JC1" s="130"/>
      <c r="JD1" s="130"/>
      <c r="JE1" s="130"/>
      <c r="JF1" s="130"/>
      <c r="JG1" s="130"/>
      <c r="JH1" s="130"/>
      <c r="JI1" s="130"/>
      <c r="JJ1" s="130"/>
      <c r="JK1" s="130"/>
      <c r="JL1" s="130"/>
      <c r="JM1" s="130"/>
      <c r="JN1" s="130"/>
      <c r="JO1" s="130"/>
      <c r="JP1" s="130"/>
      <c r="JQ1" s="130"/>
      <c r="JR1" s="130"/>
      <c r="JS1" s="130"/>
      <c r="JT1" s="130"/>
      <c r="JU1" s="394"/>
      <c r="JV1" s="130"/>
      <c r="JW1" s="130"/>
    </row>
    <row r="2" spans="1:295" ht="11.25" customHeight="1" x14ac:dyDescent="0.2">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CI2" s="121"/>
      <c r="CJ2" s="121"/>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D2" s="23"/>
      <c r="GE2" s="23"/>
      <c r="GF2" s="23"/>
      <c r="GG2" s="23"/>
      <c r="GH2" s="23"/>
      <c r="GI2" s="23"/>
      <c r="GJ2" s="23"/>
      <c r="GK2" s="23"/>
      <c r="GL2" s="23"/>
      <c r="GM2" s="23"/>
      <c r="JJ2" s="22"/>
      <c r="JK2" s="373"/>
      <c r="JL2" s="74"/>
      <c r="JM2" s="74"/>
      <c r="JN2" s="74"/>
      <c r="JO2" s="74"/>
      <c r="JP2" s="74"/>
      <c r="JQ2" s="374"/>
      <c r="JR2" s="373"/>
      <c r="JS2" s="74"/>
      <c r="JT2" s="74"/>
      <c r="JU2" s="74"/>
      <c r="JV2" s="375"/>
      <c r="JW2" s="376" t="s">
        <v>0</v>
      </c>
      <c r="JX2" s="377"/>
      <c r="JY2" s="377"/>
      <c r="JZ2" s="377"/>
      <c r="KA2" s="377"/>
      <c r="KB2" s="377"/>
      <c r="KC2" s="378"/>
      <c r="KD2" s="376" t="s">
        <v>0</v>
      </c>
      <c r="KE2" s="377"/>
      <c r="KF2" s="377"/>
      <c r="KG2" s="377"/>
      <c r="KH2" s="377"/>
      <c r="KI2" s="377"/>
    </row>
    <row r="3" spans="1:295" x14ac:dyDescent="0.2">
      <c r="A3" s="23"/>
      <c r="C3" s="121"/>
      <c r="D3" s="132" t="str">
        <f t="shared" ref="D3:AV3" si="0">$AX$3</f>
        <v>Actual</v>
      </c>
      <c r="E3" s="132" t="str">
        <f t="shared" si="0"/>
        <v>Actual</v>
      </c>
      <c r="F3" s="132" t="str">
        <f t="shared" si="0"/>
        <v>Actual</v>
      </c>
      <c r="G3" s="132" t="str">
        <f t="shared" si="0"/>
        <v>Actual</v>
      </c>
      <c r="H3" s="132" t="str">
        <f t="shared" si="0"/>
        <v>Actual</v>
      </c>
      <c r="I3" s="132" t="str">
        <f t="shared" si="0"/>
        <v>Actual</v>
      </c>
      <c r="J3" s="132" t="str">
        <f t="shared" si="0"/>
        <v>Actual</v>
      </c>
      <c r="K3" s="132" t="str">
        <f t="shared" si="0"/>
        <v>Actual</v>
      </c>
      <c r="L3" s="132" t="str">
        <f t="shared" si="0"/>
        <v>Actual</v>
      </c>
      <c r="M3" s="132" t="str">
        <f t="shared" si="0"/>
        <v>Actual</v>
      </c>
      <c r="N3" s="132" t="str">
        <f t="shared" si="0"/>
        <v>Actual</v>
      </c>
      <c r="O3" s="132" t="str">
        <f t="shared" si="0"/>
        <v>Actual</v>
      </c>
      <c r="P3" s="132" t="str">
        <f t="shared" si="0"/>
        <v>Actual</v>
      </c>
      <c r="Q3" s="132" t="str">
        <f t="shared" si="0"/>
        <v>Actual</v>
      </c>
      <c r="R3" s="132" t="str">
        <f t="shared" si="0"/>
        <v>Actual</v>
      </c>
      <c r="S3" s="132" t="str">
        <f t="shared" si="0"/>
        <v>Actual</v>
      </c>
      <c r="T3" s="132" t="str">
        <f t="shared" si="0"/>
        <v>Actual</v>
      </c>
      <c r="U3" s="132" t="str">
        <f t="shared" si="0"/>
        <v>Actual</v>
      </c>
      <c r="V3" s="132" t="str">
        <f t="shared" si="0"/>
        <v>Actual</v>
      </c>
      <c r="W3" s="132" t="str">
        <f t="shared" si="0"/>
        <v>Actual</v>
      </c>
      <c r="X3" s="132" t="str">
        <f t="shared" si="0"/>
        <v>Actual</v>
      </c>
      <c r="Y3" s="132" t="str">
        <f t="shared" si="0"/>
        <v>Actual</v>
      </c>
      <c r="Z3" s="132" t="str">
        <f t="shared" si="0"/>
        <v>Actual</v>
      </c>
      <c r="AA3" s="132" t="str">
        <f t="shared" si="0"/>
        <v>Actual</v>
      </c>
      <c r="AB3" s="132" t="str">
        <f t="shared" si="0"/>
        <v>Actual</v>
      </c>
      <c r="AC3" s="132" t="str">
        <f t="shared" si="0"/>
        <v>Actual</v>
      </c>
      <c r="AD3" s="132" t="str">
        <f t="shared" si="0"/>
        <v>Actual</v>
      </c>
      <c r="AE3" s="132" t="str">
        <f t="shared" si="0"/>
        <v>Actual</v>
      </c>
      <c r="AF3" s="132" t="str">
        <f t="shared" si="0"/>
        <v>Actual</v>
      </c>
      <c r="AG3" s="132" t="str">
        <f t="shared" si="0"/>
        <v>Actual</v>
      </c>
      <c r="AH3" s="132" t="str">
        <f t="shared" si="0"/>
        <v>Actual</v>
      </c>
      <c r="AI3" s="132" t="str">
        <f t="shared" si="0"/>
        <v>Actual</v>
      </c>
      <c r="AJ3" s="132" t="str">
        <f t="shared" si="0"/>
        <v>Actual</v>
      </c>
      <c r="AK3" s="132" t="str">
        <f t="shared" si="0"/>
        <v>Actual</v>
      </c>
      <c r="AL3" s="132" t="str">
        <f t="shared" si="0"/>
        <v>Actual</v>
      </c>
      <c r="AM3" s="132" t="str">
        <f t="shared" si="0"/>
        <v>Actual</v>
      </c>
      <c r="AN3" s="132" t="str">
        <f t="shared" si="0"/>
        <v>Actual</v>
      </c>
      <c r="AO3" s="132" t="str">
        <f t="shared" si="0"/>
        <v>Actual</v>
      </c>
      <c r="AP3" s="132" t="str">
        <f t="shared" si="0"/>
        <v>Actual</v>
      </c>
      <c r="AQ3" s="132" t="str">
        <f t="shared" si="0"/>
        <v>Actual</v>
      </c>
      <c r="AR3" s="132" t="str">
        <f t="shared" si="0"/>
        <v>Actual</v>
      </c>
      <c r="AS3" s="132" t="str">
        <f t="shared" si="0"/>
        <v>Actual</v>
      </c>
      <c r="AT3" s="132" t="str">
        <f t="shared" si="0"/>
        <v>Actual</v>
      </c>
      <c r="AU3" s="132" t="str">
        <f t="shared" si="0"/>
        <v>Actual</v>
      </c>
      <c r="AV3" s="132" t="str">
        <f t="shared" si="0"/>
        <v>Actual</v>
      </c>
      <c r="AW3" s="132" t="str">
        <f>$AX$3</f>
        <v>Actual</v>
      </c>
      <c r="AX3" s="132" t="s">
        <v>99</v>
      </c>
      <c r="AY3" s="132" t="s">
        <v>99</v>
      </c>
      <c r="AZ3" s="132" t="s">
        <v>99</v>
      </c>
      <c r="BA3" s="132" t="s">
        <v>99</v>
      </c>
      <c r="BB3" s="132" t="s">
        <v>99</v>
      </c>
      <c r="BC3" s="132" t="s">
        <v>99</v>
      </c>
      <c r="BD3" s="132" t="s">
        <v>99</v>
      </c>
      <c r="BE3" s="132" t="s">
        <v>99</v>
      </c>
      <c r="BF3" s="132" t="s">
        <v>99</v>
      </c>
      <c r="BG3" s="132" t="s">
        <v>99</v>
      </c>
      <c r="BH3" s="132" t="s">
        <v>99</v>
      </c>
      <c r="BI3" s="132" t="s">
        <v>99</v>
      </c>
      <c r="BJ3" s="41" t="s">
        <v>99</v>
      </c>
      <c r="BK3" s="41" t="s">
        <v>99</v>
      </c>
      <c r="BL3" s="41" t="s">
        <v>99</v>
      </c>
      <c r="BM3" s="41" t="s">
        <v>99</v>
      </c>
      <c r="BN3" s="41" t="s">
        <v>99</v>
      </c>
      <c r="BO3" s="41" t="s">
        <v>99</v>
      </c>
      <c r="BP3" s="41" t="s">
        <v>99</v>
      </c>
      <c r="BQ3" s="41" t="s">
        <v>99</v>
      </c>
      <c r="BR3" s="41" t="s">
        <v>99</v>
      </c>
      <c r="BS3" s="41" t="s">
        <v>99</v>
      </c>
      <c r="BT3" s="41" t="s">
        <v>99</v>
      </c>
      <c r="BU3" s="41" t="s">
        <v>99</v>
      </c>
      <c r="BV3" s="41" t="s">
        <v>99</v>
      </c>
      <c r="BW3" s="41" t="s">
        <v>99</v>
      </c>
      <c r="BX3" s="41" t="s">
        <v>99</v>
      </c>
      <c r="BY3" s="41" t="s">
        <v>99</v>
      </c>
      <c r="BZ3" s="41" t="s">
        <v>99</v>
      </c>
      <c r="CA3" s="41" t="s">
        <v>99</v>
      </c>
      <c r="CB3" s="133" t="s">
        <v>99</v>
      </c>
      <c r="CC3" s="133" t="s">
        <v>99</v>
      </c>
      <c r="CD3" s="133" t="s">
        <v>99</v>
      </c>
      <c r="CE3" s="133" t="s">
        <v>99</v>
      </c>
      <c r="CF3" s="133" t="s">
        <v>99</v>
      </c>
      <c r="CG3" s="133" t="s">
        <v>99</v>
      </c>
      <c r="CH3" s="133" t="s">
        <v>99</v>
      </c>
      <c r="CI3" s="133" t="s">
        <v>99</v>
      </c>
      <c r="CJ3" s="133" t="s">
        <v>99</v>
      </c>
      <c r="CK3" s="133" t="s">
        <v>99</v>
      </c>
      <c r="CL3" s="133" t="s">
        <v>99</v>
      </c>
      <c r="CM3" s="133" t="s">
        <v>99</v>
      </c>
      <c r="CN3" s="133" t="s">
        <v>99</v>
      </c>
      <c r="CO3" s="133" t="s">
        <v>99</v>
      </c>
      <c r="CP3" s="133" t="s">
        <v>99</v>
      </c>
      <c r="CQ3" s="133" t="s">
        <v>99</v>
      </c>
      <c r="CR3" s="133" t="s">
        <v>99</v>
      </c>
      <c r="CS3" s="133" t="s">
        <v>99</v>
      </c>
      <c r="CT3" s="133" t="s">
        <v>99</v>
      </c>
      <c r="CU3" s="133" t="s">
        <v>99</v>
      </c>
      <c r="CV3" s="133" t="s">
        <v>99</v>
      </c>
      <c r="CW3" s="133" t="s">
        <v>99</v>
      </c>
      <c r="CX3" s="133" t="s">
        <v>99</v>
      </c>
      <c r="CY3" s="133" t="s">
        <v>99</v>
      </c>
      <c r="CZ3" s="133" t="s">
        <v>99</v>
      </c>
      <c r="DA3" s="133" t="s">
        <v>99</v>
      </c>
      <c r="DB3" s="133" t="s">
        <v>99</v>
      </c>
      <c r="DC3" s="133" t="s">
        <v>99</v>
      </c>
      <c r="DD3" s="133" t="s">
        <v>99</v>
      </c>
      <c r="DE3" s="133" t="s">
        <v>99</v>
      </c>
      <c r="DF3" s="133" t="s">
        <v>99</v>
      </c>
      <c r="DG3" s="133" t="s">
        <v>99</v>
      </c>
      <c r="DH3" s="133" t="s">
        <v>100</v>
      </c>
      <c r="DI3" s="133" t="s">
        <v>99</v>
      </c>
      <c r="DJ3" s="133" t="s">
        <v>99</v>
      </c>
      <c r="DK3" s="133" t="s">
        <v>99</v>
      </c>
      <c r="DL3" s="133" t="s">
        <v>99</v>
      </c>
      <c r="DM3" s="133" t="s">
        <v>99</v>
      </c>
      <c r="DN3" s="133" t="s">
        <v>99</v>
      </c>
      <c r="DO3" s="133" t="s">
        <v>99</v>
      </c>
      <c r="DP3" s="133" t="s">
        <v>99</v>
      </c>
      <c r="DQ3" s="133" t="s">
        <v>99</v>
      </c>
      <c r="DR3" s="133" t="s">
        <v>99</v>
      </c>
      <c r="DS3" s="133" t="s">
        <v>99</v>
      </c>
      <c r="DT3" s="133" t="s">
        <v>99</v>
      </c>
      <c r="DU3" s="133" t="s">
        <v>99</v>
      </c>
      <c r="DV3" s="133" t="s">
        <v>99</v>
      </c>
      <c r="DW3" s="133" t="s">
        <v>99</v>
      </c>
      <c r="DX3" s="133" t="s">
        <v>99</v>
      </c>
      <c r="DY3" s="133" t="s">
        <v>99</v>
      </c>
      <c r="DZ3" s="133" t="s">
        <v>99</v>
      </c>
      <c r="EA3" s="133" t="s">
        <v>99</v>
      </c>
      <c r="EB3" s="133" t="s">
        <v>99</v>
      </c>
      <c r="EC3" s="133" t="s">
        <v>99</v>
      </c>
      <c r="ED3" s="133" t="s">
        <v>99</v>
      </c>
      <c r="EE3" s="133" t="s">
        <v>99</v>
      </c>
      <c r="EF3" s="133" t="s">
        <v>99</v>
      </c>
      <c r="EG3" s="133" t="s">
        <v>99</v>
      </c>
      <c r="EH3" s="133" t="s">
        <v>99</v>
      </c>
      <c r="EI3" s="133" t="s">
        <v>99</v>
      </c>
      <c r="EJ3" s="133" t="s">
        <v>99</v>
      </c>
      <c r="EK3" s="133" t="s">
        <v>99</v>
      </c>
      <c r="EL3" s="133" t="s">
        <v>99</v>
      </c>
      <c r="EM3" s="133" t="s">
        <v>99</v>
      </c>
      <c r="EN3" s="133" t="s">
        <v>99</v>
      </c>
      <c r="EO3" s="133" t="s">
        <v>99</v>
      </c>
      <c r="EP3" s="133" t="s">
        <v>99</v>
      </c>
      <c r="EQ3" s="133" t="s">
        <v>99</v>
      </c>
      <c r="ER3" s="133" t="s">
        <v>99</v>
      </c>
      <c r="ES3" s="133" t="s">
        <v>99</v>
      </c>
      <c r="ET3" s="133" t="s">
        <v>99</v>
      </c>
      <c r="EU3" s="133" t="s">
        <v>99</v>
      </c>
      <c r="EV3" s="133" t="s">
        <v>99</v>
      </c>
      <c r="EW3" s="133" t="s">
        <v>99</v>
      </c>
      <c r="EX3" s="133" t="s">
        <v>99</v>
      </c>
      <c r="EY3" s="133" t="s">
        <v>99</v>
      </c>
      <c r="EZ3" s="133" t="s">
        <v>99</v>
      </c>
      <c r="FA3" s="133" t="s">
        <v>99</v>
      </c>
      <c r="FB3" s="133" t="s">
        <v>99</v>
      </c>
      <c r="FC3" s="133" t="s">
        <v>99</v>
      </c>
      <c r="FD3" s="133" t="s">
        <v>99</v>
      </c>
      <c r="FE3" s="133" t="s">
        <v>99</v>
      </c>
      <c r="FF3" s="134" t="s">
        <v>99</v>
      </c>
      <c r="FG3" s="134" t="s">
        <v>99</v>
      </c>
      <c r="FH3" s="134" t="s">
        <v>99</v>
      </c>
      <c r="FI3" s="134" t="s">
        <v>99</v>
      </c>
      <c r="FJ3" s="134" t="s">
        <v>99</v>
      </c>
      <c r="FK3" s="134" t="s">
        <v>99</v>
      </c>
      <c r="FL3" s="134" t="s">
        <v>99</v>
      </c>
      <c r="FM3" s="134" t="s">
        <v>99</v>
      </c>
      <c r="FN3" s="134" t="s">
        <v>99</v>
      </c>
      <c r="FO3" s="134" t="s">
        <v>99</v>
      </c>
      <c r="FP3" s="134" t="s">
        <v>99</v>
      </c>
      <c r="FQ3" s="134" t="s">
        <v>99</v>
      </c>
      <c r="FR3" s="134" t="s">
        <v>99</v>
      </c>
      <c r="FS3" s="134" t="s">
        <v>99</v>
      </c>
      <c r="FT3" s="134" t="s">
        <v>99</v>
      </c>
      <c r="FU3" s="134" t="s">
        <v>99</v>
      </c>
      <c r="FV3" s="134" t="s">
        <v>99</v>
      </c>
      <c r="FW3" s="134" t="s">
        <v>99</v>
      </c>
      <c r="FX3" s="134" t="s">
        <v>99</v>
      </c>
      <c r="FY3" s="134" t="s">
        <v>99</v>
      </c>
      <c r="FZ3" s="134" t="s">
        <v>99</v>
      </c>
      <c r="GA3" s="134" t="s">
        <v>99</v>
      </c>
      <c r="GB3" s="134" t="s">
        <v>99</v>
      </c>
      <c r="GC3" s="134" t="s">
        <v>99</v>
      </c>
      <c r="GD3" s="134" t="s">
        <v>99</v>
      </c>
      <c r="GE3" s="134" t="s">
        <v>99</v>
      </c>
      <c r="GF3" s="134" t="s">
        <v>99</v>
      </c>
      <c r="GG3" s="134" t="s">
        <v>99</v>
      </c>
      <c r="GH3" s="134" t="s">
        <v>99</v>
      </c>
      <c r="GI3" s="134" t="s">
        <v>99</v>
      </c>
      <c r="GJ3" s="134" t="s">
        <v>99</v>
      </c>
      <c r="GK3" s="134" t="s">
        <v>99</v>
      </c>
      <c r="GL3" s="134" t="s">
        <v>99</v>
      </c>
      <c r="GM3" s="134" t="s">
        <v>99</v>
      </c>
      <c r="GN3" s="134" t="s">
        <v>99</v>
      </c>
      <c r="GO3" s="134" t="s">
        <v>99</v>
      </c>
      <c r="GP3" s="134" t="s">
        <v>99</v>
      </c>
      <c r="GQ3" s="134" t="s">
        <v>99</v>
      </c>
      <c r="GR3" s="134" t="s">
        <v>99</v>
      </c>
      <c r="GS3" s="134" t="s">
        <v>99</v>
      </c>
      <c r="GT3" s="134" t="s">
        <v>99</v>
      </c>
      <c r="GU3" s="134" t="s">
        <v>99</v>
      </c>
      <c r="GV3" s="134" t="s">
        <v>99</v>
      </c>
      <c r="GW3" s="134" t="s">
        <v>99</v>
      </c>
      <c r="GX3" s="134" t="s">
        <v>99</v>
      </c>
      <c r="GY3" s="134" t="s">
        <v>99</v>
      </c>
      <c r="GZ3" s="134" t="s">
        <v>99</v>
      </c>
      <c r="HA3" s="134" t="s">
        <v>99</v>
      </c>
      <c r="HB3" s="134" t="s">
        <v>99</v>
      </c>
      <c r="HC3" s="134" t="s">
        <v>99</v>
      </c>
      <c r="HD3" s="134" t="s">
        <v>99</v>
      </c>
      <c r="HE3" s="134" t="s">
        <v>99</v>
      </c>
      <c r="HF3" s="134" t="s">
        <v>99</v>
      </c>
      <c r="HG3" s="134" t="s">
        <v>99</v>
      </c>
      <c r="HH3" s="134" t="s">
        <v>99</v>
      </c>
      <c r="HI3" s="134" t="s">
        <v>99</v>
      </c>
      <c r="HJ3" s="134" t="s">
        <v>99</v>
      </c>
      <c r="HK3" s="134" t="s">
        <v>99</v>
      </c>
      <c r="HL3" s="134" t="s">
        <v>99</v>
      </c>
      <c r="HM3" s="134" t="s">
        <v>99</v>
      </c>
      <c r="HN3" s="134" t="s">
        <v>99</v>
      </c>
      <c r="HO3" s="134" t="s">
        <v>99</v>
      </c>
      <c r="HP3" s="134" t="s">
        <v>99</v>
      </c>
      <c r="HQ3" s="134" t="s">
        <v>99</v>
      </c>
      <c r="HR3" s="134" t="s">
        <v>99</v>
      </c>
      <c r="HS3" s="134" t="s">
        <v>99</v>
      </c>
      <c r="HT3" s="134" t="s">
        <v>99</v>
      </c>
      <c r="HU3" s="134" t="s">
        <v>99</v>
      </c>
      <c r="HV3" s="134" t="s">
        <v>99</v>
      </c>
      <c r="HW3" s="134" t="s">
        <v>99</v>
      </c>
      <c r="HX3" s="134" t="s">
        <v>99</v>
      </c>
      <c r="HY3" s="134" t="s">
        <v>99</v>
      </c>
      <c r="HZ3" s="134" t="s">
        <v>99</v>
      </c>
      <c r="IA3" s="134" t="s">
        <v>99</v>
      </c>
      <c r="IB3" s="134" t="s">
        <v>99</v>
      </c>
      <c r="IC3" s="134" t="s">
        <v>99</v>
      </c>
      <c r="ID3" s="134" t="s">
        <v>99</v>
      </c>
      <c r="IE3" s="134" t="s">
        <v>99</v>
      </c>
      <c r="IF3" s="134" t="s">
        <v>99</v>
      </c>
      <c r="IG3" s="134" t="s">
        <v>99</v>
      </c>
      <c r="IH3" s="134" t="s">
        <v>99</v>
      </c>
      <c r="II3" s="134" t="s">
        <v>99</v>
      </c>
      <c r="IJ3" s="134" t="s">
        <v>99</v>
      </c>
      <c r="IK3" s="134" t="s">
        <v>99</v>
      </c>
      <c r="IL3" s="41" t="s">
        <v>99</v>
      </c>
      <c r="IM3" s="41" t="s">
        <v>99</v>
      </c>
      <c r="IN3" s="41" t="s">
        <v>99</v>
      </c>
      <c r="IO3" s="41" t="s">
        <v>99</v>
      </c>
      <c r="IP3" s="41" t="s">
        <v>99</v>
      </c>
      <c r="IQ3" s="41" t="s">
        <v>99</v>
      </c>
      <c r="IR3" s="41" t="s">
        <v>99</v>
      </c>
      <c r="IS3" s="41" t="s">
        <v>99</v>
      </c>
      <c r="IT3" s="41" t="s">
        <v>99</v>
      </c>
      <c r="IU3" s="41" t="s">
        <v>99</v>
      </c>
      <c r="IV3" s="41" t="s">
        <v>99</v>
      </c>
      <c r="IW3" s="41" t="s">
        <v>99</v>
      </c>
      <c r="IX3" s="41" t="s">
        <v>99</v>
      </c>
      <c r="IY3" s="41" t="s">
        <v>99</v>
      </c>
      <c r="IZ3" s="41" t="s">
        <v>99</v>
      </c>
      <c r="JA3" s="41" t="s">
        <v>99</v>
      </c>
      <c r="JB3" s="41" t="s">
        <v>99</v>
      </c>
      <c r="JC3" s="41" t="s">
        <v>99</v>
      </c>
      <c r="JD3" s="41" t="s">
        <v>99</v>
      </c>
      <c r="JE3" s="41" t="s">
        <v>99</v>
      </c>
      <c r="JF3" s="41" t="s">
        <v>99</v>
      </c>
      <c r="JG3" s="41" t="s">
        <v>99</v>
      </c>
      <c r="JH3" s="41" t="s">
        <v>99</v>
      </c>
      <c r="JI3" s="41" t="s">
        <v>99</v>
      </c>
      <c r="JJ3" s="41" t="s">
        <v>99</v>
      </c>
      <c r="JK3" s="41" t="s">
        <v>99</v>
      </c>
      <c r="JL3" s="41" t="s">
        <v>99</v>
      </c>
      <c r="JM3" s="41" t="s">
        <v>99</v>
      </c>
      <c r="JN3" s="41" t="s">
        <v>99</v>
      </c>
      <c r="JO3" s="41" t="s">
        <v>99</v>
      </c>
      <c r="JP3" s="41" t="s">
        <v>99</v>
      </c>
      <c r="JQ3" s="41" t="s">
        <v>99</v>
      </c>
      <c r="JR3" s="41" t="s">
        <v>99</v>
      </c>
      <c r="JS3" s="41" t="s">
        <v>99</v>
      </c>
      <c r="JT3" s="41" t="s">
        <v>99</v>
      </c>
      <c r="JU3" s="41" t="s">
        <v>99</v>
      </c>
      <c r="JV3" s="133" t="s">
        <v>101</v>
      </c>
      <c r="JW3" s="133" t="s">
        <v>101</v>
      </c>
      <c r="JX3" s="133" t="s">
        <v>101</v>
      </c>
      <c r="JY3" s="133" t="s">
        <v>101</v>
      </c>
      <c r="JZ3" s="133" t="s">
        <v>101</v>
      </c>
      <c r="KA3" s="133" t="s">
        <v>101</v>
      </c>
      <c r="KB3" s="133" t="s">
        <v>101</v>
      </c>
      <c r="KC3" s="133" t="s">
        <v>101</v>
      </c>
      <c r="KD3" s="133" t="s">
        <v>101</v>
      </c>
      <c r="KE3" s="133" t="s">
        <v>101</v>
      </c>
      <c r="KF3" s="133" t="s">
        <v>101</v>
      </c>
      <c r="KG3" s="133" t="s">
        <v>101</v>
      </c>
      <c r="KH3" s="133" t="s">
        <v>101</v>
      </c>
      <c r="KI3" s="133" t="s">
        <v>101</v>
      </c>
    </row>
    <row r="4" spans="1:295" ht="12" thickBot="1" x14ac:dyDescent="0.25">
      <c r="C4" s="101" t="s">
        <v>102</v>
      </c>
      <c r="D4" s="135">
        <v>37073</v>
      </c>
      <c r="E4" s="135">
        <v>37104</v>
      </c>
      <c r="F4" s="135">
        <v>37135</v>
      </c>
      <c r="G4" s="135">
        <v>37165</v>
      </c>
      <c r="H4" s="135">
        <v>37196</v>
      </c>
      <c r="I4" s="135">
        <v>37226</v>
      </c>
      <c r="J4" s="135">
        <v>37257</v>
      </c>
      <c r="K4" s="135">
        <v>37288</v>
      </c>
      <c r="L4" s="135">
        <v>37316</v>
      </c>
      <c r="M4" s="135">
        <v>37347</v>
      </c>
      <c r="N4" s="135">
        <v>37377</v>
      </c>
      <c r="O4" s="135">
        <v>37408</v>
      </c>
      <c r="P4" s="135">
        <v>37438</v>
      </c>
      <c r="Q4" s="135">
        <v>37469</v>
      </c>
      <c r="R4" s="135">
        <v>37500</v>
      </c>
      <c r="S4" s="135">
        <v>37530</v>
      </c>
      <c r="T4" s="135">
        <v>37561</v>
      </c>
      <c r="U4" s="135">
        <v>37591</v>
      </c>
      <c r="V4" s="135">
        <v>37622</v>
      </c>
      <c r="W4" s="135">
        <v>37653</v>
      </c>
      <c r="X4" s="135">
        <v>37681</v>
      </c>
      <c r="Y4" s="135">
        <v>37712</v>
      </c>
      <c r="Z4" s="135">
        <v>37742</v>
      </c>
      <c r="AA4" s="135">
        <v>37773</v>
      </c>
      <c r="AB4" s="135">
        <v>37805</v>
      </c>
      <c r="AC4" s="135">
        <v>37836</v>
      </c>
      <c r="AD4" s="135">
        <v>37867</v>
      </c>
      <c r="AE4" s="135">
        <v>37897</v>
      </c>
      <c r="AF4" s="135">
        <v>37928</v>
      </c>
      <c r="AG4" s="135">
        <v>37958</v>
      </c>
      <c r="AH4" s="135">
        <v>37989</v>
      </c>
      <c r="AI4" s="135">
        <v>38020</v>
      </c>
      <c r="AJ4" s="135">
        <v>38049</v>
      </c>
      <c r="AK4" s="135">
        <v>38080</v>
      </c>
      <c r="AL4" s="135">
        <v>38110</v>
      </c>
      <c r="AM4" s="135">
        <v>38141</v>
      </c>
      <c r="AN4" s="135">
        <v>38171</v>
      </c>
      <c r="AO4" s="135">
        <v>38202</v>
      </c>
      <c r="AP4" s="135">
        <v>38233</v>
      </c>
      <c r="AQ4" s="135">
        <v>38263</v>
      </c>
      <c r="AR4" s="135">
        <v>38294</v>
      </c>
      <c r="AS4" s="135">
        <v>38324</v>
      </c>
      <c r="AT4" s="135">
        <v>38355</v>
      </c>
      <c r="AU4" s="135">
        <v>38386</v>
      </c>
      <c r="AV4" s="135">
        <v>38414</v>
      </c>
      <c r="AW4" s="135">
        <v>38445</v>
      </c>
      <c r="AX4" s="135">
        <v>38475</v>
      </c>
      <c r="AY4" s="135">
        <v>38504</v>
      </c>
      <c r="AZ4" s="135">
        <v>38534</v>
      </c>
      <c r="BA4" s="135">
        <v>38565</v>
      </c>
      <c r="BB4" s="135">
        <v>38596</v>
      </c>
      <c r="BC4" s="135">
        <v>38626</v>
      </c>
      <c r="BD4" s="135">
        <v>38657</v>
      </c>
      <c r="BE4" s="135">
        <v>38687</v>
      </c>
      <c r="BF4" s="135">
        <v>38718</v>
      </c>
      <c r="BG4" s="135">
        <v>38749</v>
      </c>
      <c r="BH4" s="135">
        <v>38777</v>
      </c>
      <c r="BI4" s="135">
        <v>38808</v>
      </c>
      <c r="BJ4" s="135">
        <v>38838</v>
      </c>
      <c r="BK4" s="135">
        <v>38869</v>
      </c>
      <c r="BL4" s="135">
        <v>38899</v>
      </c>
      <c r="BM4" s="135">
        <v>38930</v>
      </c>
      <c r="BN4" s="135">
        <v>38961</v>
      </c>
      <c r="BO4" s="135">
        <v>38991</v>
      </c>
      <c r="BP4" s="135">
        <v>39022</v>
      </c>
      <c r="BQ4" s="135">
        <v>39052</v>
      </c>
      <c r="BR4" s="135">
        <v>39083</v>
      </c>
      <c r="BS4" s="135">
        <v>39114</v>
      </c>
      <c r="BT4" s="135">
        <v>39142</v>
      </c>
      <c r="BU4" s="135">
        <v>39173</v>
      </c>
      <c r="BV4" s="135">
        <v>39203</v>
      </c>
      <c r="BW4" s="135">
        <v>39234</v>
      </c>
      <c r="BX4" s="135">
        <v>39264</v>
      </c>
      <c r="BY4" s="135">
        <v>39295</v>
      </c>
      <c r="BZ4" s="135">
        <v>39326</v>
      </c>
      <c r="CA4" s="135">
        <v>39356</v>
      </c>
      <c r="CB4" s="135">
        <v>39387</v>
      </c>
      <c r="CC4" s="135">
        <v>39417</v>
      </c>
      <c r="CD4" s="135">
        <v>39448</v>
      </c>
      <c r="CE4" s="135">
        <v>39479</v>
      </c>
      <c r="CF4" s="135">
        <v>39508</v>
      </c>
      <c r="CG4" s="135">
        <v>39539</v>
      </c>
      <c r="CH4" s="135">
        <v>39569</v>
      </c>
      <c r="CI4" s="135">
        <v>39600</v>
      </c>
      <c r="CJ4" s="135">
        <v>39630</v>
      </c>
      <c r="CK4" s="135">
        <v>39661</v>
      </c>
      <c r="CL4" s="135">
        <v>39692</v>
      </c>
      <c r="CM4" s="135">
        <v>39722</v>
      </c>
      <c r="CN4" s="135">
        <v>39753</v>
      </c>
      <c r="CO4" s="135">
        <v>39783</v>
      </c>
      <c r="CP4" s="135">
        <v>39814</v>
      </c>
      <c r="CQ4" s="135">
        <v>39845</v>
      </c>
      <c r="CR4" s="135">
        <v>39873</v>
      </c>
      <c r="CS4" s="135">
        <v>39904</v>
      </c>
      <c r="CT4" s="135">
        <v>39934</v>
      </c>
      <c r="CU4" s="135">
        <v>39965</v>
      </c>
      <c r="CV4" s="135">
        <v>39995</v>
      </c>
      <c r="CW4" s="135">
        <v>40026</v>
      </c>
      <c r="CX4" s="135">
        <v>40057</v>
      </c>
      <c r="CY4" s="135">
        <v>40087</v>
      </c>
      <c r="CZ4" s="135">
        <v>40118</v>
      </c>
      <c r="DA4" s="135">
        <v>40148</v>
      </c>
      <c r="DB4" s="135">
        <v>40179</v>
      </c>
      <c r="DC4" s="135">
        <v>40210</v>
      </c>
      <c r="DD4" s="135">
        <v>40238</v>
      </c>
      <c r="DE4" s="135">
        <v>40269</v>
      </c>
      <c r="DF4" s="135">
        <v>40299</v>
      </c>
      <c r="DG4" s="135">
        <v>40330</v>
      </c>
      <c r="DH4" s="135">
        <v>40360</v>
      </c>
      <c r="DI4" s="135">
        <v>40391</v>
      </c>
      <c r="DJ4" s="135">
        <v>40422</v>
      </c>
      <c r="DK4" s="135">
        <v>40452</v>
      </c>
      <c r="DL4" s="135">
        <v>40483</v>
      </c>
      <c r="DM4" s="135">
        <v>40513</v>
      </c>
      <c r="DN4" s="135">
        <v>40544</v>
      </c>
      <c r="DO4" s="135">
        <v>40575</v>
      </c>
      <c r="DP4" s="135">
        <v>40603</v>
      </c>
      <c r="DQ4" s="135">
        <v>40634</v>
      </c>
      <c r="DR4" s="135">
        <v>40664</v>
      </c>
      <c r="DS4" s="135">
        <v>40695</v>
      </c>
      <c r="DT4" s="135">
        <v>40725</v>
      </c>
      <c r="DU4" s="135">
        <v>40756</v>
      </c>
      <c r="DV4" s="135">
        <v>40787</v>
      </c>
      <c r="DW4" s="135">
        <v>40817</v>
      </c>
      <c r="DX4" s="135">
        <v>40848</v>
      </c>
      <c r="DY4" s="135">
        <v>40878</v>
      </c>
      <c r="DZ4" s="135">
        <v>40909</v>
      </c>
      <c r="EA4" s="135">
        <v>40940</v>
      </c>
      <c r="EB4" s="135">
        <v>40969</v>
      </c>
      <c r="EC4" s="135">
        <v>41000</v>
      </c>
      <c r="ED4" s="135">
        <v>41030</v>
      </c>
      <c r="EE4" s="135">
        <v>41061</v>
      </c>
      <c r="EF4" s="135">
        <v>41091</v>
      </c>
      <c r="EG4" s="135">
        <v>41122</v>
      </c>
      <c r="EH4" s="135">
        <v>41153</v>
      </c>
      <c r="EI4" s="135">
        <v>41183</v>
      </c>
      <c r="EJ4" s="135">
        <v>41214</v>
      </c>
      <c r="EK4" s="135">
        <v>41244</v>
      </c>
      <c r="EL4" s="135">
        <v>41275</v>
      </c>
      <c r="EM4" s="135">
        <v>41306</v>
      </c>
      <c r="EN4" s="135">
        <v>41334</v>
      </c>
      <c r="EO4" s="135">
        <v>41365</v>
      </c>
      <c r="EP4" s="135">
        <v>41395</v>
      </c>
      <c r="EQ4" s="135">
        <v>41426</v>
      </c>
      <c r="ER4" s="135">
        <v>41456</v>
      </c>
      <c r="ES4" s="135">
        <v>41487</v>
      </c>
      <c r="ET4" s="135">
        <v>41518</v>
      </c>
      <c r="EU4" s="135">
        <v>41548</v>
      </c>
      <c r="EV4" s="135">
        <v>41579</v>
      </c>
      <c r="EW4" s="135">
        <v>41609</v>
      </c>
      <c r="EX4" s="135">
        <v>41640</v>
      </c>
      <c r="EY4" s="135">
        <v>41671</v>
      </c>
      <c r="EZ4" s="135">
        <v>41699</v>
      </c>
      <c r="FA4" s="135">
        <v>41730</v>
      </c>
      <c r="FB4" s="135">
        <v>41760</v>
      </c>
      <c r="FC4" s="135">
        <v>41791</v>
      </c>
      <c r="FD4" s="135">
        <v>41821</v>
      </c>
      <c r="FE4" s="135">
        <v>41852</v>
      </c>
      <c r="FF4" s="135">
        <v>41883</v>
      </c>
      <c r="FG4" s="135">
        <v>41913</v>
      </c>
      <c r="FH4" s="135">
        <v>41944</v>
      </c>
      <c r="FI4" s="135">
        <v>41974</v>
      </c>
      <c r="FJ4" s="135">
        <v>42005</v>
      </c>
      <c r="FK4" s="135">
        <v>42036</v>
      </c>
      <c r="FL4" s="135">
        <v>42064</v>
      </c>
      <c r="FM4" s="135">
        <v>42095</v>
      </c>
      <c r="FN4" s="135">
        <v>42125</v>
      </c>
      <c r="FO4" s="135">
        <v>42156</v>
      </c>
      <c r="FP4" s="135">
        <v>42186</v>
      </c>
      <c r="FQ4" s="135">
        <v>42217</v>
      </c>
      <c r="FR4" s="135">
        <v>42248</v>
      </c>
      <c r="FS4" s="135">
        <v>42278</v>
      </c>
      <c r="FT4" s="135">
        <v>42309</v>
      </c>
      <c r="FU4" s="135">
        <v>42339</v>
      </c>
      <c r="FV4" s="135">
        <v>42370</v>
      </c>
      <c r="FW4" s="135">
        <v>42401</v>
      </c>
      <c r="FX4" s="135">
        <v>42430</v>
      </c>
      <c r="FY4" s="135">
        <v>42461</v>
      </c>
      <c r="FZ4" s="135">
        <v>42491</v>
      </c>
      <c r="GA4" s="135">
        <v>42522</v>
      </c>
      <c r="GB4" s="135">
        <v>42552</v>
      </c>
      <c r="GC4" s="135">
        <v>42583</v>
      </c>
      <c r="GD4" s="135">
        <v>42614</v>
      </c>
      <c r="GE4" s="135">
        <v>42644</v>
      </c>
      <c r="GF4" s="135">
        <v>42675</v>
      </c>
      <c r="GG4" s="135">
        <v>42705</v>
      </c>
      <c r="GH4" s="135">
        <v>42736</v>
      </c>
      <c r="GI4" s="135">
        <v>42767</v>
      </c>
      <c r="GJ4" s="135">
        <v>42795</v>
      </c>
      <c r="GK4" s="135">
        <v>42826</v>
      </c>
      <c r="GL4" s="135">
        <v>42856</v>
      </c>
      <c r="GM4" s="135">
        <v>42887</v>
      </c>
      <c r="GN4" s="135">
        <v>42917</v>
      </c>
      <c r="GO4" s="135">
        <v>42948</v>
      </c>
      <c r="GP4" s="135">
        <v>42979</v>
      </c>
      <c r="GQ4" s="135">
        <v>43009</v>
      </c>
      <c r="GR4" s="135">
        <v>43040</v>
      </c>
      <c r="GS4" s="135">
        <v>43070</v>
      </c>
      <c r="GT4" s="135">
        <v>43101</v>
      </c>
      <c r="GU4" s="135">
        <v>43132</v>
      </c>
      <c r="GV4" s="135">
        <v>43160</v>
      </c>
      <c r="GW4" s="135">
        <v>43191</v>
      </c>
      <c r="GX4" s="135">
        <v>43221</v>
      </c>
      <c r="GY4" s="135">
        <v>43252</v>
      </c>
      <c r="GZ4" s="135">
        <v>43282</v>
      </c>
      <c r="HA4" s="135">
        <v>43313</v>
      </c>
      <c r="HB4" s="135">
        <v>43344</v>
      </c>
      <c r="HC4" s="135">
        <v>43374</v>
      </c>
      <c r="HD4" s="135">
        <v>43405</v>
      </c>
      <c r="HE4" s="135">
        <v>43435</v>
      </c>
      <c r="HF4" s="135">
        <v>43466</v>
      </c>
      <c r="HG4" s="135">
        <v>43497</v>
      </c>
      <c r="HH4" s="135">
        <v>43525</v>
      </c>
      <c r="HI4" s="135">
        <v>43556</v>
      </c>
      <c r="HJ4" s="135">
        <v>43586</v>
      </c>
      <c r="HK4" s="135">
        <v>43617</v>
      </c>
      <c r="HL4" s="135">
        <v>43647</v>
      </c>
      <c r="HM4" s="135">
        <v>43678</v>
      </c>
      <c r="HN4" s="135">
        <v>43709</v>
      </c>
      <c r="HO4" s="135">
        <v>43739</v>
      </c>
      <c r="HP4" s="135">
        <v>43770</v>
      </c>
      <c r="HQ4" s="135">
        <v>43800</v>
      </c>
      <c r="HR4" s="135">
        <v>43831</v>
      </c>
      <c r="HS4" s="135">
        <v>43862</v>
      </c>
      <c r="HT4" s="135">
        <v>43891</v>
      </c>
      <c r="HU4" s="135">
        <v>43922</v>
      </c>
      <c r="HV4" s="135">
        <v>43952</v>
      </c>
      <c r="HW4" s="135">
        <v>43983</v>
      </c>
      <c r="HX4" s="135">
        <v>44013</v>
      </c>
      <c r="HY4" s="135">
        <v>44044</v>
      </c>
      <c r="HZ4" s="135">
        <v>44075</v>
      </c>
      <c r="IA4" s="135">
        <v>44105</v>
      </c>
      <c r="IB4" s="135">
        <v>44136</v>
      </c>
      <c r="IC4" s="135">
        <v>44166</v>
      </c>
      <c r="ID4" s="135">
        <v>44197</v>
      </c>
      <c r="IE4" s="135">
        <v>44228</v>
      </c>
      <c r="IF4" s="135">
        <v>44256</v>
      </c>
      <c r="IG4" s="135">
        <v>44287</v>
      </c>
      <c r="IH4" s="135">
        <v>44317</v>
      </c>
      <c r="II4" s="135">
        <v>44348</v>
      </c>
      <c r="IJ4" s="135">
        <v>44378</v>
      </c>
      <c r="IK4" s="135">
        <v>44409</v>
      </c>
      <c r="IL4" s="136">
        <v>44440</v>
      </c>
      <c r="IM4" s="136">
        <v>44470</v>
      </c>
      <c r="IN4" s="136">
        <v>44501</v>
      </c>
      <c r="IO4" s="136">
        <v>44531</v>
      </c>
      <c r="IP4" s="136">
        <v>44562</v>
      </c>
      <c r="IQ4" s="136">
        <v>44593</v>
      </c>
      <c r="IR4" s="136">
        <v>44621</v>
      </c>
      <c r="IS4" s="136">
        <v>44652</v>
      </c>
      <c r="IT4" s="136">
        <v>44682</v>
      </c>
      <c r="IU4" s="136">
        <v>44713</v>
      </c>
      <c r="IV4" s="136">
        <v>44743</v>
      </c>
      <c r="IW4" s="136">
        <v>44774</v>
      </c>
      <c r="IX4" s="136">
        <v>44805</v>
      </c>
      <c r="IY4" s="136">
        <v>44835</v>
      </c>
      <c r="IZ4" s="136">
        <v>44866</v>
      </c>
      <c r="JA4" s="136">
        <v>44896</v>
      </c>
      <c r="JB4" s="136">
        <v>44927</v>
      </c>
      <c r="JC4" s="136">
        <v>44958</v>
      </c>
      <c r="JD4" s="136">
        <v>44986</v>
      </c>
      <c r="JE4" s="136">
        <v>45017</v>
      </c>
      <c r="JF4" s="136">
        <v>45047</v>
      </c>
      <c r="JG4" s="136">
        <v>45078</v>
      </c>
      <c r="JH4" s="136">
        <v>45108</v>
      </c>
      <c r="JI4" s="136">
        <v>45139</v>
      </c>
      <c r="JJ4" s="137">
        <v>45170</v>
      </c>
      <c r="JK4" s="137">
        <v>45200</v>
      </c>
      <c r="JL4" s="137">
        <v>45231</v>
      </c>
      <c r="JM4" s="137">
        <v>45261</v>
      </c>
      <c r="JN4" s="137">
        <v>45292</v>
      </c>
      <c r="JO4" s="137">
        <v>45323</v>
      </c>
      <c r="JP4" s="137">
        <v>45352</v>
      </c>
      <c r="JQ4" s="137">
        <v>45383</v>
      </c>
      <c r="JR4" s="137">
        <v>45413</v>
      </c>
      <c r="JS4" s="137">
        <v>45444</v>
      </c>
      <c r="JT4" s="137">
        <v>45474</v>
      </c>
      <c r="JU4" s="137">
        <v>45505</v>
      </c>
      <c r="JV4" s="137">
        <v>45536</v>
      </c>
      <c r="JW4" s="137">
        <v>45566</v>
      </c>
      <c r="JX4" s="137">
        <v>45597</v>
      </c>
      <c r="JY4" s="137">
        <v>45627</v>
      </c>
      <c r="JZ4" s="137">
        <v>45658</v>
      </c>
      <c r="KA4" s="137">
        <v>45689</v>
      </c>
      <c r="KB4" s="137">
        <v>45717</v>
      </c>
      <c r="KC4" s="137">
        <v>45748</v>
      </c>
      <c r="KD4" s="137">
        <v>45778</v>
      </c>
      <c r="KE4" s="137">
        <v>45809</v>
      </c>
      <c r="KF4" s="137">
        <v>45839</v>
      </c>
      <c r="KG4" s="137">
        <v>45870</v>
      </c>
      <c r="KH4" s="137">
        <v>45901</v>
      </c>
      <c r="KI4" s="137">
        <v>45931</v>
      </c>
    </row>
    <row r="5" spans="1:295" x14ac:dyDescent="0.2">
      <c r="A5" s="23" t="s">
        <v>103</v>
      </c>
      <c r="C5" s="24">
        <v>19100152</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38"/>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c r="IW5" s="127"/>
      <c r="IX5" s="127"/>
      <c r="IY5" s="127"/>
      <c r="IZ5" s="127"/>
      <c r="JA5" s="127"/>
      <c r="JB5" s="127"/>
      <c r="JC5" s="127"/>
      <c r="JD5" s="127"/>
      <c r="JE5" s="127"/>
      <c r="JF5" s="127"/>
      <c r="JG5" s="127"/>
      <c r="JH5" s="127"/>
      <c r="JI5" s="127"/>
      <c r="JJ5" s="127"/>
      <c r="JK5" s="127"/>
      <c r="JL5" s="127"/>
      <c r="JM5" s="127"/>
      <c r="JN5" s="127"/>
      <c r="JO5" s="127"/>
      <c r="JP5" s="127"/>
      <c r="JQ5" s="127"/>
      <c r="JR5" s="127"/>
      <c r="JS5" s="127"/>
      <c r="JT5" s="127"/>
      <c r="JU5" s="127"/>
      <c r="JV5" s="627"/>
      <c r="JW5" s="628"/>
      <c r="JX5" s="628"/>
      <c r="JY5" s="628"/>
      <c r="JZ5" s="628"/>
      <c r="KA5" s="628"/>
      <c r="KB5" s="628"/>
      <c r="KC5" s="628"/>
      <c r="KD5" s="628"/>
      <c r="KE5" s="628"/>
      <c r="KF5" s="628"/>
      <c r="KG5" s="628"/>
      <c r="KH5" s="628"/>
      <c r="KI5" s="629"/>
    </row>
    <row r="6" spans="1:295" x14ac:dyDescent="0.2">
      <c r="B6" s="24" t="s">
        <v>104</v>
      </c>
      <c r="D6" s="50"/>
      <c r="E6" s="50"/>
      <c r="F6" s="50"/>
      <c r="G6" s="50"/>
      <c r="H6" s="50"/>
      <c r="I6" s="50"/>
      <c r="J6" s="50"/>
      <c r="K6" s="50"/>
      <c r="L6" s="50"/>
      <c r="M6" s="50"/>
      <c r="N6" s="50"/>
      <c r="O6" s="50"/>
      <c r="P6" s="50"/>
      <c r="Q6" s="50"/>
      <c r="R6" s="50"/>
      <c r="S6" s="50"/>
      <c r="T6" s="50"/>
      <c r="U6" s="50"/>
      <c r="V6" s="50"/>
      <c r="W6" s="50"/>
      <c r="X6" s="50"/>
      <c r="Y6" s="50"/>
      <c r="Z6" s="50"/>
      <c r="AA6" s="50"/>
      <c r="AB6" s="50"/>
      <c r="AC6" s="114"/>
      <c r="AD6" s="50"/>
      <c r="AE6" s="114">
        <v>-1126096.29</v>
      </c>
      <c r="AF6" s="50">
        <f t="shared" ref="AF6:AP6" si="1">ROUND(+AE12,2)</f>
        <v>4449982.3899999997</v>
      </c>
      <c r="AG6" s="50">
        <f t="shared" si="1"/>
        <v>3802815.65</v>
      </c>
      <c r="AH6" s="50">
        <f t="shared" si="1"/>
        <v>3111565.34</v>
      </c>
      <c r="AI6" s="50">
        <f t="shared" si="1"/>
        <v>2364217.3199999998</v>
      </c>
      <c r="AJ6" s="50">
        <f t="shared" si="1"/>
        <v>1761877.23</v>
      </c>
      <c r="AK6" s="50">
        <f t="shared" si="1"/>
        <v>1269914.73</v>
      </c>
      <c r="AL6" s="50">
        <f t="shared" si="1"/>
        <v>996069.21</v>
      </c>
      <c r="AM6" s="50">
        <f t="shared" si="1"/>
        <v>773946.05</v>
      </c>
      <c r="AN6" s="50">
        <f t="shared" si="1"/>
        <v>618568.95999999996</v>
      </c>
      <c r="AO6" s="50">
        <f t="shared" si="1"/>
        <v>488557.3</v>
      </c>
      <c r="AP6" s="50">
        <f t="shared" si="1"/>
        <v>344561.77</v>
      </c>
      <c r="AQ6" s="50">
        <f>AP12</f>
        <v>155887.6</v>
      </c>
      <c r="AR6" s="50">
        <f t="shared" ref="AR6:DC6" si="2">ROUND(+AQ12,2)</f>
        <v>5173374.72</v>
      </c>
      <c r="AS6" s="50">
        <f t="shared" si="2"/>
        <v>4551586.37</v>
      </c>
      <c r="AT6" s="50">
        <f t="shared" si="2"/>
        <v>3782238.7</v>
      </c>
      <c r="AU6" s="50">
        <f t="shared" si="2"/>
        <v>2933073.71</v>
      </c>
      <c r="AV6" s="50">
        <f t="shared" si="2"/>
        <v>2247512.11</v>
      </c>
      <c r="AW6" s="50">
        <f t="shared" si="2"/>
        <v>1756907.22</v>
      </c>
      <c r="AX6" s="50">
        <f t="shared" si="2"/>
        <v>1311158.02</v>
      </c>
      <c r="AY6" s="50">
        <f t="shared" si="2"/>
        <v>1068812.3400000001</v>
      </c>
      <c r="AZ6" s="127">
        <f t="shared" si="2"/>
        <v>858885.25</v>
      </c>
      <c r="BA6" s="127">
        <f t="shared" si="2"/>
        <v>696132.42</v>
      </c>
      <c r="BB6" s="127">
        <f t="shared" si="2"/>
        <v>524361.97</v>
      </c>
      <c r="BC6" s="127">
        <f t="shared" si="2"/>
        <v>307396.25</v>
      </c>
      <c r="BD6" s="127">
        <f t="shared" si="2"/>
        <v>8567294.9499999993</v>
      </c>
      <c r="BE6" s="127">
        <f t="shared" si="2"/>
        <v>7431759.2000000002</v>
      </c>
      <c r="BF6" s="127">
        <f t="shared" si="2"/>
        <v>6076922.4800000004</v>
      </c>
      <c r="BG6" s="127">
        <f t="shared" si="2"/>
        <v>4850964.99</v>
      </c>
      <c r="BH6" s="127">
        <f t="shared" si="2"/>
        <v>3594400.36</v>
      </c>
      <c r="BI6" s="127">
        <f t="shared" si="2"/>
        <v>2518180.52</v>
      </c>
      <c r="BJ6" s="127">
        <f t="shared" si="2"/>
        <v>1778082.28</v>
      </c>
      <c r="BK6" s="127">
        <f t="shared" si="2"/>
        <v>1306994.52</v>
      </c>
      <c r="BL6" s="127">
        <f t="shared" si="2"/>
        <v>1001532.46</v>
      </c>
      <c r="BM6" s="127">
        <f t="shared" si="2"/>
        <v>751971.71</v>
      </c>
      <c r="BN6" s="127">
        <f t="shared" si="2"/>
        <v>492807.83</v>
      </c>
      <c r="BO6" s="127">
        <f t="shared" si="2"/>
        <v>162006.96</v>
      </c>
      <c r="BP6" s="127">
        <f t="shared" si="2"/>
        <v>12177348.91</v>
      </c>
      <c r="BQ6" s="127">
        <f t="shared" si="2"/>
        <v>11457390.130000001</v>
      </c>
      <c r="BR6" s="127">
        <f t="shared" si="2"/>
        <v>10551887.220000001</v>
      </c>
      <c r="BS6" s="127">
        <f t="shared" si="2"/>
        <v>9512713.6899999995</v>
      </c>
      <c r="BT6" s="127">
        <f t="shared" si="2"/>
        <v>8775759.9600000009</v>
      </c>
      <c r="BU6" s="127">
        <f t="shared" si="2"/>
        <v>8131839.3499999996</v>
      </c>
      <c r="BV6" s="127">
        <f t="shared" si="2"/>
        <v>7647849.5700000003</v>
      </c>
      <c r="BW6" s="127">
        <f t="shared" si="2"/>
        <v>7331648.1699999999</v>
      </c>
      <c r="BX6" s="127">
        <f t="shared" si="2"/>
        <v>7119817.9800000004</v>
      </c>
      <c r="BY6" s="127">
        <f t="shared" si="2"/>
        <v>6976428.5499999998</v>
      </c>
      <c r="BZ6" s="127">
        <f t="shared" si="2"/>
        <v>6817930.0599999996</v>
      </c>
      <c r="CA6" s="127">
        <f t="shared" si="2"/>
        <v>6586391.9299999997</v>
      </c>
      <c r="CB6" s="127">
        <f t="shared" si="2"/>
        <v>12599777.58</v>
      </c>
      <c r="CC6" s="127">
        <f>ROUND(+CB12,2)</f>
        <v>11080059.08</v>
      </c>
      <c r="CD6" s="127">
        <f>ROUND(+CC12,2)</f>
        <v>9003266.25</v>
      </c>
      <c r="CE6" s="127">
        <f t="shared" si="2"/>
        <v>6708889.3899999997</v>
      </c>
      <c r="CF6" s="127">
        <f t="shared" si="2"/>
        <v>4959375.1900000004</v>
      </c>
      <c r="CG6" s="127">
        <f t="shared" si="2"/>
        <v>3186254.52</v>
      </c>
      <c r="CH6" s="127">
        <f t="shared" si="2"/>
        <v>1788742.68</v>
      </c>
      <c r="CI6" s="127">
        <f t="shared" si="2"/>
        <v>991710.03</v>
      </c>
      <c r="CJ6" s="127">
        <f t="shared" si="2"/>
        <v>317767.24</v>
      </c>
      <c r="CK6" s="127">
        <f t="shared" si="2"/>
        <v>-98637.45</v>
      </c>
      <c r="CL6" s="127">
        <f t="shared" si="2"/>
        <v>-597367.19999999995</v>
      </c>
      <c r="CM6" s="138">
        <f t="shared" si="2"/>
        <v>-1102193.77</v>
      </c>
      <c r="CN6" s="127">
        <f t="shared" si="2"/>
        <v>6768618.6500000004</v>
      </c>
      <c r="CO6" s="127">
        <f t="shared" si="2"/>
        <v>6093860.4299999997</v>
      </c>
      <c r="CP6" s="127">
        <f t="shared" si="2"/>
        <v>4835239.6100000003</v>
      </c>
      <c r="CQ6" s="127">
        <f t="shared" si="2"/>
        <v>3691078.81</v>
      </c>
      <c r="CR6" s="127">
        <f t="shared" si="2"/>
        <v>2769704.31</v>
      </c>
      <c r="CS6" s="127">
        <f t="shared" si="2"/>
        <v>1822588.59</v>
      </c>
      <c r="CT6" s="127">
        <f t="shared" si="2"/>
        <v>1214743.29</v>
      </c>
      <c r="CU6" s="127">
        <f t="shared" si="2"/>
        <v>835515.83</v>
      </c>
      <c r="CV6" s="127">
        <f t="shared" si="2"/>
        <v>627316.38</v>
      </c>
      <c r="CW6" s="127">
        <f t="shared" si="2"/>
        <v>440468.45</v>
      </c>
      <c r="CX6" s="127">
        <f t="shared" si="2"/>
        <v>209330.4</v>
      </c>
      <c r="CY6" s="127">
        <f t="shared" si="2"/>
        <v>-21449.75</v>
      </c>
      <c r="CZ6" s="127">
        <f t="shared" si="2"/>
        <v>7565252.5099999998</v>
      </c>
      <c r="DA6" s="127">
        <f t="shared" si="2"/>
        <v>6686232.6699999999</v>
      </c>
      <c r="DB6" s="127">
        <f t="shared" si="2"/>
        <v>5260293.78</v>
      </c>
      <c r="DC6" s="127">
        <f t="shared" si="2"/>
        <v>4279550.9400000004</v>
      </c>
      <c r="DD6" s="127">
        <f t="shared" ref="DD6:DI6" si="3">ROUND(+DC12,2)</f>
        <v>3450473.07</v>
      </c>
      <c r="DE6" s="127">
        <f t="shared" si="3"/>
        <v>2569740.19</v>
      </c>
      <c r="DF6" s="127">
        <f t="shared" si="3"/>
        <v>1877235.38</v>
      </c>
      <c r="DG6" s="127">
        <f t="shared" si="3"/>
        <v>1342657.64</v>
      </c>
      <c r="DH6" s="127">
        <f>ROUND(+DG12,2)</f>
        <v>997672.74</v>
      </c>
      <c r="DI6" s="127">
        <f t="shared" si="3"/>
        <v>739491.14</v>
      </c>
      <c r="DJ6" s="127">
        <f>ROUND(+DI12,2)</f>
        <v>453541.68</v>
      </c>
      <c r="DK6" s="127">
        <f t="shared" ref="DK6:ES6" si="4">ROUND(+DJ12,2)</f>
        <v>164812.59</v>
      </c>
      <c r="DL6" s="139">
        <f t="shared" si="4"/>
        <v>-393678.7</v>
      </c>
      <c r="DM6" s="139">
        <f t="shared" si="4"/>
        <v>13894960.859999999</v>
      </c>
      <c r="DN6" s="139">
        <f t="shared" si="4"/>
        <v>11795689.779999999</v>
      </c>
      <c r="DO6" s="139">
        <f t="shared" si="4"/>
        <v>9569175.0500000007</v>
      </c>
      <c r="DP6" s="139">
        <f t="shared" si="4"/>
        <v>7420415.1799999997</v>
      </c>
      <c r="DQ6" s="139">
        <f t="shared" si="4"/>
        <v>5587456.4299999997</v>
      </c>
      <c r="DR6" s="139">
        <f t="shared" si="4"/>
        <v>3965662.14</v>
      </c>
      <c r="DS6" s="139">
        <f t="shared" si="4"/>
        <v>2970262.41</v>
      </c>
      <c r="DT6" s="139">
        <f t="shared" si="4"/>
        <v>2336428.9700000002</v>
      </c>
      <c r="DU6" s="139">
        <f t="shared" si="4"/>
        <v>1856244.23</v>
      </c>
      <c r="DV6" s="139">
        <f t="shared" si="4"/>
        <v>1264564.93</v>
      </c>
      <c r="DW6" s="139">
        <f t="shared" si="4"/>
        <v>790706.14</v>
      </c>
      <c r="DX6" s="139">
        <f t="shared" si="4"/>
        <v>-281646.26</v>
      </c>
      <c r="DY6" s="139">
        <f t="shared" si="4"/>
        <v>-522225.32</v>
      </c>
      <c r="DZ6" s="139">
        <f t="shared" si="4"/>
        <v>-473468.91</v>
      </c>
      <c r="EA6" s="139">
        <f t="shared" si="4"/>
        <v>-420360.36</v>
      </c>
      <c r="EB6" s="139">
        <f t="shared" si="4"/>
        <v>-377453.96</v>
      </c>
      <c r="EC6" s="139">
        <f t="shared" si="4"/>
        <v>-327947.40000000002</v>
      </c>
      <c r="ED6" s="139">
        <f t="shared" si="4"/>
        <v>-303155.31</v>
      </c>
      <c r="EE6" s="139">
        <f t="shared" si="4"/>
        <v>-285587.42</v>
      </c>
      <c r="EF6" s="139">
        <f t="shared" si="4"/>
        <v>-272739.3</v>
      </c>
      <c r="EG6" s="139">
        <f t="shared" si="4"/>
        <v>-258570.52</v>
      </c>
      <c r="EH6" s="139">
        <f t="shared" si="4"/>
        <v>-245672.17</v>
      </c>
      <c r="EI6" s="139">
        <f t="shared" si="4"/>
        <v>-233981.52</v>
      </c>
      <c r="EJ6" s="139">
        <f t="shared" si="4"/>
        <v>-209907.69</v>
      </c>
      <c r="EK6" s="139">
        <f t="shared" si="4"/>
        <v>-188462.61</v>
      </c>
      <c r="EL6" s="139">
        <f t="shared" si="4"/>
        <v>-161616.75</v>
      </c>
      <c r="EM6" s="139">
        <f t="shared" si="4"/>
        <v>-142961.97</v>
      </c>
      <c r="EN6" s="139">
        <f t="shared" si="4"/>
        <v>-121646.47</v>
      </c>
      <c r="EO6" s="139">
        <f t="shared" si="4"/>
        <v>-103714.51</v>
      </c>
      <c r="EP6" s="139">
        <f t="shared" si="4"/>
        <v>-90567.98</v>
      </c>
      <c r="EQ6" s="139">
        <f t="shared" si="4"/>
        <v>-84209.49</v>
      </c>
      <c r="ER6" s="139">
        <f t="shared" si="4"/>
        <v>-75552.31</v>
      </c>
      <c r="ES6" s="139">
        <f t="shared" si="4"/>
        <v>-74018.460000000006</v>
      </c>
      <c r="ET6" s="139">
        <f>ROUND(+ES12,2)</f>
        <v>-72899.92</v>
      </c>
      <c r="EU6" s="139">
        <f t="shared" ref="EU6:FP6" si="5">ROUND(+ET12,2)</f>
        <v>-60590.06</v>
      </c>
      <c r="EV6" s="139">
        <f t="shared" si="5"/>
        <v>-46248.97</v>
      </c>
      <c r="EW6" s="139">
        <f t="shared" si="5"/>
        <v>-44348.11</v>
      </c>
      <c r="EX6" s="139">
        <f t="shared" si="5"/>
        <v>-41424.75</v>
      </c>
      <c r="EY6" s="139">
        <f t="shared" si="5"/>
        <v>-39362.54</v>
      </c>
      <c r="EZ6" s="139">
        <f t="shared" si="5"/>
        <v>-36301.4</v>
      </c>
      <c r="FA6" s="139">
        <f t="shared" si="5"/>
        <v>-35880.22</v>
      </c>
      <c r="FB6" s="139">
        <f t="shared" si="5"/>
        <v>-32708.91</v>
      </c>
      <c r="FC6" s="139">
        <f t="shared" si="5"/>
        <v>-34433.370000000003</v>
      </c>
      <c r="FD6" s="139">
        <f t="shared" si="5"/>
        <v>-36880.46</v>
      </c>
      <c r="FE6" s="139">
        <f t="shared" si="5"/>
        <v>-39682.199999999997</v>
      </c>
      <c r="FF6" s="139">
        <f t="shared" si="5"/>
        <v>-42513.86</v>
      </c>
      <c r="FG6" s="139">
        <f t="shared" si="5"/>
        <v>-45066.48</v>
      </c>
      <c r="FH6" s="139">
        <f t="shared" si="5"/>
        <v>-46920.17</v>
      </c>
      <c r="FI6" s="139">
        <f t="shared" si="5"/>
        <v>-47242.76</v>
      </c>
      <c r="FJ6" s="139">
        <f t="shared" si="5"/>
        <v>-46786.68</v>
      </c>
      <c r="FK6" s="139">
        <f t="shared" si="5"/>
        <v>-46523.86</v>
      </c>
      <c r="FL6" s="139">
        <f t="shared" si="5"/>
        <v>-46875.37</v>
      </c>
      <c r="FM6" s="139">
        <f t="shared" si="5"/>
        <v>-48201.79</v>
      </c>
      <c r="FN6" s="139">
        <f t="shared" si="5"/>
        <v>-49379.79</v>
      </c>
      <c r="FO6" s="139">
        <f t="shared" si="5"/>
        <v>-45564.89</v>
      </c>
      <c r="FP6" s="139">
        <f t="shared" si="5"/>
        <v>-48143.040000000001</v>
      </c>
      <c r="FQ6" s="139">
        <f>ROUND(+FP12,2)</f>
        <v>-51239.45</v>
      </c>
      <c r="FR6" s="139">
        <f t="shared" ref="FR6:IC6" si="6">ROUND(+FQ12,2)</f>
        <v>-54221.91</v>
      </c>
      <c r="FS6" s="139">
        <f t="shared" si="6"/>
        <v>-56758.77</v>
      </c>
      <c r="FT6" s="139">
        <f t="shared" si="6"/>
        <v>-58842.26</v>
      </c>
      <c r="FU6" s="139">
        <f t="shared" si="6"/>
        <v>7572209.1500000004</v>
      </c>
      <c r="FV6" s="139">
        <f t="shared" si="6"/>
        <v>6401173.9299999997</v>
      </c>
      <c r="FW6" s="139">
        <f t="shared" si="6"/>
        <v>5277667.3499999996</v>
      </c>
      <c r="FX6" s="139">
        <f t="shared" si="6"/>
        <v>4422056.1900000004</v>
      </c>
      <c r="FY6" s="139">
        <f t="shared" si="6"/>
        <v>3589558.9</v>
      </c>
      <c r="FZ6" s="139">
        <f t="shared" si="6"/>
        <v>3137839.16</v>
      </c>
      <c r="GA6" s="139">
        <f t="shared" si="6"/>
        <v>2798546.81</v>
      </c>
      <c r="GB6" s="139">
        <f t="shared" si="6"/>
        <v>2532361.7000000002</v>
      </c>
      <c r="GC6" s="139">
        <f t="shared" si="6"/>
        <v>2282882.7799999998</v>
      </c>
      <c r="GD6" s="139">
        <f t="shared" si="6"/>
        <v>2079047.13</v>
      </c>
      <c r="GE6" s="139">
        <f t="shared" si="6"/>
        <v>1802660.23</v>
      </c>
      <c r="GF6" s="139">
        <f t="shared" si="6"/>
        <v>1300810.19</v>
      </c>
      <c r="GG6" s="139">
        <f t="shared" si="6"/>
        <v>17319696.149999999</v>
      </c>
      <c r="GH6" s="139">
        <f t="shared" si="6"/>
        <v>14383031.93</v>
      </c>
      <c r="GI6" s="139">
        <f t="shared" si="6"/>
        <v>11147839.310000001</v>
      </c>
      <c r="GJ6" s="139">
        <f t="shared" si="6"/>
        <v>8597079.4900000002</v>
      </c>
      <c r="GK6" s="139">
        <f t="shared" si="6"/>
        <v>6350830.54</v>
      </c>
      <c r="GL6" s="139">
        <f t="shared" si="6"/>
        <v>4780385.78</v>
      </c>
      <c r="GM6" s="139">
        <f t="shared" si="6"/>
        <v>3747201.43</v>
      </c>
      <c r="GN6" s="139">
        <f t="shared" si="6"/>
        <v>3096867.64</v>
      </c>
      <c r="GO6" s="139">
        <f t="shared" si="6"/>
        <v>2566424.1</v>
      </c>
      <c r="GP6" s="139">
        <f t="shared" si="6"/>
        <v>2086207.39</v>
      </c>
      <c r="GQ6" s="139">
        <f t="shared" si="6"/>
        <v>1477309.85</v>
      </c>
      <c r="GR6" s="139">
        <f t="shared" si="6"/>
        <v>121338.55</v>
      </c>
      <c r="GS6" s="139">
        <f t="shared" si="6"/>
        <v>-130271.97</v>
      </c>
      <c r="GT6" s="139">
        <f t="shared" si="6"/>
        <v>-152574.91</v>
      </c>
      <c r="GU6" s="139">
        <f t="shared" si="6"/>
        <v>-168710.12</v>
      </c>
      <c r="GV6" s="139">
        <f t="shared" si="6"/>
        <v>-184386.33</v>
      </c>
      <c r="GW6" s="139">
        <f t="shared" si="6"/>
        <v>-199622.56</v>
      </c>
      <c r="GX6" s="139">
        <f t="shared" si="6"/>
        <v>-212228.27</v>
      </c>
      <c r="GY6" s="139">
        <f t="shared" si="6"/>
        <v>-214693.6</v>
      </c>
      <c r="GZ6" s="139">
        <f t="shared" si="6"/>
        <v>-217836.91</v>
      </c>
      <c r="HA6" s="139">
        <f t="shared" si="6"/>
        <v>-226718.76</v>
      </c>
      <c r="HB6" s="139">
        <f t="shared" si="6"/>
        <v>-235817.63</v>
      </c>
      <c r="HC6" s="139">
        <f t="shared" si="6"/>
        <v>-245143.2</v>
      </c>
      <c r="HD6" s="139">
        <f t="shared" si="6"/>
        <v>-257856.94</v>
      </c>
      <c r="HE6" s="139">
        <f t="shared" si="6"/>
        <v>-243596.92</v>
      </c>
      <c r="HF6" s="139">
        <f t="shared" si="6"/>
        <v>-217501.91</v>
      </c>
      <c r="HG6" s="139">
        <f t="shared" si="6"/>
        <v>-192998.47</v>
      </c>
      <c r="HH6" s="139">
        <f t="shared" si="6"/>
        <v>-161490.04999999999</v>
      </c>
      <c r="HI6" s="139">
        <f t="shared" si="6"/>
        <v>-140365.41</v>
      </c>
      <c r="HJ6" s="139">
        <f t="shared" si="6"/>
        <v>-129611.39</v>
      </c>
      <c r="HK6" s="139">
        <f t="shared" si="6"/>
        <v>-125849.24</v>
      </c>
      <c r="HL6" s="139">
        <f t="shared" si="6"/>
        <v>-124989.74</v>
      </c>
      <c r="HM6" s="139">
        <f t="shared" si="6"/>
        <v>-125741.05</v>
      </c>
      <c r="HN6" s="139">
        <f t="shared" si="6"/>
        <v>-126757.17</v>
      </c>
      <c r="HO6" s="139">
        <f t="shared" si="6"/>
        <v>-125393.77</v>
      </c>
      <c r="HP6" s="139">
        <f t="shared" si="6"/>
        <v>-112296.99</v>
      </c>
      <c r="HQ6" s="139">
        <f t="shared" si="6"/>
        <v>-107579.61</v>
      </c>
      <c r="HR6" s="139">
        <f t="shared" si="6"/>
        <v>-99674.29</v>
      </c>
      <c r="HS6" s="139">
        <f t="shared" si="6"/>
        <v>-90874.4</v>
      </c>
      <c r="HT6" s="139">
        <f t="shared" si="6"/>
        <v>-82717.919999999998</v>
      </c>
      <c r="HU6" s="139">
        <f t="shared" si="6"/>
        <v>-75460.009999999995</v>
      </c>
      <c r="HV6" s="139">
        <f t="shared" si="6"/>
        <v>-72842.64</v>
      </c>
      <c r="HW6" s="139">
        <f t="shared" si="6"/>
        <v>-73257.009999999995</v>
      </c>
      <c r="HX6" s="139">
        <f t="shared" si="6"/>
        <v>-74161.350000000006</v>
      </c>
      <c r="HY6" s="139">
        <f t="shared" si="6"/>
        <v>-74666.8</v>
      </c>
      <c r="HZ6" s="139">
        <f t="shared" si="6"/>
        <v>-75638.850000000006</v>
      </c>
      <c r="IA6" s="139">
        <f t="shared" si="6"/>
        <v>-77182.83</v>
      </c>
      <c r="IB6" s="139">
        <f t="shared" si="6"/>
        <v>-74564.89</v>
      </c>
      <c r="IC6" s="139">
        <f t="shared" si="6"/>
        <v>2079475.82</v>
      </c>
      <c r="ID6" s="139">
        <f t="shared" ref="ID6:IW6" si="7">ROUND(+IC12,2)</f>
        <v>1766311.18</v>
      </c>
      <c r="IE6" s="139">
        <f t="shared" si="7"/>
        <v>1449388.76</v>
      </c>
      <c r="IF6" s="139">
        <f t="shared" si="7"/>
        <v>1115087.8899999999</v>
      </c>
      <c r="IG6" s="139">
        <f t="shared" si="7"/>
        <v>822020.74</v>
      </c>
      <c r="IH6" s="139">
        <f t="shared" si="7"/>
        <v>649391.51</v>
      </c>
      <c r="II6" s="139">
        <f t="shared" si="7"/>
        <v>529034.66</v>
      </c>
      <c r="IJ6" s="139">
        <f t="shared" si="7"/>
        <v>449349.3</v>
      </c>
      <c r="IK6" s="139">
        <f t="shared" si="7"/>
        <v>388819.88</v>
      </c>
      <c r="IL6" s="139">
        <f t="shared" si="7"/>
        <v>325200.13</v>
      </c>
      <c r="IM6" s="139">
        <f t="shared" si="7"/>
        <v>238316.61</v>
      </c>
      <c r="IN6" s="139">
        <f t="shared" si="7"/>
        <v>60791.59</v>
      </c>
      <c r="IO6" s="139">
        <f t="shared" si="7"/>
        <v>388599.87</v>
      </c>
      <c r="IP6" s="139">
        <f t="shared" si="7"/>
        <v>315253.76000000001</v>
      </c>
      <c r="IQ6" s="139">
        <f t="shared" si="7"/>
        <v>242397.61</v>
      </c>
      <c r="IR6" s="139">
        <f t="shared" si="7"/>
        <v>181938.3</v>
      </c>
      <c r="IS6" s="139">
        <f t="shared" si="7"/>
        <v>128762.49</v>
      </c>
      <c r="IT6" s="139">
        <f t="shared" si="7"/>
        <v>81889.3</v>
      </c>
      <c r="IU6" s="139">
        <f t="shared" si="7"/>
        <v>48399.74</v>
      </c>
      <c r="IV6" s="139">
        <f t="shared" si="7"/>
        <v>26432.04</v>
      </c>
      <c r="IW6" s="139">
        <f t="shared" si="7"/>
        <v>8657.9599999999991</v>
      </c>
      <c r="IX6" s="139">
        <f>ROUND(+IW12,2)</f>
        <v>-6509.97</v>
      </c>
      <c r="IY6" s="139">
        <f t="shared" ref="IY6:JJ6" si="8">ROUND(+IX12,2)</f>
        <v>-23261.32</v>
      </c>
      <c r="IZ6" s="139">
        <f t="shared" si="8"/>
        <v>-51962.68</v>
      </c>
      <c r="JA6" s="139">
        <f t="shared" si="8"/>
        <v>223344.08</v>
      </c>
      <c r="JB6" s="139">
        <f t="shared" si="8"/>
        <v>177895.57</v>
      </c>
      <c r="JC6" s="139">
        <f t="shared" si="8"/>
        <v>136225.85999999999</v>
      </c>
      <c r="JD6" s="139">
        <f t="shared" si="8"/>
        <v>96286.32</v>
      </c>
      <c r="JE6" s="139">
        <f t="shared" si="8"/>
        <v>58500.98</v>
      </c>
      <c r="JF6" s="139">
        <f t="shared" si="8"/>
        <v>27778</v>
      </c>
      <c r="JG6" s="139">
        <f t="shared" si="8"/>
        <v>11293.38</v>
      </c>
      <c r="JH6" s="139">
        <f t="shared" si="8"/>
        <v>-2246.5300000000002</v>
      </c>
      <c r="JI6" s="139">
        <f t="shared" si="8"/>
        <v>-14527.81</v>
      </c>
      <c r="JJ6" s="139">
        <f t="shared" si="8"/>
        <v>-27018.95</v>
      </c>
      <c r="JK6" s="139">
        <f>ROUND(+JJ12,2)</f>
        <v>-42614.49</v>
      </c>
      <c r="JL6" s="139">
        <f t="shared" ref="JL6:JU6" si="9">ROUND(+JK12,2)</f>
        <v>-67417.070000000007</v>
      </c>
      <c r="JM6" s="139">
        <f t="shared" si="9"/>
        <v>-70133.23</v>
      </c>
      <c r="JN6" s="139">
        <f t="shared" si="9"/>
        <v>-71589.94</v>
      </c>
      <c r="JO6" s="139">
        <f t="shared" si="9"/>
        <v>-71222.5</v>
      </c>
      <c r="JP6" s="139">
        <f t="shared" si="9"/>
        <v>-72394.31</v>
      </c>
      <c r="JQ6" s="139">
        <f t="shared" si="9"/>
        <v>-74494.5</v>
      </c>
      <c r="JR6" s="139">
        <f t="shared" si="9"/>
        <v>-78019.33</v>
      </c>
      <c r="JS6" s="139">
        <f t="shared" si="9"/>
        <v>-83453.58</v>
      </c>
      <c r="JT6" s="139">
        <f t="shared" si="9"/>
        <v>-89719.05</v>
      </c>
      <c r="JU6" s="139">
        <f t="shared" si="9"/>
        <v>-92892.2</v>
      </c>
      <c r="JV6" s="630"/>
      <c r="JW6" s="140"/>
      <c r="JX6" s="140"/>
      <c r="JY6" s="140"/>
      <c r="JZ6" s="140"/>
      <c r="KA6" s="140"/>
      <c r="KB6" s="140"/>
      <c r="KC6" s="140"/>
      <c r="KD6" s="140"/>
      <c r="KE6" s="140"/>
      <c r="KF6" s="140"/>
      <c r="KG6" s="140"/>
      <c r="KH6" s="140"/>
      <c r="KI6" s="631"/>
    </row>
    <row r="7" spans="1:295" x14ac:dyDescent="0.2">
      <c r="B7" s="24" t="s">
        <v>105</v>
      </c>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2"/>
      <c r="AD7" s="141"/>
      <c r="AE7" s="142">
        <f>5845277.73</f>
        <v>5845277.7300000004</v>
      </c>
      <c r="AF7" s="142"/>
      <c r="AG7" s="142"/>
      <c r="AH7" s="142"/>
      <c r="AI7" s="142"/>
      <c r="AJ7" s="142"/>
      <c r="AK7" s="142"/>
      <c r="AL7" s="142"/>
      <c r="AM7" s="142"/>
      <c r="AN7" s="142"/>
      <c r="AO7" s="142"/>
      <c r="AP7" s="142"/>
      <c r="AQ7" s="142">
        <v>5408352</v>
      </c>
      <c r="AR7" s="142"/>
      <c r="AS7" s="142"/>
      <c r="AT7" s="142"/>
      <c r="AU7" s="142"/>
      <c r="AV7" s="142"/>
      <c r="AW7" s="142"/>
      <c r="AX7" s="142"/>
      <c r="AY7" s="141"/>
      <c r="AZ7" s="139"/>
      <c r="BA7" s="139"/>
      <c r="BB7" s="139"/>
      <c r="BC7" s="139">
        <f>-(BC71+BC95)</f>
        <v>8814495</v>
      </c>
      <c r="BD7" s="139"/>
      <c r="BE7" s="139"/>
      <c r="BF7" s="139"/>
      <c r="BG7" s="139"/>
      <c r="BH7" s="139"/>
      <c r="BI7" s="139"/>
      <c r="BJ7" s="139"/>
      <c r="BK7" s="139"/>
      <c r="BL7" s="139"/>
      <c r="BM7" s="139"/>
      <c r="BN7" s="143">
        <v>0</v>
      </c>
      <c r="BO7" s="143">
        <v>12462976</v>
      </c>
      <c r="BP7" s="139"/>
      <c r="BQ7" s="139"/>
      <c r="BR7" s="127"/>
      <c r="BS7" s="139"/>
      <c r="BT7" s="139"/>
      <c r="BU7" s="139"/>
      <c r="BV7" s="139"/>
      <c r="BW7" s="139"/>
      <c r="BX7" s="139"/>
      <c r="BY7" s="139"/>
      <c r="BZ7" s="139"/>
      <c r="CA7" s="143">
        <v>7040669</v>
      </c>
      <c r="CB7" s="139"/>
      <c r="CC7" s="139"/>
      <c r="CD7" s="139"/>
      <c r="CE7" s="139"/>
      <c r="CF7" s="139"/>
      <c r="CG7" s="139"/>
      <c r="CH7" s="139"/>
      <c r="CI7" s="139"/>
      <c r="CJ7" s="139"/>
      <c r="CK7" s="139"/>
      <c r="CL7" s="139"/>
      <c r="CM7" s="144">
        <v>8314700</v>
      </c>
      <c r="CN7" s="139"/>
      <c r="CO7" s="127"/>
      <c r="CP7" s="139"/>
      <c r="CQ7" s="139"/>
      <c r="CR7" s="139"/>
      <c r="CS7" s="139"/>
      <c r="CT7" s="139"/>
      <c r="CU7" s="139"/>
      <c r="CV7" s="139"/>
      <c r="CW7" s="139"/>
      <c r="CX7" s="139"/>
      <c r="CY7" s="143">
        <v>8164246</v>
      </c>
      <c r="CZ7" s="139"/>
      <c r="DA7" s="139"/>
      <c r="DB7" s="139"/>
      <c r="DC7" s="139"/>
      <c r="DD7" s="139"/>
      <c r="DE7" s="139"/>
      <c r="DF7" s="139"/>
      <c r="DG7" s="127"/>
      <c r="DH7" s="139"/>
      <c r="DI7" s="139"/>
      <c r="DJ7" s="139"/>
      <c r="DK7" s="139"/>
      <c r="DL7" s="145">
        <v>16083141</v>
      </c>
      <c r="DM7" s="139"/>
      <c r="DN7" s="139"/>
      <c r="DO7" s="139"/>
      <c r="DP7" s="139"/>
      <c r="DQ7" s="139"/>
      <c r="DR7" s="139"/>
      <c r="DS7" s="139"/>
      <c r="DT7" s="139"/>
      <c r="DU7" s="139"/>
      <c r="DV7" s="139"/>
      <c r="DW7" s="139"/>
      <c r="DX7" s="139">
        <f>-(DX71+DX95)</f>
        <v>0</v>
      </c>
      <c r="DY7" s="139"/>
      <c r="DZ7" s="139"/>
      <c r="EA7" s="139"/>
      <c r="EB7" s="139"/>
      <c r="EC7" s="139"/>
      <c r="ED7" s="139"/>
      <c r="EE7" s="139"/>
      <c r="EF7" s="139"/>
      <c r="EG7" s="139"/>
      <c r="EH7" s="139"/>
      <c r="EI7" s="139"/>
      <c r="EJ7" s="139">
        <f>-(EJ71+EJ95)</f>
        <v>0</v>
      </c>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45">
        <v>8459726</v>
      </c>
      <c r="FU7" s="139"/>
      <c r="FV7" s="139"/>
      <c r="FW7" s="139"/>
      <c r="FX7" s="139"/>
      <c r="FY7" s="139"/>
      <c r="FZ7" s="139"/>
      <c r="GA7" s="139"/>
      <c r="GB7" s="139"/>
      <c r="GC7" s="139"/>
      <c r="GD7" s="139"/>
      <c r="GE7" s="139"/>
      <c r="GF7" s="145">
        <v>17486323</v>
      </c>
      <c r="GG7" s="139"/>
      <c r="GH7" s="139"/>
      <c r="GI7" s="139"/>
      <c r="GJ7" s="139"/>
      <c r="GK7" s="139"/>
      <c r="GL7" s="139"/>
      <c r="GM7" s="139"/>
      <c r="GN7" s="139"/>
      <c r="GO7" s="139"/>
      <c r="GP7" s="99">
        <v>0</v>
      </c>
      <c r="GQ7" s="139">
        <v>0</v>
      </c>
      <c r="GR7" s="139">
        <v>0</v>
      </c>
      <c r="GS7" s="139">
        <v>0</v>
      </c>
      <c r="GT7" s="139">
        <v>0</v>
      </c>
      <c r="GU7" s="139">
        <v>0</v>
      </c>
      <c r="GV7" s="139">
        <v>0</v>
      </c>
      <c r="GW7" s="139">
        <v>0</v>
      </c>
      <c r="GX7" s="139">
        <v>0</v>
      </c>
      <c r="GY7" s="139">
        <v>0</v>
      </c>
      <c r="GZ7" s="139">
        <v>0</v>
      </c>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5">
        <v>2402336.44</v>
      </c>
      <c r="IC7" s="139"/>
      <c r="ID7" s="139"/>
      <c r="IE7" s="139"/>
      <c r="IF7" s="139"/>
      <c r="IG7" s="139"/>
      <c r="IH7" s="139"/>
      <c r="II7" s="139"/>
      <c r="IJ7" s="139"/>
      <c r="IK7" s="139"/>
      <c r="IL7" s="139"/>
      <c r="IM7" s="139"/>
      <c r="IN7" s="15">
        <v>387560.31</v>
      </c>
      <c r="IO7" s="139"/>
      <c r="IP7" s="139"/>
      <c r="IQ7" s="139"/>
      <c r="IR7" s="139"/>
      <c r="IS7" s="139"/>
      <c r="IT7" s="139"/>
      <c r="IU7" s="139"/>
      <c r="IV7" s="139"/>
      <c r="IW7" s="139"/>
      <c r="IX7" s="139"/>
      <c r="IY7" s="139"/>
      <c r="IZ7" s="15">
        <v>315631.53999999998</v>
      </c>
      <c r="JA7" s="139"/>
      <c r="JB7" s="139"/>
      <c r="JC7" s="139"/>
      <c r="JD7" s="139"/>
      <c r="JE7" s="139"/>
      <c r="JF7" s="139"/>
      <c r="JG7" s="139"/>
      <c r="JH7" s="139"/>
      <c r="JI7" s="139"/>
      <c r="JJ7" s="139"/>
      <c r="JK7" s="139"/>
      <c r="JL7" s="139">
        <f>-(JL71+JL95)</f>
        <v>0</v>
      </c>
      <c r="JM7" s="139"/>
      <c r="JN7" s="139"/>
      <c r="JO7" s="139"/>
      <c r="JP7" s="139"/>
      <c r="JQ7" s="139"/>
      <c r="JR7" s="139"/>
      <c r="JS7" s="139"/>
      <c r="JT7" s="139"/>
      <c r="JU7" s="139"/>
      <c r="JV7" s="632"/>
      <c r="JW7" s="414"/>
      <c r="JX7" s="414"/>
      <c r="JY7" s="414"/>
      <c r="JZ7" s="414"/>
      <c r="KA7" s="414"/>
      <c r="KB7" s="414"/>
      <c r="KC7" s="414"/>
      <c r="KD7" s="414"/>
      <c r="KE7" s="414"/>
      <c r="KF7" s="414"/>
      <c r="KG7" s="414"/>
      <c r="KH7" s="414"/>
      <c r="KI7" s="633"/>
    </row>
    <row r="8" spans="1:295" x14ac:dyDescent="0.2">
      <c r="B8" s="24" t="s">
        <v>106</v>
      </c>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2"/>
      <c r="AD8" s="141"/>
      <c r="AE8" s="142">
        <v>-277618.55</v>
      </c>
      <c r="AF8" s="142">
        <v>-660845.66</v>
      </c>
      <c r="AG8" s="142">
        <v>-705656.81</v>
      </c>
      <c r="AH8" s="142">
        <v>-753715.32</v>
      </c>
      <c r="AI8" s="142">
        <v>-600238.01</v>
      </c>
      <c r="AJ8" s="142">
        <v>-492933</v>
      </c>
      <c r="AK8" s="142">
        <v>-305385.09000000003</v>
      </c>
      <c r="AL8" s="142">
        <v>-227646.1</v>
      </c>
      <c r="AM8" s="142">
        <v>-160047.6</v>
      </c>
      <c r="AN8" s="142">
        <v>-134600.67000000001</v>
      </c>
      <c r="AO8" s="142">
        <v>-147619.14000000001</v>
      </c>
      <c r="AP8" s="142">
        <v>-191773.41</v>
      </c>
      <c r="AQ8" s="142">
        <v>-394596.84</v>
      </c>
      <c r="AR8" s="142">
        <v>-652044.06000000006</v>
      </c>
      <c r="AS8" s="142">
        <v>-787861.26</v>
      </c>
      <c r="AT8" s="142">
        <v>-866000.11</v>
      </c>
      <c r="AU8" s="142">
        <v>-698221.9</v>
      </c>
      <c r="AV8" s="142">
        <v>-501256.69</v>
      </c>
      <c r="AW8" s="142">
        <v>-442513.15</v>
      </c>
      <c r="AX8" s="142">
        <v>-260644.5</v>
      </c>
      <c r="AY8" s="142">
        <v>-214638.98</v>
      </c>
      <c r="AZ8" s="143">
        <v>-166613.76999999999</v>
      </c>
      <c r="BA8" s="143">
        <v>-174871.15</v>
      </c>
      <c r="BB8" s="143">
        <v>-219230.66</v>
      </c>
      <c r="BC8" s="143">
        <v>-579716.12</v>
      </c>
      <c r="BD8" s="143">
        <v>-1179758.73</v>
      </c>
      <c r="BE8" s="143">
        <v>-1393488.38</v>
      </c>
      <c r="BF8" s="143">
        <v>-1259862.82</v>
      </c>
      <c r="BG8" s="143">
        <v>-1281450.93</v>
      </c>
      <c r="BH8" s="143">
        <v>-1096483.02</v>
      </c>
      <c r="BI8" s="143">
        <v>-755610.11</v>
      </c>
      <c r="BJ8" s="143">
        <v>-483538.56</v>
      </c>
      <c r="BK8" s="143">
        <v>-315167.75</v>
      </c>
      <c r="BL8" s="143">
        <v>-257506.08</v>
      </c>
      <c r="BM8" s="143">
        <v>-265500.62</v>
      </c>
      <c r="BN8" s="143">
        <v>-335216.24</v>
      </c>
      <c r="BO8" s="143">
        <v>-496257.12</v>
      </c>
      <c r="BP8" s="143">
        <v>-791496.42</v>
      </c>
      <c r="BQ8" s="143">
        <v>-973752.23</v>
      </c>
      <c r="BR8" s="146">
        <v>-1101636.94</v>
      </c>
      <c r="BS8" s="143">
        <v>-787381.09</v>
      </c>
      <c r="BT8" s="143">
        <v>-694393.39</v>
      </c>
      <c r="BU8" s="143">
        <v>-528774.36</v>
      </c>
      <c r="BV8" s="143">
        <v>-359611.21</v>
      </c>
      <c r="BW8" s="143">
        <v>-251819.05</v>
      </c>
      <c r="BX8" s="143">
        <v>-183301.9</v>
      </c>
      <c r="BY8" s="143">
        <v>-195887.15</v>
      </c>
      <c r="BZ8" s="147">
        <v>-266209.75</v>
      </c>
      <c r="CA8" s="147">
        <v>-1084447.1200000001</v>
      </c>
      <c r="CB8" s="143">
        <v>-1613642.62</v>
      </c>
      <c r="CC8" s="143">
        <v>-2133299.23</v>
      </c>
      <c r="CD8" s="143">
        <v>-2330956.94</v>
      </c>
      <c r="CE8" s="143">
        <v>-1771928.67</v>
      </c>
      <c r="CF8" s="143">
        <v>-1785553.41</v>
      </c>
      <c r="CG8" s="143">
        <v>-1398756.64</v>
      </c>
      <c r="CH8" s="143">
        <v>-792851.77</v>
      </c>
      <c r="CI8" s="143">
        <v>-666044.5</v>
      </c>
      <c r="CJ8" s="143">
        <v>-406880.48</v>
      </c>
      <c r="CK8" s="143">
        <v>-487480.51</v>
      </c>
      <c r="CL8" s="143">
        <v>-491751.23</v>
      </c>
      <c r="CM8" s="148">
        <v>-463857.91</v>
      </c>
      <c r="CN8" s="143">
        <v>-691647.55</v>
      </c>
      <c r="CO8" s="146">
        <v>-1276298.8500000001</v>
      </c>
      <c r="CP8" s="143">
        <v>-1155592.6599999999</v>
      </c>
      <c r="CQ8" s="143">
        <v>-928093.16</v>
      </c>
      <c r="CR8" s="143">
        <v>-950757.1</v>
      </c>
      <c r="CS8" s="143">
        <v>-607630.34</v>
      </c>
      <c r="CT8" s="143">
        <v>-377600.74</v>
      </c>
      <c r="CU8" s="143">
        <v>-205882.18</v>
      </c>
      <c r="CV8" s="143">
        <v>-184046.95</v>
      </c>
      <c r="CW8" s="143">
        <v>-227481.08</v>
      </c>
      <c r="CX8" s="143">
        <v>-226485.89</v>
      </c>
      <c r="CY8" s="143">
        <v>-594142.14</v>
      </c>
      <c r="CZ8" s="149">
        <v>-892826.98</v>
      </c>
      <c r="DA8" s="143">
        <v>-1436888.81</v>
      </c>
      <c r="DB8" s="150">
        <v>-988323.35</v>
      </c>
      <c r="DC8" s="150">
        <v>-833859.28</v>
      </c>
      <c r="DD8" s="143">
        <v>-883619.44</v>
      </c>
      <c r="DE8" s="143">
        <v>-693195.04</v>
      </c>
      <c r="DF8" s="147">
        <v>-533671.11</v>
      </c>
      <c r="DG8" s="146">
        <v>-342934.88</v>
      </c>
      <c r="DH8" s="147">
        <v>-255422.34</v>
      </c>
      <c r="DI8" s="147">
        <v>-282870.90000000002</v>
      </c>
      <c r="DJ8" s="147">
        <v>-284931.33</v>
      </c>
      <c r="DK8" s="147">
        <v>-552705.07999999996</v>
      </c>
      <c r="DL8" s="143">
        <v>-1827966.04</v>
      </c>
      <c r="DM8" s="143">
        <v>-2127422.58</v>
      </c>
      <c r="DN8" s="143">
        <v>-2246526.34</v>
      </c>
      <c r="DO8" s="143">
        <v>-2160080.1800000002</v>
      </c>
      <c r="DP8" s="143">
        <v>-1840479.7</v>
      </c>
      <c r="DQ8" s="143">
        <v>-1624845.54</v>
      </c>
      <c r="DR8" s="143">
        <v>-997059.23</v>
      </c>
      <c r="DS8" s="143">
        <v>-632651.06999999995</v>
      </c>
      <c r="DT8" s="143">
        <v>-477655.47</v>
      </c>
      <c r="DU8" s="143">
        <v>-588558.42000000004</v>
      </c>
      <c r="DV8" s="143">
        <v>-467573.51</v>
      </c>
      <c r="DW8" s="143">
        <v>-1063854.0900000001</v>
      </c>
      <c r="DX8" s="143">
        <v>-231391.48</v>
      </c>
      <c r="DY8" s="143">
        <v>56973.120000000003</v>
      </c>
      <c r="DZ8" s="143">
        <v>59185.52</v>
      </c>
      <c r="EA8" s="145">
        <v>47595.519999999997</v>
      </c>
      <c r="EB8" s="143">
        <v>53517.75</v>
      </c>
      <c r="EC8" s="143">
        <v>27984.14</v>
      </c>
      <c r="ED8" s="143">
        <v>20224.11</v>
      </c>
      <c r="EE8" s="143">
        <v>15425.32</v>
      </c>
      <c r="EF8" s="143">
        <v>11058.99</v>
      </c>
      <c r="EG8" s="145">
        <v>9910.92</v>
      </c>
      <c r="EH8" s="145">
        <v>11616.5</v>
      </c>
      <c r="EI8" s="145">
        <v>25449.45</v>
      </c>
      <c r="EJ8" s="145">
        <v>22637.98</v>
      </c>
      <c r="EK8" s="145">
        <v>29803.59</v>
      </c>
      <c r="EL8" s="145">
        <v>35054</v>
      </c>
      <c r="EM8" s="145">
        <v>24622</v>
      </c>
      <c r="EN8" s="145">
        <v>22248</v>
      </c>
      <c r="EO8" s="145">
        <v>16223</v>
      </c>
      <c r="EP8" s="145">
        <v>10349</v>
      </c>
      <c r="EQ8" s="145">
        <v>6493</v>
      </c>
      <c r="ER8" s="145">
        <v>5696</v>
      </c>
      <c r="ES8" s="145">
        <v>5285</v>
      </c>
      <c r="ET8" s="149">
        <v>7290</v>
      </c>
      <c r="EU8" s="149">
        <v>16675</v>
      </c>
      <c r="EV8" s="149">
        <v>5819</v>
      </c>
      <c r="EW8" s="149">
        <v>6948</v>
      </c>
      <c r="EX8" s="149">
        <v>6069</v>
      </c>
      <c r="EY8" s="149">
        <v>6066</v>
      </c>
      <c r="EZ8" s="149">
        <v>4571</v>
      </c>
      <c r="FA8" s="149">
        <v>3108</v>
      </c>
      <c r="FB8" s="149">
        <v>1969</v>
      </c>
      <c r="FC8" s="149">
        <v>1367</v>
      </c>
      <c r="FD8" s="149">
        <v>1136</v>
      </c>
      <c r="FE8" s="145">
        <v>1103</v>
      </c>
      <c r="FF8" s="145">
        <v>1252</v>
      </c>
      <c r="FG8" s="145">
        <v>2073</v>
      </c>
      <c r="FH8" s="145">
        <v>3952</v>
      </c>
      <c r="FI8" s="145">
        <v>4364</v>
      </c>
      <c r="FJ8" s="145">
        <v>4159</v>
      </c>
      <c r="FK8" s="145">
        <v>3159</v>
      </c>
      <c r="FL8" s="145">
        <v>3004</v>
      </c>
      <c r="FM8" s="145">
        <v>2545</v>
      </c>
      <c r="FN8" s="145">
        <v>1491</v>
      </c>
      <c r="FO8" s="145">
        <v>977</v>
      </c>
      <c r="FP8" s="145">
        <v>819</v>
      </c>
      <c r="FQ8" s="145">
        <v>858</v>
      </c>
      <c r="FR8" s="145">
        <v>1177</v>
      </c>
      <c r="FS8" s="145">
        <v>1750</v>
      </c>
      <c r="FT8" s="145">
        <v>-846359</v>
      </c>
      <c r="FU8" s="145">
        <v>-1186423</v>
      </c>
      <c r="FV8" s="145">
        <v>-1125958</v>
      </c>
      <c r="FW8" s="145">
        <v>-865828</v>
      </c>
      <c r="FX8" s="145">
        <v>-839614</v>
      </c>
      <c r="FY8" s="145">
        <v>-457280</v>
      </c>
      <c r="FZ8" s="145">
        <v>-341491</v>
      </c>
      <c r="GA8" s="145">
        <v>-269300</v>
      </c>
      <c r="GB8" s="145">
        <v>-245833</v>
      </c>
      <c r="GC8" s="145">
        <v>-206103</v>
      </c>
      <c r="GD8" s="145">
        <v>-277887</v>
      </c>
      <c r="GE8" s="145">
        <v>-502196</v>
      </c>
      <c r="GF8" s="145">
        <v>-1515098</v>
      </c>
      <c r="GG8" s="145">
        <v>-2978956</v>
      </c>
      <c r="GH8" s="145">
        <v>-3267183</v>
      </c>
      <c r="GI8" s="145">
        <v>-2568306</v>
      </c>
      <c r="GJ8" s="145">
        <v>-2263488</v>
      </c>
      <c r="GK8" s="145">
        <v>-1582512</v>
      </c>
      <c r="GL8" s="145">
        <v>-1041451</v>
      </c>
      <c r="GM8" s="145">
        <v>-655833</v>
      </c>
      <c r="GN8" s="145">
        <v>-534897</v>
      </c>
      <c r="GO8" s="145">
        <v>-482564</v>
      </c>
      <c r="GP8" s="149">
        <v>-609403</v>
      </c>
      <c r="GQ8" s="145">
        <v>-1352857</v>
      </c>
      <c r="GR8" s="145">
        <v>-245700</v>
      </c>
      <c r="GS8" s="145">
        <v>-11104</v>
      </c>
      <c r="GT8" s="145">
        <v>-9818</v>
      </c>
      <c r="GU8" s="145">
        <v>-9969</v>
      </c>
      <c r="GV8" s="145">
        <v>-8852</v>
      </c>
      <c r="GW8" s="145">
        <v>-6081</v>
      </c>
      <c r="GX8" s="145">
        <v>-3068</v>
      </c>
      <c r="GY8" s="145">
        <v>-2785</v>
      </c>
      <c r="GZ8" s="145">
        <v>-1823</v>
      </c>
      <c r="HA8" s="145">
        <v>-2145</v>
      </c>
      <c r="HB8" s="145">
        <v>-2484</v>
      </c>
      <c r="HC8" s="145">
        <v>-5214</v>
      </c>
      <c r="HD8" s="145">
        <v>21417</v>
      </c>
      <c r="HE8" s="145">
        <v>33351</v>
      </c>
      <c r="HF8" s="145">
        <v>31951</v>
      </c>
      <c r="HG8" s="145">
        <v>38112</v>
      </c>
      <c r="HH8" s="145">
        <v>28265</v>
      </c>
      <c r="HI8" s="145">
        <v>17986</v>
      </c>
      <c r="HJ8" s="145">
        <v>11257</v>
      </c>
      <c r="HK8" s="145">
        <v>8090</v>
      </c>
      <c r="HL8" s="145">
        <v>6755</v>
      </c>
      <c r="HM8" s="145">
        <v>6494</v>
      </c>
      <c r="HN8" s="145">
        <v>8583</v>
      </c>
      <c r="HO8" s="145">
        <v>20412</v>
      </c>
      <c r="HP8" s="145">
        <v>10715</v>
      </c>
      <c r="HQ8" s="145">
        <v>14107</v>
      </c>
      <c r="HR8" s="145">
        <v>14299</v>
      </c>
      <c r="HS8" s="145">
        <v>13172</v>
      </c>
      <c r="HT8" s="145">
        <v>12582</v>
      </c>
      <c r="HU8" s="145">
        <v>7495</v>
      </c>
      <c r="HV8" s="145">
        <v>4677</v>
      </c>
      <c r="HW8" s="145">
        <v>4047</v>
      </c>
      <c r="HX8" s="145">
        <v>2860</v>
      </c>
      <c r="HY8" s="15">
        <v>2651</v>
      </c>
      <c r="HZ8" s="15">
        <v>3084</v>
      </c>
      <c r="IA8" s="15">
        <v>6533</v>
      </c>
      <c r="IB8" s="15">
        <v>-250578</v>
      </c>
      <c r="IC8" s="15">
        <v>-314924</v>
      </c>
      <c r="ID8" s="15">
        <v>-317787</v>
      </c>
      <c r="IE8" s="15">
        <v>-334637</v>
      </c>
      <c r="IF8" s="15">
        <v>-292900</v>
      </c>
      <c r="IG8" s="15">
        <v>-171665</v>
      </c>
      <c r="IH8" s="15">
        <v>-121353</v>
      </c>
      <c r="II8" s="15">
        <v>-78754</v>
      </c>
      <c r="IJ8" s="15">
        <v>-58769</v>
      </c>
      <c r="IK8" s="15">
        <v>-61654</v>
      </c>
      <c r="IL8" s="15">
        <v>-84873</v>
      </c>
      <c r="IM8" s="15">
        <v>-175043</v>
      </c>
      <c r="IN8" s="15">
        <v>-57532</v>
      </c>
      <c r="IO8" s="15">
        <v>-70941</v>
      </c>
      <c r="IP8" s="15">
        <v>-70194</v>
      </c>
      <c r="IQ8" s="15">
        <v>-57720</v>
      </c>
      <c r="IR8" s="15">
        <v>-49973</v>
      </c>
      <c r="IS8" s="15">
        <v>-43650</v>
      </c>
      <c r="IT8" s="15">
        <v>-29975</v>
      </c>
      <c r="IU8" s="15">
        <v>-18504</v>
      </c>
      <c r="IV8" s="15">
        <v>-13116</v>
      </c>
      <c r="IW8" s="15">
        <v>-10589</v>
      </c>
      <c r="IX8" s="15">
        <v>-12564</v>
      </c>
      <c r="IY8" s="15">
        <v>-23716</v>
      </c>
      <c r="IZ8" s="15">
        <v>-37251</v>
      </c>
      <c r="JA8" s="15">
        <v>-43257</v>
      </c>
      <c r="JB8" s="15">
        <v>-37698</v>
      </c>
      <c r="JC8" s="15">
        <v>-36836</v>
      </c>
      <c r="JD8" s="15">
        <v>-34313</v>
      </c>
      <c r="JE8" s="15">
        <v>-26316</v>
      </c>
      <c r="JF8" s="15">
        <v>-11397</v>
      </c>
      <c r="JG8" s="15">
        <v>-9255</v>
      </c>
      <c r="JH8" s="15">
        <v>-6771</v>
      </c>
      <c r="JI8" s="15">
        <v>-6822</v>
      </c>
      <c r="JJ8" s="145">
        <v>-9137</v>
      </c>
      <c r="JK8" s="145">
        <v>-17629</v>
      </c>
      <c r="JL8" s="145">
        <v>6155</v>
      </c>
      <c r="JM8" s="145">
        <v>7660</v>
      </c>
      <c r="JN8" s="145">
        <v>9585</v>
      </c>
      <c r="JO8" s="145">
        <v>7396</v>
      </c>
      <c r="JP8" s="145">
        <v>7005</v>
      </c>
      <c r="JQ8" s="145">
        <v>5245</v>
      </c>
      <c r="JR8" s="145">
        <v>3596</v>
      </c>
      <c r="JS8" s="145">
        <v>2453</v>
      </c>
      <c r="JT8" s="145">
        <v>1724</v>
      </c>
      <c r="JU8" s="145">
        <v>1556</v>
      </c>
      <c r="JV8" s="634"/>
      <c r="JW8" s="413"/>
      <c r="JX8" s="413"/>
      <c r="JY8" s="413"/>
      <c r="JZ8" s="413"/>
      <c r="KA8" s="413"/>
      <c r="KB8" s="413"/>
      <c r="KC8" s="413"/>
      <c r="KD8" s="413"/>
      <c r="KE8" s="413"/>
      <c r="KF8" s="413"/>
      <c r="KG8" s="413"/>
      <c r="KH8" s="413"/>
      <c r="KI8" s="635"/>
    </row>
    <row r="9" spans="1:295" x14ac:dyDescent="0.2">
      <c r="B9" s="24" t="s">
        <v>107</v>
      </c>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2">
        <v>0</v>
      </c>
      <c r="AF9" s="142"/>
      <c r="AG9" s="142"/>
      <c r="AH9" s="142"/>
      <c r="AI9" s="142">
        <v>-8478.8799999999992</v>
      </c>
      <c r="AJ9" s="142">
        <v>-3922.09</v>
      </c>
      <c r="AK9" s="142">
        <v>28028.83</v>
      </c>
      <c r="AL9" s="142">
        <v>2753.87</v>
      </c>
      <c r="AM9" s="142">
        <v>2600.75</v>
      </c>
      <c r="AN9" s="142">
        <v>2950.63</v>
      </c>
      <c r="AO9" s="142">
        <v>2462.17</v>
      </c>
      <c r="AP9" s="142">
        <v>2522.63</v>
      </c>
      <c r="AQ9" s="142">
        <v>3465.52</v>
      </c>
      <c r="AR9" s="142">
        <v>3797.78</v>
      </c>
      <c r="AS9" s="142">
        <v>4072.59</v>
      </c>
      <c r="AT9" s="142">
        <v>3915.65</v>
      </c>
      <c r="AU9" s="142">
        <v>3675.15</v>
      </c>
      <c r="AV9" s="142">
        <v>3206.8</v>
      </c>
      <c r="AW9" s="142">
        <v>2801.65</v>
      </c>
      <c r="AX9" s="142">
        <v>1547.72</v>
      </c>
      <c r="AY9" s="142">
        <v>1192.6400000000001</v>
      </c>
      <c r="AZ9" s="143">
        <v>835.54</v>
      </c>
      <c r="BA9" s="143">
        <v>909.69</v>
      </c>
      <c r="BB9" s="143">
        <v>1069</v>
      </c>
      <c r="BC9" s="143">
        <v>428.54</v>
      </c>
      <c r="BD9" s="143">
        <v>4493.84</v>
      </c>
      <c r="BE9" s="143">
        <v>4530.49</v>
      </c>
      <c r="BF9" s="143">
        <v>4348.58</v>
      </c>
      <c r="BG9" s="143">
        <v>4459.8100000000004</v>
      </c>
      <c r="BH9" s="143">
        <v>4772.2299999999996</v>
      </c>
      <c r="BI9" s="143">
        <v>4731.8599999999997</v>
      </c>
      <c r="BJ9" s="143">
        <v>5110.6499999999996</v>
      </c>
      <c r="BK9" s="143">
        <v>4891.58</v>
      </c>
      <c r="BL9" s="143">
        <v>4534.7</v>
      </c>
      <c r="BM9" s="143">
        <v>4617.6000000000004</v>
      </c>
      <c r="BN9" s="143">
        <v>4622.8599999999997</v>
      </c>
      <c r="BO9" s="143">
        <v>4367.46</v>
      </c>
      <c r="BP9" s="143">
        <v>-4742.3999999999996</v>
      </c>
      <c r="BQ9" s="143">
        <v>-4273.46</v>
      </c>
      <c r="BR9" s="146">
        <v>-3507.43</v>
      </c>
      <c r="BS9" s="143">
        <v>-3347.51</v>
      </c>
      <c r="BT9" s="143">
        <v>-3698.8</v>
      </c>
      <c r="BU9" s="143">
        <v>-3576.53</v>
      </c>
      <c r="BV9" s="143">
        <v>-3427.66</v>
      </c>
      <c r="BW9" s="143">
        <v>-3303.36</v>
      </c>
      <c r="BX9" s="143">
        <v>-3271.7</v>
      </c>
      <c r="BY9" s="143">
        <v>-4435.3900000000003</v>
      </c>
      <c r="BZ9" s="147">
        <v>-4211.8500000000004</v>
      </c>
      <c r="CA9" s="147">
        <v>-4998.95</v>
      </c>
      <c r="CB9" s="143">
        <v>-898.3</v>
      </c>
      <c r="CC9" s="143">
        <v>-4959.24</v>
      </c>
      <c r="CD9" s="143">
        <v>-6422.62</v>
      </c>
      <c r="CE9" s="143">
        <v>-5636.9</v>
      </c>
      <c r="CF9" s="143">
        <v>-5424.48</v>
      </c>
      <c r="CG9" s="143">
        <v>-5164.68</v>
      </c>
      <c r="CH9" s="143">
        <v>-4522.67</v>
      </c>
      <c r="CI9" s="143">
        <v>-4236.12</v>
      </c>
      <c r="CJ9" s="143">
        <v>-4139.04</v>
      </c>
      <c r="CK9" s="143">
        <v>-3815.76</v>
      </c>
      <c r="CL9" s="143">
        <v>-3763.9</v>
      </c>
      <c r="CM9" s="148">
        <v>-4189.53</v>
      </c>
      <c r="CN9" s="143">
        <v>-4097.58</v>
      </c>
      <c r="CO9" s="146">
        <v>341.74</v>
      </c>
      <c r="CP9" s="143">
        <v>403.9</v>
      </c>
      <c r="CQ9" s="143">
        <v>175.57</v>
      </c>
      <c r="CR9" s="143">
        <v>179.5</v>
      </c>
      <c r="CS9" s="143">
        <v>-625.15</v>
      </c>
      <c r="CT9" s="143">
        <v>-644.45000000000005</v>
      </c>
      <c r="CU9" s="143">
        <v>-588.53</v>
      </c>
      <c r="CV9" s="143">
        <v>-532.87</v>
      </c>
      <c r="CW9" s="143">
        <v>-813.2</v>
      </c>
      <c r="CX9" s="143">
        <v>-942.8</v>
      </c>
      <c r="CY9" s="143">
        <v>-1279.74</v>
      </c>
      <c r="CZ9" s="149">
        <v>-1501.88</v>
      </c>
      <c r="DA9" s="143">
        <v>-1540.04</v>
      </c>
      <c r="DB9" s="150">
        <v>-1617.87</v>
      </c>
      <c r="DC9" s="150">
        <v>-1371.01</v>
      </c>
      <c r="DD9" s="143">
        <v>-1432.61</v>
      </c>
      <c r="DE9" s="143">
        <v>-1432.32</v>
      </c>
      <c r="DF9" s="147">
        <v>-1395.23</v>
      </c>
      <c r="DG9" s="146">
        <v>-1386.83</v>
      </c>
      <c r="DH9" s="147">
        <v>-1241.93</v>
      </c>
      <c r="DI9" s="147">
        <v>-811.87</v>
      </c>
      <c r="DJ9" s="147">
        <v>-854.81</v>
      </c>
      <c r="DK9" s="147">
        <v>-1538.07</v>
      </c>
      <c r="DL9" s="143">
        <v>-2110.2600000000002</v>
      </c>
      <c r="DM9" s="143">
        <v>-3026.96</v>
      </c>
      <c r="DN9" s="143">
        <v>-5102.8</v>
      </c>
      <c r="DO9" s="143">
        <v>-6128.14</v>
      </c>
      <c r="DP9" s="143">
        <v>-6012.27</v>
      </c>
      <c r="DQ9" s="143">
        <v>-5495.2</v>
      </c>
      <c r="DR9" s="143">
        <v>-3557.11</v>
      </c>
      <c r="DS9" s="143">
        <v>-4116.42</v>
      </c>
      <c r="DT9" s="143">
        <v>-4011.79</v>
      </c>
      <c r="DU9" s="143">
        <v>-3107.36</v>
      </c>
      <c r="DV9" s="143">
        <v>-4885.34</v>
      </c>
      <c r="DW9" s="143">
        <v>-4825.46</v>
      </c>
      <c r="DX9" s="143">
        <v>-4008.63</v>
      </c>
      <c r="DY9" s="143">
        <v>-2644.14</v>
      </c>
      <c r="DZ9" s="143">
        <v>-660.70999999999992</v>
      </c>
      <c r="EA9" s="143">
        <v>245.88</v>
      </c>
      <c r="EB9" s="143">
        <v>1118.03</v>
      </c>
      <c r="EC9" s="143">
        <v>1662.91</v>
      </c>
      <c r="ED9" s="143">
        <v>2288.3000000000002</v>
      </c>
      <c r="EE9" s="143">
        <v>2155.62</v>
      </c>
      <c r="EF9" s="143">
        <v>7948.95</v>
      </c>
      <c r="EG9" s="145">
        <v>7776.12</v>
      </c>
      <c r="EH9" s="145">
        <v>4663.84</v>
      </c>
      <c r="EI9" s="145">
        <v>3302.56</v>
      </c>
      <c r="EJ9" s="145">
        <v>3262.79</v>
      </c>
      <c r="EK9" s="145">
        <v>1565.64</v>
      </c>
      <c r="EL9" s="145">
        <v>-11949.93</v>
      </c>
      <c r="EM9" s="145">
        <v>654.69000000000005</v>
      </c>
      <c r="EN9" s="145">
        <v>0</v>
      </c>
      <c r="EO9" s="145">
        <v>1049.8600000000001</v>
      </c>
      <c r="EP9" s="145">
        <v>235.1</v>
      </c>
      <c r="EQ9" s="145">
        <v>6222.59</v>
      </c>
      <c r="ER9" s="145">
        <v>6.54</v>
      </c>
      <c r="ES9" s="145">
        <f>-3.03-3.29-6.54</f>
        <v>-12.86</v>
      </c>
      <c r="ET9" s="149">
        <v>9009.85</v>
      </c>
      <c r="EU9" s="149">
        <v>1740.25</v>
      </c>
      <c r="EV9" s="149">
        <v>-5.91</v>
      </c>
      <c r="EW9" s="149">
        <v>0</v>
      </c>
      <c r="EX9" s="149">
        <v>0</v>
      </c>
      <c r="EY9" s="149">
        <v>599.03</v>
      </c>
      <c r="EZ9" s="149">
        <v>-175.65</v>
      </c>
      <c r="FA9" s="149">
        <v>3894.01</v>
      </c>
      <c r="FB9" s="149">
        <v>252.54</v>
      </c>
      <c r="FC9" s="149">
        <v>0</v>
      </c>
      <c r="FD9" s="149">
        <v>0</v>
      </c>
      <c r="FE9" s="145">
        <v>0</v>
      </c>
      <c r="FF9" s="145">
        <v>0</v>
      </c>
      <c r="FG9" s="145">
        <v>0</v>
      </c>
      <c r="FH9" s="145">
        <v>-482.01</v>
      </c>
      <c r="FI9" s="145">
        <v>0</v>
      </c>
      <c r="FJ9" s="145">
        <v>0</v>
      </c>
      <c r="FK9" s="145">
        <v>0</v>
      </c>
      <c r="FL9" s="145">
        <v>-452.69</v>
      </c>
      <c r="FM9" s="145">
        <v>24.26</v>
      </c>
      <c r="FN9" s="145">
        <v>6180.43</v>
      </c>
      <c r="FO9" s="145">
        <v>166.1</v>
      </c>
      <c r="FP9" s="145">
        <v>-72.73</v>
      </c>
      <c r="FQ9" s="145">
        <v>0</v>
      </c>
      <c r="FR9" s="145">
        <v>0</v>
      </c>
      <c r="FS9" s="145">
        <v>0</v>
      </c>
      <c r="FT9" s="145">
        <v>0</v>
      </c>
      <c r="FU9" s="145">
        <v>0</v>
      </c>
      <c r="FV9" s="145">
        <v>-9738.2999999999993</v>
      </c>
      <c r="FW9" s="145">
        <v>1292.6400000000001</v>
      </c>
      <c r="FX9" s="145">
        <v>0</v>
      </c>
      <c r="FY9" s="145">
        <v>0</v>
      </c>
      <c r="FZ9" s="145">
        <v>-2365.73</v>
      </c>
      <c r="GA9" s="145">
        <v>-451.5</v>
      </c>
      <c r="GB9" s="145">
        <v>-6588.11</v>
      </c>
      <c r="GC9" s="145">
        <v>0</v>
      </c>
      <c r="GD9" s="145">
        <v>0</v>
      </c>
      <c r="GE9" s="145">
        <v>0</v>
      </c>
      <c r="GF9" s="145">
        <v>0</v>
      </c>
      <c r="GG9" s="145">
        <v>0</v>
      </c>
      <c r="GH9" s="145">
        <v>-974.71</v>
      </c>
      <c r="GI9" s="145">
        <v>-4811.62</v>
      </c>
      <c r="GJ9" s="145">
        <v>0</v>
      </c>
      <c r="GK9" s="145">
        <v>73.900000000000006</v>
      </c>
      <c r="GL9" s="145">
        <v>0</v>
      </c>
      <c r="GM9" s="145">
        <v>0</v>
      </c>
      <c r="GN9" s="145">
        <v>403.19</v>
      </c>
      <c r="GO9" s="145">
        <v>-1.1000000000000001</v>
      </c>
      <c r="GP9" s="149">
        <v>0</v>
      </c>
      <c r="GQ9" s="145">
        <v>0</v>
      </c>
      <c r="GR9" s="145">
        <v>-328.53</v>
      </c>
      <c r="GS9" s="145">
        <v>-4988.8</v>
      </c>
      <c r="GT9" s="145">
        <v>-2.39</v>
      </c>
      <c r="GU9" s="145">
        <v>27.16</v>
      </c>
      <c r="GV9" s="145">
        <v>0</v>
      </c>
      <c r="GW9" s="145">
        <v>0</v>
      </c>
      <c r="GX9" s="145">
        <v>7346.74</v>
      </c>
      <c r="GY9" s="145">
        <v>6154.5</v>
      </c>
      <c r="GZ9" s="145">
        <v>0</v>
      </c>
      <c r="HA9" s="145">
        <v>112.7</v>
      </c>
      <c r="HB9" s="145">
        <v>5.68</v>
      </c>
      <c r="HC9" s="145">
        <v>0</v>
      </c>
      <c r="HD9" s="145">
        <v>63.73</v>
      </c>
      <c r="HE9" s="145">
        <v>85.94</v>
      </c>
      <c r="HF9" s="145">
        <v>76.31</v>
      </c>
      <c r="HG9" s="145">
        <v>58.86</v>
      </c>
      <c r="HH9" s="145">
        <v>83.56</v>
      </c>
      <c r="HI9" s="145">
        <v>22.92</v>
      </c>
      <c r="HJ9" s="145">
        <v>-65.430000000000007</v>
      </c>
      <c r="HK9" s="145">
        <v>-82.51</v>
      </c>
      <c r="HL9" s="145">
        <v>-86.82</v>
      </c>
      <c r="HM9" s="145">
        <v>-121.02</v>
      </c>
      <c r="HN9" s="145">
        <v>-102.32</v>
      </c>
      <c r="HO9" s="145">
        <v>-137.07</v>
      </c>
      <c r="HP9" s="145">
        <v>880.63</v>
      </c>
      <c r="HQ9" s="145">
        <v>843.2</v>
      </c>
      <c r="HR9" s="145">
        <v>884.35</v>
      </c>
      <c r="HS9" s="145">
        <v>900.39</v>
      </c>
      <c r="HT9" s="145">
        <v>939.96</v>
      </c>
      <c r="HU9" s="145">
        <v>886.41</v>
      </c>
      <c r="HV9" s="145">
        <v>836.82</v>
      </c>
      <c r="HW9" s="145">
        <v>765.88</v>
      </c>
      <c r="HX9" s="145">
        <v>888.07</v>
      </c>
      <c r="HY9" s="15">
        <v>620.30999999999995</v>
      </c>
      <c r="HZ9" s="15">
        <v>-529.51</v>
      </c>
      <c r="IA9" s="15">
        <v>84.47</v>
      </c>
      <c r="IB9" s="15">
        <v>84.47</v>
      </c>
      <c r="IC9" s="15">
        <v>287.23</v>
      </c>
      <c r="ID9" s="15">
        <v>265.3</v>
      </c>
      <c r="IE9" s="15">
        <v>568.79999999999995</v>
      </c>
      <c r="IF9" s="15">
        <v>993.36</v>
      </c>
      <c r="IG9" s="15">
        <v>754.48</v>
      </c>
      <c r="IH9" s="15">
        <v>3171.2</v>
      </c>
      <c r="II9" s="15">
        <v>1426.26</v>
      </c>
      <c r="IJ9" s="15">
        <v>863.05</v>
      </c>
      <c r="IK9" s="15">
        <v>821.99</v>
      </c>
      <c r="IL9" s="15">
        <v>880.34</v>
      </c>
      <c r="IM9" s="15">
        <v>877.03</v>
      </c>
      <c r="IN9" s="15">
        <v>287.06</v>
      </c>
      <c r="IO9" s="15">
        <v>366.11</v>
      </c>
      <c r="IP9" s="15">
        <v>302.85000000000002</v>
      </c>
      <c r="IQ9" s="15">
        <v>89.28</v>
      </c>
      <c r="IR9" s="15">
        <v>83.9</v>
      </c>
      <c r="IS9" s="15">
        <v>79.760000000000005</v>
      </c>
      <c r="IT9" s="15">
        <v>-0.02</v>
      </c>
      <c r="IU9" s="15">
        <v>-0.01</v>
      </c>
      <c r="IV9" s="15">
        <v>-644.01</v>
      </c>
      <c r="IW9" s="15">
        <v>-527.22</v>
      </c>
      <c r="IX9" s="15">
        <v>-231.29</v>
      </c>
      <c r="IY9" s="15">
        <v>667.72</v>
      </c>
      <c r="IZ9" s="15">
        <v>1242.69</v>
      </c>
      <c r="JA9" s="15">
        <v>2432.27</v>
      </c>
      <c r="JB9" s="15">
        <v>2173.67</v>
      </c>
      <c r="JC9" s="15">
        <v>2607.63</v>
      </c>
      <c r="JD9" s="15">
        <v>3034.38</v>
      </c>
      <c r="JE9" s="15">
        <v>3240.3</v>
      </c>
      <c r="JF9" s="15">
        <v>2912.81</v>
      </c>
      <c r="JG9" s="15">
        <v>3499.98</v>
      </c>
      <c r="JH9" s="15">
        <v>3123.76</v>
      </c>
      <c r="JI9" s="15">
        <v>2990.44</v>
      </c>
      <c r="JJ9" s="145">
        <v>1958.34</v>
      </c>
      <c r="JK9" s="145">
        <v>1966.41</v>
      </c>
      <c r="JL9" s="145"/>
      <c r="JM9" s="145"/>
      <c r="JN9" s="145"/>
      <c r="JO9" s="145"/>
      <c r="JP9" s="145"/>
      <c r="JQ9" s="145"/>
      <c r="JR9" s="145"/>
      <c r="JS9" s="145"/>
      <c r="JT9" s="145">
        <v>4080.69</v>
      </c>
      <c r="JU9" s="143"/>
      <c r="JV9" s="636"/>
      <c r="JW9" s="415"/>
      <c r="JX9" s="415"/>
      <c r="JY9" s="415"/>
      <c r="JZ9" s="415"/>
      <c r="KA9" s="415"/>
      <c r="KB9" s="415"/>
      <c r="KC9" s="415"/>
      <c r="KD9" s="415"/>
      <c r="KE9" s="415"/>
      <c r="KF9" s="415"/>
      <c r="KG9" s="415"/>
      <c r="KH9" s="415"/>
      <c r="KI9" s="637"/>
    </row>
    <row r="10" spans="1:295" x14ac:dyDescent="0.2">
      <c r="B10" s="24" t="s">
        <v>71</v>
      </c>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2">
        <v>8419.5</v>
      </c>
      <c r="AF10" s="142">
        <v>13678.92</v>
      </c>
      <c r="AG10" s="142">
        <v>14406.5</v>
      </c>
      <c r="AH10" s="142">
        <v>6367.3</v>
      </c>
      <c r="AI10" s="142">
        <v>6376.8</v>
      </c>
      <c r="AJ10" s="142">
        <v>4892.59</v>
      </c>
      <c r="AK10" s="142">
        <v>3510.74</v>
      </c>
      <c r="AL10" s="142">
        <v>2769.07</v>
      </c>
      <c r="AM10" s="142">
        <v>2069.7600000000002</v>
      </c>
      <c r="AN10" s="142">
        <v>1638.38</v>
      </c>
      <c r="AO10" s="142">
        <v>1161.44</v>
      </c>
      <c r="AP10" s="142">
        <v>576.61</v>
      </c>
      <c r="AQ10" s="142">
        <v>266.44</v>
      </c>
      <c r="AR10" s="142">
        <v>26457.93</v>
      </c>
      <c r="AS10" s="142">
        <v>14441</v>
      </c>
      <c r="AT10" s="142">
        <v>12919.47</v>
      </c>
      <c r="AU10" s="142">
        <v>8985.15</v>
      </c>
      <c r="AV10" s="142">
        <v>7445</v>
      </c>
      <c r="AW10" s="142">
        <v>-6037.7</v>
      </c>
      <c r="AX10" s="142">
        <v>16751.099999999999</v>
      </c>
      <c r="AY10" s="142">
        <v>3519.25</v>
      </c>
      <c r="AZ10" s="143">
        <v>3025.4</v>
      </c>
      <c r="BA10" s="143">
        <v>2191.0100000000002</v>
      </c>
      <c r="BB10" s="143">
        <v>1195.94</v>
      </c>
      <c r="BC10" s="143">
        <v>24691.279999999999</v>
      </c>
      <c r="BD10" s="143">
        <v>39729.14</v>
      </c>
      <c r="BE10" s="143">
        <v>34121.17</v>
      </c>
      <c r="BF10" s="143">
        <v>29556.75</v>
      </c>
      <c r="BG10" s="143">
        <v>20426.490000000002</v>
      </c>
      <c r="BH10" s="143">
        <v>15490.95</v>
      </c>
      <c r="BI10" s="143">
        <v>10780.01</v>
      </c>
      <c r="BJ10" s="143">
        <v>7340.15</v>
      </c>
      <c r="BK10" s="151">
        <v>4814.1099999999997</v>
      </c>
      <c r="BL10" s="151">
        <v>3410.63</v>
      </c>
      <c r="BM10" s="151">
        <v>1719.14</v>
      </c>
      <c r="BN10" s="151">
        <v>-207.49</v>
      </c>
      <c r="BO10" s="151">
        <v>44255.61</v>
      </c>
      <c r="BP10" s="151">
        <v>76280.039999999994</v>
      </c>
      <c r="BQ10" s="151">
        <v>72522.78</v>
      </c>
      <c r="BR10" s="152">
        <v>65970.84</v>
      </c>
      <c r="BS10" s="151">
        <v>53774.87</v>
      </c>
      <c r="BT10" s="151">
        <v>54171.58</v>
      </c>
      <c r="BU10" s="151">
        <v>48361.11</v>
      </c>
      <c r="BV10" s="151">
        <v>46837.47</v>
      </c>
      <c r="BW10" s="151">
        <v>43292.22</v>
      </c>
      <c r="BX10" s="151">
        <f>6976428.55-BX6-BX8-BX9</f>
        <v>43184.169999999358</v>
      </c>
      <c r="BY10" s="143">
        <v>41824.050000000003</v>
      </c>
      <c r="BZ10" s="147">
        <v>38883.47</v>
      </c>
      <c r="CA10" s="147">
        <v>62162.720000000001</v>
      </c>
      <c r="CB10" s="151">
        <v>94822.42</v>
      </c>
      <c r="CC10" s="143">
        <v>61465.64</v>
      </c>
      <c r="CD10" s="143">
        <v>43002.7</v>
      </c>
      <c r="CE10" s="151">
        <v>28051.37</v>
      </c>
      <c r="CF10" s="151">
        <v>17857.22</v>
      </c>
      <c r="CG10" s="151">
        <v>6409.48</v>
      </c>
      <c r="CH10" s="151">
        <v>341.79</v>
      </c>
      <c r="CI10" s="151">
        <v>-3662.17</v>
      </c>
      <c r="CJ10" s="151">
        <v>-5385.17</v>
      </c>
      <c r="CK10" s="151">
        <v>-7433.48</v>
      </c>
      <c r="CL10" s="151">
        <v>-9311.44</v>
      </c>
      <c r="CM10" s="153">
        <v>24159.86</v>
      </c>
      <c r="CN10" s="151">
        <v>20986.91</v>
      </c>
      <c r="CO10" s="152">
        <v>17336.29</v>
      </c>
      <c r="CP10" s="151">
        <v>11027.96</v>
      </c>
      <c r="CQ10" s="151">
        <v>6543.09</v>
      </c>
      <c r="CR10" s="151">
        <v>3461.88</v>
      </c>
      <c r="CS10" s="151">
        <v>410.19</v>
      </c>
      <c r="CT10" s="151">
        <v>-982.27</v>
      </c>
      <c r="CU10" s="151">
        <v>-1728.74</v>
      </c>
      <c r="CV10" s="151">
        <v>-2268.11</v>
      </c>
      <c r="CW10" s="151">
        <v>-2843.77</v>
      </c>
      <c r="CX10" s="151">
        <v>-3351.46</v>
      </c>
      <c r="CY10" s="151">
        <v>17878.14</v>
      </c>
      <c r="CZ10" s="149">
        <v>15309.02</v>
      </c>
      <c r="DA10" s="151">
        <v>12489.96</v>
      </c>
      <c r="DB10" s="150">
        <v>9198.3799999999992</v>
      </c>
      <c r="DC10" s="150">
        <v>6152.42</v>
      </c>
      <c r="DD10" s="151">
        <v>4319.17</v>
      </c>
      <c r="DE10" s="151">
        <v>2122.5500000000002</v>
      </c>
      <c r="DF10" s="147">
        <v>488.6</v>
      </c>
      <c r="DG10" s="146">
        <v>-663.19</v>
      </c>
      <c r="DH10" s="147">
        <v>-1517.33</v>
      </c>
      <c r="DI10" s="147">
        <v>-2266.69</v>
      </c>
      <c r="DJ10" s="147">
        <v>-2942.95</v>
      </c>
      <c r="DK10" s="147">
        <v>-4248.1400000000003</v>
      </c>
      <c r="DL10" s="143">
        <v>35574.86</v>
      </c>
      <c r="DM10" s="143">
        <v>31178.46</v>
      </c>
      <c r="DN10" s="143">
        <v>25114.41</v>
      </c>
      <c r="DO10" s="143">
        <v>17448.45</v>
      </c>
      <c r="DP10" s="143">
        <v>13533.22</v>
      </c>
      <c r="DQ10" s="143">
        <v>8546.4500000000007</v>
      </c>
      <c r="DR10" s="143">
        <v>5216.6099999999997</v>
      </c>
      <c r="DS10" s="143">
        <v>2934.05</v>
      </c>
      <c r="DT10" s="143">
        <v>1482.52</v>
      </c>
      <c r="DU10" s="143">
        <v>-13.52</v>
      </c>
      <c r="DV10" s="143">
        <v>-1399.94</v>
      </c>
      <c r="DW10" s="143">
        <v>-3672.85</v>
      </c>
      <c r="DX10" s="143">
        <v>-5178.95</v>
      </c>
      <c r="DY10" s="143">
        <v>-5572.57</v>
      </c>
      <c r="DZ10" s="143">
        <v>-5416.26</v>
      </c>
      <c r="EA10" s="143">
        <v>-4935</v>
      </c>
      <c r="EB10" s="143">
        <v>-5129.22</v>
      </c>
      <c r="EC10" s="143">
        <v>-4854.96</v>
      </c>
      <c r="ED10" s="143">
        <v>-4944.5200000000004</v>
      </c>
      <c r="EE10" s="143">
        <v>-4732.82</v>
      </c>
      <c r="EF10" s="143">
        <v>-4839.16</v>
      </c>
      <c r="EG10" s="143">
        <v>-4788.6899999999996</v>
      </c>
      <c r="EH10" s="143">
        <v>-4589.6899999999996</v>
      </c>
      <c r="EI10" s="143">
        <v>-4678.18</v>
      </c>
      <c r="EJ10" s="143">
        <v>-4455.6899999999996</v>
      </c>
      <c r="EK10" s="143">
        <v>-4523.37</v>
      </c>
      <c r="EL10" s="143">
        <v>-4449.29</v>
      </c>
      <c r="EM10" s="143">
        <v>-3961.19</v>
      </c>
      <c r="EN10" s="143">
        <v>-4316.04</v>
      </c>
      <c r="EO10" s="143">
        <v>-4126.33</v>
      </c>
      <c r="EP10" s="143">
        <v>-4225.6099999999997</v>
      </c>
      <c r="EQ10" s="143">
        <v>-4058.41</v>
      </c>
      <c r="ER10" s="143">
        <v>-4168.6899999999996</v>
      </c>
      <c r="ES10" s="143">
        <v>-4153.6000000000004</v>
      </c>
      <c r="ET10" s="149">
        <v>-3989.99</v>
      </c>
      <c r="EU10" s="149">
        <v>-4074.16</v>
      </c>
      <c r="EV10" s="149">
        <v>-3912.23</v>
      </c>
      <c r="EW10" s="149">
        <v>-4024.64</v>
      </c>
      <c r="EX10" s="149">
        <v>-4006.79</v>
      </c>
      <c r="EY10" s="149">
        <v>-3603.89</v>
      </c>
      <c r="EZ10" s="149">
        <v>-3974.17</v>
      </c>
      <c r="FA10" s="149">
        <v>-3830.7</v>
      </c>
      <c r="FB10" s="149">
        <v>-3946</v>
      </c>
      <c r="FC10" s="149">
        <v>-3814.09</v>
      </c>
      <c r="FD10" s="149">
        <v>-3937.74</v>
      </c>
      <c r="FE10" s="143">
        <v>-3934.66</v>
      </c>
      <c r="FF10" s="143">
        <v>-3804.62</v>
      </c>
      <c r="FG10" s="143">
        <v>-3926.69</v>
      </c>
      <c r="FH10" s="143">
        <v>-3792.58</v>
      </c>
      <c r="FI10" s="143">
        <v>-3907.92</v>
      </c>
      <c r="FJ10" s="143">
        <v>-3896.18</v>
      </c>
      <c r="FK10" s="143">
        <v>-3510.51</v>
      </c>
      <c r="FL10" s="143">
        <v>-3877.73</v>
      </c>
      <c r="FM10" s="143">
        <v>-3747.26</v>
      </c>
      <c r="FN10" s="143">
        <v>-3856.53</v>
      </c>
      <c r="FO10" s="143">
        <v>-3721.25</v>
      </c>
      <c r="FP10" s="143">
        <v>-3842.68</v>
      </c>
      <c r="FQ10" s="143">
        <v>-3840.46</v>
      </c>
      <c r="FR10" s="143">
        <v>-3713.86</v>
      </c>
      <c r="FS10" s="143">
        <v>-3833.49</v>
      </c>
      <c r="FT10" s="143">
        <v>17684.41</v>
      </c>
      <c r="FU10" s="143">
        <v>15387.78</v>
      </c>
      <c r="FV10" s="143">
        <v>12189.72</v>
      </c>
      <c r="FW10" s="143">
        <v>8924.2000000000007</v>
      </c>
      <c r="FX10" s="143">
        <v>7116.71</v>
      </c>
      <c r="FY10" s="143">
        <v>5560.26</v>
      </c>
      <c r="FZ10" s="143">
        <v>4564.38</v>
      </c>
      <c r="GA10" s="143">
        <v>3566.39</v>
      </c>
      <c r="GB10" s="143">
        <v>2942.19</v>
      </c>
      <c r="GC10" s="143">
        <v>2267.35</v>
      </c>
      <c r="GD10" s="143">
        <v>1500.1</v>
      </c>
      <c r="GE10" s="143">
        <v>345.96</v>
      </c>
      <c r="GF10" s="143">
        <v>47660.959999999999</v>
      </c>
      <c r="GG10" s="143">
        <v>42291.78</v>
      </c>
      <c r="GH10" s="143">
        <v>32965.089999999997</v>
      </c>
      <c r="GI10" s="143">
        <v>22357.8</v>
      </c>
      <c r="GJ10" s="143">
        <v>17239.05</v>
      </c>
      <c r="GK10" s="143">
        <v>11993.34</v>
      </c>
      <c r="GL10" s="143">
        <v>8266.65</v>
      </c>
      <c r="GM10" s="143">
        <v>5499.21</v>
      </c>
      <c r="GN10" s="143">
        <v>4050.27</v>
      </c>
      <c r="GO10" s="143">
        <v>2348.39</v>
      </c>
      <c r="GP10" s="149">
        <v>505.46</v>
      </c>
      <c r="GQ10" s="143">
        <v>-3114.3</v>
      </c>
      <c r="GR10" s="143">
        <v>-5581.99</v>
      </c>
      <c r="GS10" s="143">
        <v>-6210.14</v>
      </c>
      <c r="GT10" s="143">
        <v>-6314.82</v>
      </c>
      <c r="GU10" s="143">
        <v>-5734.37</v>
      </c>
      <c r="GV10" s="143">
        <v>-6384.23</v>
      </c>
      <c r="GW10" s="143">
        <v>-6524.71</v>
      </c>
      <c r="GX10" s="143">
        <v>-6744.07</v>
      </c>
      <c r="GY10" s="143">
        <v>-6512.81</v>
      </c>
      <c r="GZ10" s="143">
        <v>-7058.85</v>
      </c>
      <c r="HA10" s="143">
        <v>-7066.57</v>
      </c>
      <c r="HB10" s="143">
        <v>-6847.25</v>
      </c>
      <c r="HC10" s="143">
        <v>-7499.74</v>
      </c>
      <c r="HD10" s="143">
        <v>-7220.71</v>
      </c>
      <c r="HE10" s="143">
        <v>-7341.93</v>
      </c>
      <c r="HF10" s="143">
        <v>-7523.87</v>
      </c>
      <c r="HG10" s="143">
        <v>-6662.44</v>
      </c>
      <c r="HH10" s="143">
        <v>-7223.92</v>
      </c>
      <c r="HI10" s="143">
        <v>-7254.9</v>
      </c>
      <c r="HJ10" s="143">
        <v>-7429.42</v>
      </c>
      <c r="HK10" s="143">
        <v>-7147.99</v>
      </c>
      <c r="HL10" s="143">
        <v>-7419.49</v>
      </c>
      <c r="HM10" s="143">
        <v>-7389.1</v>
      </c>
      <c r="HN10" s="143">
        <v>-7117.28</v>
      </c>
      <c r="HO10" s="143">
        <v>-7178.15</v>
      </c>
      <c r="HP10" s="143">
        <v>-6878.25</v>
      </c>
      <c r="HQ10" s="143">
        <v>-7044.88</v>
      </c>
      <c r="HR10" s="143">
        <v>-6383.46</v>
      </c>
      <c r="HS10" s="143">
        <v>-5915.91</v>
      </c>
      <c r="HT10" s="143">
        <v>-6264.05</v>
      </c>
      <c r="HU10" s="143">
        <v>-5764.04</v>
      </c>
      <c r="HV10" s="143">
        <v>-5928.19</v>
      </c>
      <c r="HW10" s="143">
        <v>-5717.22</v>
      </c>
      <c r="HX10" s="143">
        <v>-4253.5200000000004</v>
      </c>
      <c r="HY10" s="15">
        <v>-4243.3599999999997</v>
      </c>
      <c r="HZ10" s="15">
        <v>-4098.47</v>
      </c>
      <c r="IA10" s="15">
        <v>-3999.53</v>
      </c>
      <c r="IB10" s="15">
        <v>2197.8000000000002</v>
      </c>
      <c r="IC10" s="15">
        <v>1472.13</v>
      </c>
      <c r="ID10" s="15">
        <v>599.28</v>
      </c>
      <c r="IE10" s="15">
        <v>-232.67</v>
      </c>
      <c r="IF10" s="15">
        <v>-1160.51</v>
      </c>
      <c r="IG10" s="15">
        <v>-1718.71</v>
      </c>
      <c r="IH10" s="15">
        <v>-2175.0500000000002</v>
      </c>
      <c r="II10" s="15">
        <v>-2357.62</v>
      </c>
      <c r="IJ10" s="15">
        <v>-2623.47</v>
      </c>
      <c r="IK10" s="15">
        <v>-2787.74</v>
      </c>
      <c r="IL10" s="15">
        <v>-2890.86</v>
      </c>
      <c r="IM10" s="15">
        <v>-3359.05</v>
      </c>
      <c r="IN10" s="15">
        <v>-2507.09</v>
      </c>
      <c r="IO10" s="15">
        <v>-2771.22</v>
      </c>
      <c r="IP10" s="15">
        <v>-2965</v>
      </c>
      <c r="IQ10" s="15">
        <v>-2828.59</v>
      </c>
      <c r="IR10" s="15">
        <v>-3286.71</v>
      </c>
      <c r="IS10" s="15">
        <v>-3302.95</v>
      </c>
      <c r="IT10" s="15">
        <v>-3514.54</v>
      </c>
      <c r="IU10" s="15">
        <v>-3463.69</v>
      </c>
      <c r="IV10" s="15">
        <v>-4014.07</v>
      </c>
      <c r="IW10" s="15">
        <v>-4051.71</v>
      </c>
      <c r="IX10" s="15">
        <v>-3956.06</v>
      </c>
      <c r="IY10" s="15">
        <v>-5653.08</v>
      </c>
      <c r="IZ10" s="15">
        <v>-4316.47</v>
      </c>
      <c r="JA10" s="15">
        <v>-4623.78</v>
      </c>
      <c r="JB10" s="15">
        <v>-6145.38</v>
      </c>
      <c r="JC10" s="15">
        <v>-5711.17</v>
      </c>
      <c r="JD10" s="15">
        <v>-6506.72</v>
      </c>
      <c r="JE10" s="15">
        <v>-7647.28</v>
      </c>
      <c r="JF10" s="15">
        <v>-8000.43</v>
      </c>
      <c r="JG10" s="15">
        <v>-7784.89</v>
      </c>
      <c r="JH10" s="15">
        <v>-8634.0400000000009</v>
      </c>
      <c r="JI10" s="15">
        <v>-8659.58</v>
      </c>
      <c r="JJ10" s="145">
        <v>-8416.8799999999992</v>
      </c>
      <c r="JK10" s="145">
        <v>-9139.99</v>
      </c>
      <c r="JL10" s="145">
        <v>-8871.16</v>
      </c>
      <c r="JM10" s="145">
        <v>-9116.7099999999991</v>
      </c>
      <c r="JN10" s="145">
        <v>-9217.56</v>
      </c>
      <c r="JO10" s="145">
        <v>-8567.81</v>
      </c>
      <c r="JP10" s="145">
        <v>-9105.19</v>
      </c>
      <c r="JQ10" s="145">
        <v>-8769.83</v>
      </c>
      <c r="JR10" s="145">
        <v>-9030.25</v>
      </c>
      <c r="JS10" s="145">
        <v>-8718.4699999999993</v>
      </c>
      <c r="JT10" s="145">
        <v>-8977.84</v>
      </c>
      <c r="JU10" s="395">
        <v>-8952.75</v>
      </c>
      <c r="JV10" s="634"/>
      <c r="JW10" s="413"/>
      <c r="JX10" s="413"/>
      <c r="JY10" s="413"/>
      <c r="JZ10" s="413"/>
      <c r="KA10" s="413"/>
      <c r="KB10" s="413"/>
      <c r="KC10" s="413"/>
      <c r="KD10" s="413"/>
      <c r="KE10" s="413"/>
      <c r="KF10" s="413"/>
      <c r="KG10" s="413"/>
      <c r="KH10" s="413"/>
      <c r="KI10" s="635"/>
    </row>
    <row r="11" spans="1:295" x14ac:dyDescent="0.2">
      <c r="B11" s="24" t="s">
        <v>108</v>
      </c>
      <c r="D11" s="154">
        <f t="shared" ref="D11:AI11" si="10">SUM(D7:D10)</f>
        <v>0</v>
      </c>
      <c r="E11" s="154">
        <f t="shared" si="10"/>
        <v>0</v>
      </c>
      <c r="F11" s="154">
        <f t="shared" si="10"/>
        <v>0</v>
      </c>
      <c r="G11" s="154">
        <f t="shared" si="10"/>
        <v>0</v>
      </c>
      <c r="H11" s="154">
        <f t="shared" si="10"/>
        <v>0</v>
      </c>
      <c r="I11" s="154">
        <f t="shared" si="10"/>
        <v>0</v>
      </c>
      <c r="J11" s="154">
        <f t="shared" si="10"/>
        <v>0</v>
      </c>
      <c r="K11" s="154">
        <f t="shared" si="10"/>
        <v>0</v>
      </c>
      <c r="L11" s="154">
        <f t="shared" si="10"/>
        <v>0</v>
      </c>
      <c r="M11" s="154">
        <f t="shared" si="10"/>
        <v>0</v>
      </c>
      <c r="N11" s="154">
        <f t="shared" si="10"/>
        <v>0</v>
      </c>
      <c r="O11" s="154">
        <f t="shared" si="10"/>
        <v>0</v>
      </c>
      <c r="P11" s="154">
        <f t="shared" si="10"/>
        <v>0</v>
      </c>
      <c r="Q11" s="154">
        <f t="shared" si="10"/>
        <v>0</v>
      </c>
      <c r="R11" s="154">
        <f t="shared" si="10"/>
        <v>0</v>
      </c>
      <c r="S11" s="154">
        <f t="shared" si="10"/>
        <v>0</v>
      </c>
      <c r="T11" s="154">
        <f t="shared" si="10"/>
        <v>0</v>
      </c>
      <c r="U11" s="154">
        <f t="shared" si="10"/>
        <v>0</v>
      </c>
      <c r="V11" s="154">
        <f t="shared" si="10"/>
        <v>0</v>
      </c>
      <c r="W11" s="154">
        <f t="shared" si="10"/>
        <v>0</v>
      </c>
      <c r="X11" s="154">
        <f t="shared" si="10"/>
        <v>0</v>
      </c>
      <c r="Y11" s="154">
        <f t="shared" si="10"/>
        <v>0</v>
      </c>
      <c r="Z11" s="154">
        <f t="shared" si="10"/>
        <v>0</v>
      </c>
      <c r="AA11" s="154">
        <f t="shared" si="10"/>
        <v>0</v>
      </c>
      <c r="AB11" s="154">
        <f t="shared" si="10"/>
        <v>0</v>
      </c>
      <c r="AC11" s="154">
        <f t="shared" si="10"/>
        <v>0</v>
      </c>
      <c r="AD11" s="154">
        <f t="shared" si="10"/>
        <v>0</v>
      </c>
      <c r="AE11" s="154">
        <f>SUM(AE7:AE10)</f>
        <v>5576078.6800000006</v>
      </c>
      <c r="AF11" s="154">
        <f t="shared" si="10"/>
        <v>-647166.74</v>
      </c>
      <c r="AG11" s="154">
        <f t="shared" si="10"/>
        <v>-691250.31</v>
      </c>
      <c r="AH11" s="154">
        <f t="shared" si="10"/>
        <v>-747348.0199999999</v>
      </c>
      <c r="AI11" s="154">
        <f t="shared" si="10"/>
        <v>-602340.09</v>
      </c>
      <c r="AJ11" s="154">
        <f t="shared" ref="AJ11:BM11" si="11">SUM(AJ7:AJ10)</f>
        <v>-491962.5</v>
      </c>
      <c r="AK11" s="154">
        <f t="shared" si="11"/>
        <v>-273845.52</v>
      </c>
      <c r="AL11" s="154">
        <f t="shared" si="11"/>
        <v>-222123.16</v>
      </c>
      <c r="AM11" s="154">
        <f t="shared" si="11"/>
        <v>-155377.09</v>
      </c>
      <c r="AN11" s="154">
        <f t="shared" si="11"/>
        <v>-130011.66</v>
      </c>
      <c r="AO11" s="154">
        <f t="shared" si="11"/>
        <v>-143995.53</v>
      </c>
      <c r="AP11" s="154">
        <f t="shared" si="11"/>
        <v>-188674.17</v>
      </c>
      <c r="AQ11" s="154">
        <f t="shared" si="11"/>
        <v>5017487.12</v>
      </c>
      <c r="AR11" s="154">
        <f t="shared" si="11"/>
        <v>-621788.35</v>
      </c>
      <c r="AS11" s="154">
        <f t="shared" si="11"/>
        <v>-769347.67</v>
      </c>
      <c r="AT11" s="154">
        <f t="shared" si="11"/>
        <v>-849164.99</v>
      </c>
      <c r="AU11" s="154">
        <f t="shared" si="11"/>
        <v>-685561.6</v>
      </c>
      <c r="AV11" s="154">
        <f t="shared" si="11"/>
        <v>-490604.89</v>
      </c>
      <c r="AW11" s="154">
        <f t="shared" si="11"/>
        <v>-445749.2</v>
      </c>
      <c r="AX11" s="154">
        <f t="shared" si="11"/>
        <v>-242345.68</v>
      </c>
      <c r="AY11" s="154">
        <f t="shared" si="11"/>
        <v>-209927.09</v>
      </c>
      <c r="AZ11" s="154">
        <f t="shared" si="11"/>
        <v>-162752.82999999999</v>
      </c>
      <c r="BA11" s="154">
        <f t="shared" si="11"/>
        <v>-171770.44999999998</v>
      </c>
      <c r="BB11" s="154">
        <f t="shared" si="11"/>
        <v>-216965.72</v>
      </c>
      <c r="BC11" s="154">
        <f t="shared" si="11"/>
        <v>8259898.7000000002</v>
      </c>
      <c r="BD11" s="154">
        <f t="shared" si="11"/>
        <v>-1135535.75</v>
      </c>
      <c r="BE11" s="154">
        <f t="shared" si="11"/>
        <v>-1354836.72</v>
      </c>
      <c r="BF11" s="154">
        <f t="shared" si="11"/>
        <v>-1225957.49</v>
      </c>
      <c r="BG11" s="154">
        <f t="shared" si="11"/>
        <v>-1256564.6299999999</v>
      </c>
      <c r="BH11" s="154">
        <f t="shared" si="11"/>
        <v>-1076219.8400000001</v>
      </c>
      <c r="BI11" s="154">
        <f t="shared" si="11"/>
        <v>-740098.24</v>
      </c>
      <c r="BJ11" s="154">
        <f t="shared" si="11"/>
        <v>-471087.75999999995</v>
      </c>
      <c r="BK11" s="154">
        <f t="shared" si="11"/>
        <v>-305462.06</v>
      </c>
      <c r="BL11" s="154">
        <f t="shared" si="11"/>
        <v>-249560.74999999997</v>
      </c>
      <c r="BM11" s="154">
        <f t="shared" si="11"/>
        <v>-259163.87999999998</v>
      </c>
      <c r="BN11" s="154">
        <f>SUM(BN7:BN10)</f>
        <v>-330800.87</v>
      </c>
      <c r="BO11" s="154">
        <f>SUM(BO7:BO10)</f>
        <v>12015341.950000001</v>
      </c>
      <c r="BP11" s="154">
        <f t="shared" ref="BP11:BQ11" si="12">SUM(BP7:BP10)</f>
        <v>-719958.78</v>
      </c>
      <c r="BQ11" s="154">
        <f t="shared" si="12"/>
        <v>-905502.90999999992</v>
      </c>
      <c r="BR11" s="154">
        <f>ROUND(SUM(BR7:BR10),2)</f>
        <v>-1039173.53</v>
      </c>
      <c r="BS11" s="154">
        <f t="shared" ref="BS11:ED11" si="13">ROUND(SUM(BS7:BS10),2)</f>
        <v>-736953.73</v>
      </c>
      <c r="BT11" s="154">
        <f t="shared" si="13"/>
        <v>-643920.61</v>
      </c>
      <c r="BU11" s="154">
        <f t="shared" si="13"/>
        <v>-483989.78</v>
      </c>
      <c r="BV11" s="154">
        <f t="shared" si="13"/>
        <v>-316201.40000000002</v>
      </c>
      <c r="BW11" s="154">
        <f t="shared" si="13"/>
        <v>-211830.19</v>
      </c>
      <c r="BX11" s="154">
        <f t="shared" si="13"/>
        <v>-143389.43</v>
      </c>
      <c r="BY11" s="154">
        <f t="shared" si="13"/>
        <v>-158498.49</v>
      </c>
      <c r="BZ11" s="154">
        <f t="shared" si="13"/>
        <v>-231538.13</v>
      </c>
      <c r="CA11" s="154">
        <f t="shared" si="13"/>
        <v>6013385.6500000004</v>
      </c>
      <c r="CB11" s="154">
        <f t="shared" si="13"/>
        <v>-1519718.5</v>
      </c>
      <c r="CC11" s="154">
        <f t="shared" si="13"/>
        <v>-2076792.83</v>
      </c>
      <c r="CD11" s="154">
        <f t="shared" si="13"/>
        <v>-2294376.86</v>
      </c>
      <c r="CE11" s="154">
        <f t="shared" si="13"/>
        <v>-1749514.2</v>
      </c>
      <c r="CF11" s="154">
        <f t="shared" si="13"/>
        <v>-1773120.67</v>
      </c>
      <c r="CG11" s="154">
        <f t="shared" si="13"/>
        <v>-1397511.84</v>
      </c>
      <c r="CH11" s="154">
        <f t="shared" si="13"/>
        <v>-797032.65</v>
      </c>
      <c r="CI11" s="154">
        <f t="shared" si="13"/>
        <v>-673942.79</v>
      </c>
      <c r="CJ11" s="154">
        <f t="shared" si="13"/>
        <v>-416404.69</v>
      </c>
      <c r="CK11" s="154">
        <f t="shared" si="13"/>
        <v>-498729.75</v>
      </c>
      <c r="CL11" s="154">
        <f t="shared" si="13"/>
        <v>-504826.57</v>
      </c>
      <c r="CM11" s="155">
        <f t="shared" si="13"/>
        <v>7870812.4199999999</v>
      </c>
      <c r="CN11" s="154">
        <f t="shared" si="13"/>
        <v>-674758.22</v>
      </c>
      <c r="CO11" s="154">
        <f t="shared" si="13"/>
        <v>-1258620.82</v>
      </c>
      <c r="CP11" s="154">
        <f t="shared" si="13"/>
        <v>-1144160.8</v>
      </c>
      <c r="CQ11" s="154">
        <f t="shared" si="13"/>
        <v>-921374.5</v>
      </c>
      <c r="CR11" s="154">
        <f t="shared" si="13"/>
        <v>-947115.72</v>
      </c>
      <c r="CS11" s="154">
        <f t="shared" si="13"/>
        <v>-607845.30000000005</v>
      </c>
      <c r="CT11" s="154">
        <f t="shared" si="13"/>
        <v>-379227.46</v>
      </c>
      <c r="CU11" s="154">
        <f t="shared" si="13"/>
        <v>-208199.45</v>
      </c>
      <c r="CV11" s="154">
        <f t="shared" si="13"/>
        <v>-186847.93</v>
      </c>
      <c r="CW11" s="154">
        <f t="shared" si="13"/>
        <v>-231138.05</v>
      </c>
      <c r="CX11" s="154">
        <f t="shared" si="13"/>
        <v>-230780.15</v>
      </c>
      <c r="CY11" s="154">
        <f t="shared" si="13"/>
        <v>7586702.2599999998</v>
      </c>
      <c r="CZ11" s="154">
        <f t="shared" si="13"/>
        <v>-879019.84</v>
      </c>
      <c r="DA11" s="154">
        <f t="shared" si="13"/>
        <v>-1425938.89</v>
      </c>
      <c r="DB11" s="154">
        <f t="shared" si="13"/>
        <v>-980742.84</v>
      </c>
      <c r="DC11" s="154">
        <f t="shared" si="13"/>
        <v>-829077.87</v>
      </c>
      <c r="DD11" s="154">
        <f t="shared" si="13"/>
        <v>-880732.88</v>
      </c>
      <c r="DE11" s="154">
        <f t="shared" si="13"/>
        <v>-692504.81</v>
      </c>
      <c r="DF11" s="154">
        <f t="shared" si="13"/>
        <v>-534577.74</v>
      </c>
      <c r="DG11" s="154">
        <f t="shared" si="13"/>
        <v>-344984.9</v>
      </c>
      <c r="DH11" s="154">
        <f t="shared" si="13"/>
        <v>-258181.6</v>
      </c>
      <c r="DI11" s="154">
        <f t="shared" si="13"/>
        <v>-285949.46000000002</v>
      </c>
      <c r="DJ11" s="154">
        <f t="shared" si="13"/>
        <v>-288729.09000000003</v>
      </c>
      <c r="DK11" s="154">
        <f t="shared" si="13"/>
        <v>-558491.29</v>
      </c>
      <c r="DL11" s="156">
        <f t="shared" si="13"/>
        <v>14288639.560000001</v>
      </c>
      <c r="DM11" s="156">
        <f t="shared" si="13"/>
        <v>-2099271.08</v>
      </c>
      <c r="DN11" s="156">
        <f t="shared" si="13"/>
        <v>-2226514.73</v>
      </c>
      <c r="DO11" s="156">
        <f t="shared" si="13"/>
        <v>-2148759.87</v>
      </c>
      <c r="DP11" s="156">
        <f t="shared" si="13"/>
        <v>-1832958.75</v>
      </c>
      <c r="DQ11" s="156">
        <f t="shared" si="13"/>
        <v>-1621794.29</v>
      </c>
      <c r="DR11" s="156">
        <f t="shared" si="13"/>
        <v>-995399.73</v>
      </c>
      <c r="DS11" s="156">
        <f t="shared" si="13"/>
        <v>-633833.43999999994</v>
      </c>
      <c r="DT11" s="156">
        <f t="shared" si="13"/>
        <v>-480184.74</v>
      </c>
      <c r="DU11" s="156">
        <f t="shared" si="13"/>
        <v>-591679.30000000005</v>
      </c>
      <c r="DV11" s="156">
        <f t="shared" si="13"/>
        <v>-473858.79</v>
      </c>
      <c r="DW11" s="156">
        <f t="shared" si="13"/>
        <v>-1072352.3999999999</v>
      </c>
      <c r="DX11" s="156">
        <f t="shared" si="13"/>
        <v>-240579.06</v>
      </c>
      <c r="DY11" s="156">
        <f t="shared" si="13"/>
        <v>48756.41</v>
      </c>
      <c r="DZ11" s="156">
        <f t="shared" si="13"/>
        <v>53108.55</v>
      </c>
      <c r="EA11" s="156">
        <f t="shared" si="13"/>
        <v>42906.400000000001</v>
      </c>
      <c r="EB11" s="156">
        <f t="shared" si="13"/>
        <v>49506.559999999998</v>
      </c>
      <c r="EC11" s="156">
        <f t="shared" si="13"/>
        <v>24792.09</v>
      </c>
      <c r="ED11" s="156">
        <f t="shared" si="13"/>
        <v>17567.89</v>
      </c>
      <c r="EE11" s="156">
        <f t="shared" ref="EE11:GP11" si="14">ROUND(SUM(EE7:EE10),2)</f>
        <v>12848.12</v>
      </c>
      <c r="EF11" s="156">
        <f t="shared" si="14"/>
        <v>14168.78</v>
      </c>
      <c r="EG11" s="156">
        <f t="shared" si="14"/>
        <v>12898.35</v>
      </c>
      <c r="EH11" s="156">
        <f t="shared" si="14"/>
        <v>11690.65</v>
      </c>
      <c r="EI11" s="156">
        <f t="shared" si="14"/>
        <v>24073.83</v>
      </c>
      <c r="EJ11" s="156">
        <f t="shared" si="14"/>
        <v>21445.08</v>
      </c>
      <c r="EK11" s="156">
        <f t="shared" si="14"/>
        <v>26845.86</v>
      </c>
      <c r="EL11" s="156">
        <f t="shared" si="14"/>
        <v>18654.78</v>
      </c>
      <c r="EM11" s="156">
        <f t="shared" si="14"/>
        <v>21315.5</v>
      </c>
      <c r="EN11" s="156">
        <f t="shared" si="14"/>
        <v>17931.96</v>
      </c>
      <c r="EO11" s="156">
        <f t="shared" si="14"/>
        <v>13146.53</v>
      </c>
      <c r="EP11" s="156">
        <f t="shared" si="14"/>
        <v>6358.49</v>
      </c>
      <c r="EQ11" s="156">
        <f t="shared" si="14"/>
        <v>8657.18</v>
      </c>
      <c r="ER11" s="156">
        <f t="shared" si="14"/>
        <v>1533.85</v>
      </c>
      <c r="ES11" s="156">
        <f t="shared" si="14"/>
        <v>1118.54</v>
      </c>
      <c r="ET11" s="156">
        <f t="shared" si="14"/>
        <v>12309.86</v>
      </c>
      <c r="EU11" s="156">
        <f t="shared" si="14"/>
        <v>14341.09</v>
      </c>
      <c r="EV11" s="156">
        <f t="shared" si="14"/>
        <v>1900.86</v>
      </c>
      <c r="EW11" s="156">
        <f t="shared" si="14"/>
        <v>2923.36</v>
      </c>
      <c r="EX11" s="156">
        <f t="shared" si="14"/>
        <v>2062.21</v>
      </c>
      <c r="EY11" s="156">
        <f t="shared" si="14"/>
        <v>3061.14</v>
      </c>
      <c r="EZ11" s="156">
        <f t="shared" si="14"/>
        <v>421.18</v>
      </c>
      <c r="FA11" s="156">
        <f t="shared" si="14"/>
        <v>3171.31</v>
      </c>
      <c r="FB11" s="156">
        <f t="shared" si="14"/>
        <v>-1724.46</v>
      </c>
      <c r="FC11" s="156">
        <f t="shared" si="14"/>
        <v>-2447.09</v>
      </c>
      <c r="FD11" s="156">
        <f t="shared" si="14"/>
        <v>-2801.74</v>
      </c>
      <c r="FE11" s="156">
        <f t="shared" si="14"/>
        <v>-2831.66</v>
      </c>
      <c r="FF11" s="156">
        <f t="shared" si="14"/>
        <v>-2552.62</v>
      </c>
      <c r="FG11" s="156">
        <f t="shared" si="14"/>
        <v>-1853.69</v>
      </c>
      <c r="FH11" s="156">
        <f t="shared" si="14"/>
        <v>-322.58999999999997</v>
      </c>
      <c r="FI11" s="156">
        <f t="shared" si="14"/>
        <v>456.08</v>
      </c>
      <c r="FJ11" s="156">
        <f t="shared" si="14"/>
        <v>262.82</v>
      </c>
      <c r="FK11" s="156">
        <f t="shared" si="14"/>
        <v>-351.51</v>
      </c>
      <c r="FL11" s="156">
        <f t="shared" si="14"/>
        <v>-1326.42</v>
      </c>
      <c r="FM11" s="156">
        <f t="shared" si="14"/>
        <v>-1178</v>
      </c>
      <c r="FN11" s="156">
        <f t="shared" si="14"/>
        <v>3814.9</v>
      </c>
      <c r="FO11" s="156">
        <f t="shared" si="14"/>
        <v>-2578.15</v>
      </c>
      <c r="FP11" s="156">
        <f t="shared" si="14"/>
        <v>-3096.41</v>
      </c>
      <c r="FQ11" s="156">
        <f t="shared" si="14"/>
        <v>-2982.46</v>
      </c>
      <c r="FR11" s="156">
        <f t="shared" si="14"/>
        <v>-2536.86</v>
      </c>
      <c r="FS11" s="156">
        <f t="shared" si="14"/>
        <v>-2083.4899999999998</v>
      </c>
      <c r="FT11" s="156">
        <f t="shared" si="14"/>
        <v>7631051.4100000001</v>
      </c>
      <c r="FU11" s="156">
        <f t="shared" si="14"/>
        <v>-1171035.22</v>
      </c>
      <c r="FV11" s="156">
        <f t="shared" si="14"/>
        <v>-1123506.58</v>
      </c>
      <c r="FW11" s="156">
        <f t="shared" si="14"/>
        <v>-855611.16</v>
      </c>
      <c r="FX11" s="156">
        <f t="shared" si="14"/>
        <v>-832497.29</v>
      </c>
      <c r="FY11" s="156">
        <f t="shared" si="14"/>
        <v>-451719.74</v>
      </c>
      <c r="FZ11" s="156">
        <f t="shared" si="14"/>
        <v>-339292.35</v>
      </c>
      <c r="GA11" s="156">
        <f t="shared" si="14"/>
        <v>-266185.11</v>
      </c>
      <c r="GB11" s="156">
        <f t="shared" si="14"/>
        <v>-249478.92</v>
      </c>
      <c r="GC11" s="156">
        <f t="shared" si="14"/>
        <v>-203835.65</v>
      </c>
      <c r="GD11" s="156">
        <f t="shared" si="14"/>
        <v>-276386.90000000002</v>
      </c>
      <c r="GE11" s="156">
        <f t="shared" si="14"/>
        <v>-501850.04</v>
      </c>
      <c r="GF11" s="156">
        <f t="shared" si="14"/>
        <v>16018885.960000001</v>
      </c>
      <c r="GG11" s="156">
        <f t="shared" si="14"/>
        <v>-2936664.22</v>
      </c>
      <c r="GH11" s="156">
        <f t="shared" si="14"/>
        <v>-3235192.62</v>
      </c>
      <c r="GI11" s="156">
        <f t="shared" si="14"/>
        <v>-2550759.8199999998</v>
      </c>
      <c r="GJ11" s="156">
        <f t="shared" si="14"/>
        <v>-2246248.9500000002</v>
      </c>
      <c r="GK11" s="156">
        <f t="shared" si="14"/>
        <v>-1570444.76</v>
      </c>
      <c r="GL11" s="156">
        <f t="shared" si="14"/>
        <v>-1033184.35</v>
      </c>
      <c r="GM11" s="156">
        <f t="shared" si="14"/>
        <v>-650333.79</v>
      </c>
      <c r="GN11" s="156">
        <f t="shared" si="14"/>
        <v>-530443.54</v>
      </c>
      <c r="GO11" s="156">
        <f t="shared" si="14"/>
        <v>-480216.71</v>
      </c>
      <c r="GP11" s="156">
        <f t="shared" si="14"/>
        <v>-608897.54</v>
      </c>
      <c r="GQ11" s="156">
        <f t="shared" ref="GQ11:JN11" si="15">ROUND(SUM(GQ7:GQ10),2)</f>
        <v>-1355971.3</v>
      </c>
      <c r="GR11" s="156">
        <f t="shared" si="15"/>
        <v>-251610.52</v>
      </c>
      <c r="GS11" s="156">
        <f t="shared" si="15"/>
        <v>-22302.94</v>
      </c>
      <c r="GT11" s="156">
        <f t="shared" si="15"/>
        <v>-16135.21</v>
      </c>
      <c r="GU11" s="156">
        <f t="shared" si="15"/>
        <v>-15676.21</v>
      </c>
      <c r="GV11" s="156">
        <f t="shared" si="15"/>
        <v>-15236.23</v>
      </c>
      <c r="GW11" s="156">
        <f t="shared" si="15"/>
        <v>-12605.71</v>
      </c>
      <c r="GX11" s="156">
        <f t="shared" si="15"/>
        <v>-2465.33</v>
      </c>
      <c r="GY11" s="156">
        <f t="shared" si="15"/>
        <v>-3143.31</v>
      </c>
      <c r="GZ11" s="156">
        <f t="shared" si="15"/>
        <v>-8881.85</v>
      </c>
      <c r="HA11" s="156">
        <f t="shared" si="15"/>
        <v>-9098.8700000000008</v>
      </c>
      <c r="HB11" s="156">
        <f t="shared" si="15"/>
        <v>-9325.57</v>
      </c>
      <c r="HC11" s="156">
        <f t="shared" si="15"/>
        <v>-12713.74</v>
      </c>
      <c r="HD11" s="156">
        <f t="shared" si="15"/>
        <v>14260.02</v>
      </c>
      <c r="HE11" s="156">
        <f t="shared" si="15"/>
        <v>26095.01</v>
      </c>
      <c r="HF11" s="156">
        <f t="shared" si="15"/>
        <v>24503.439999999999</v>
      </c>
      <c r="HG11" s="156">
        <f t="shared" si="15"/>
        <v>31508.42</v>
      </c>
      <c r="HH11" s="156">
        <f t="shared" si="15"/>
        <v>21124.639999999999</v>
      </c>
      <c r="HI11" s="156">
        <f t="shared" si="15"/>
        <v>10754.02</v>
      </c>
      <c r="HJ11" s="156">
        <f t="shared" si="15"/>
        <v>3762.15</v>
      </c>
      <c r="HK11" s="156">
        <f t="shared" si="15"/>
        <v>859.5</v>
      </c>
      <c r="HL11" s="156">
        <f t="shared" si="15"/>
        <v>-751.31</v>
      </c>
      <c r="HM11" s="156">
        <f t="shared" si="15"/>
        <v>-1016.12</v>
      </c>
      <c r="HN11" s="156">
        <f t="shared" si="15"/>
        <v>1363.4</v>
      </c>
      <c r="HO11" s="156">
        <f t="shared" si="15"/>
        <v>13096.78</v>
      </c>
      <c r="HP11" s="156">
        <f t="shared" si="15"/>
        <v>4717.38</v>
      </c>
      <c r="HQ11" s="156">
        <f t="shared" si="15"/>
        <v>7905.32</v>
      </c>
      <c r="HR11" s="156">
        <f t="shared" si="15"/>
        <v>8799.89</v>
      </c>
      <c r="HS11" s="156">
        <f t="shared" si="15"/>
        <v>8156.48</v>
      </c>
      <c r="HT11" s="156">
        <f t="shared" si="15"/>
        <v>7257.91</v>
      </c>
      <c r="HU11" s="156">
        <f t="shared" si="15"/>
        <v>2617.37</v>
      </c>
      <c r="HV11" s="156">
        <f t="shared" si="15"/>
        <v>-414.37</v>
      </c>
      <c r="HW11" s="156">
        <f t="shared" si="15"/>
        <v>-904.34</v>
      </c>
      <c r="HX11" s="156">
        <f t="shared" si="15"/>
        <v>-505.45</v>
      </c>
      <c r="HY11" s="156">
        <f t="shared" si="15"/>
        <v>-972.05</v>
      </c>
      <c r="HZ11" s="156">
        <f t="shared" si="15"/>
        <v>-1543.98</v>
      </c>
      <c r="IA11" s="156">
        <f t="shared" si="15"/>
        <v>2617.94</v>
      </c>
      <c r="IB11" s="156">
        <f t="shared" si="15"/>
        <v>2154040.71</v>
      </c>
      <c r="IC11" s="156">
        <f t="shared" si="15"/>
        <v>-313164.64</v>
      </c>
      <c r="ID11" s="156">
        <f t="shared" si="15"/>
        <v>-316922.42</v>
      </c>
      <c r="IE11" s="156">
        <f t="shared" si="15"/>
        <v>-334300.87</v>
      </c>
      <c r="IF11" s="156">
        <f t="shared" si="15"/>
        <v>-293067.15000000002</v>
      </c>
      <c r="IG11" s="156">
        <f t="shared" si="15"/>
        <v>-172629.23</v>
      </c>
      <c r="IH11" s="156">
        <f t="shared" si="15"/>
        <v>-120356.85</v>
      </c>
      <c r="II11" s="156">
        <f t="shared" si="15"/>
        <v>-79685.36</v>
      </c>
      <c r="IJ11" s="156">
        <f t="shared" si="15"/>
        <v>-60529.42</v>
      </c>
      <c r="IK11" s="156">
        <f t="shared" si="15"/>
        <v>-63619.75</v>
      </c>
      <c r="IL11" s="156">
        <f t="shared" si="15"/>
        <v>-86883.520000000004</v>
      </c>
      <c r="IM11" s="156">
        <f t="shared" si="15"/>
        <v>-177525.02</v>
      </c>
      <c r="IN11" s="156">
        <f t="shared" si="15"/>
        <v>327808.28000000003</v>
      </c>
      <c r="IO11" s="156">
        <f t="shared" si="15"/>
        <v>-73346.11</v>
      </c>
      <c r="IP11" s="156">
        <f t="shared" si="15"/>
        <v>-72856.149999999994</v>
      </c>
      <c r="IQ11" s="156">
        <f t="shared" si="15"/>
        <v>-60459.31</v>
      </c>
      <c r="IR11" s="156">
        <f t="shared" si="15"/>
        <v>-53175.81</v>
      </c>
      <c r="IS11" s="156">
        <f t="shared" si="15"/>
        <v>-46873.19</v>
      </c>
      <c r="IT11" s="156">
        <f t="shared" si="15"/>
        <v>-33489.56</v>
      </c>
      <c r="IU11" s="156">
        <f t="shared" si="15"/>
        <v>-21967.7</v>
      </c>
      <c r="IV11" s="156">
        <f t="shared" si="15"/>
        <v>-17774.080000000002</v>
      </c>
      <c r="IW11" s="156">
        <f t="shared" si="15"/>
        <v>-15167.93</v>
      </c>
      <c r="IX11" s="156">
        <f t="shared" si="15"/>
        <v>-16751.349999999999</v>
      </c>
      <c r="IY11" s="156">
        <f t="shared" ref="IY11:JJ11" si="16">ROUND(SUM(IY7:IY10),2)</f>
        <v>-28701.360000000001</v>
      </c>
      <c r="IZ11" s="156">
        <f t="shared" si="16"/>
        <v>275306.76</v>
      </c>
      <c r="JA11" s="156">
        <f t="shared" si="16"/>
        <v>-45448.51</v>
      </c>
      <c r="JB11" s="156">
        <f t="shared" si="16"/>
        <v>-41669.71</v>
      </c>
      <c r="JC11" s="156">
        <f t="shared" si="16"/>
        <v>-39939.54</v>
      </c>
      <c r="JD11" s="156">
        <f t="shared" si="16"/>
        <v>-37785.339999999997</v>
      </c>
      <c r="JE11" s="156">
        <f t="shared" si="16"/>
        <v>-30722.98</v>
      </c>
      <c r="JF11" s="156">
        <f t="shared" si="16"/>
        <v>-16484.62</v>
      </c>
      <c r="JG11" s="156">
        <f t="shared" si="16"/>
        <v>-13539.91</v>
      </c>
      <c r="JH11" s="156">
        <f t="shared" si="16"/>
        <v>-12281.28</v>
      </c>
      <c r="JI11" s="156">
        <f t="shared" si="16"/>
        <v>-12491.14</v>
      </c>
      <c r="JJ11" s="156">
        <f t="shared" si="16"/>
        <v>-15595.54</v>
      </c>
      <c r="JK11" s="156">
        <f t="shared" si="15"/>
        <v>-24802.58</v>
      </c>
      <c r="JL11" s="156">
        <f t="shared" si="15"/>
        <v>-2716.16</v>
      </c>
      <c r="JM11" s="156">
        <f t="shared" si="15"/>
        <v>-1456.71</v>
      </c>
      <c r="JN11" s="156">
        <f t="shared" si="15"/>
        <v>367.44</v>
      </c>
      <c r="JO11" s="156">
        <f t="shared" ref="JO11:JU11" si="17">ROUND(SUM(JO7:JO10),2)</f>
        <v>-1171.81</v>
      </c>
      <c r="JP11" s="156">
        <f t="shared" si="17"/>
        <v>-2100.19</v>
      </c>
      <c r="JQ11" s="156">
        <f t="shared" si="17"/>
        <v>-3524.83</v>
      </c>
      <c r="JR11" s="156">
        <f t="shared" si="17"/>
        <v>-5434.25</v>
      </c>
      <c r="JS11" s="156">
        <f t="shared" si="17"/>
        <v>-6265.47</v>
      </c>
      <c r="JT11" s="156">
        <f t="shared" si="17"/>
        <v>-3173.15</v>
      </c>
      <c r="JU11" s="156">
        <f t="shared" si="17"/>
        <v>-7396.75</v>
      </c>
      <c r="JV11" s="638"/>
      <c r="JW11" s="626"/>
      <c r="JX11" s="626"/>
      <c r="JY11" s="626"/>
      <c r="JZ11" s="626"/>
      <c r="KA11" s="626"/>
      <c r="KB11" s="626"/>
      <c r="KC11" s="626"/>
      <c r="KD11" s="626"/>
      <c r="KE11" s="626"/>
      <c r="KF11" s="626"/>
      <c r="KG11" s="626"/>
      <c r="KH11" s="626"/>
      <c r="KI11" s="639"/>
    </row>
    <row r="12" spans="1:295" x14ac:dyDescent="0.2">
      <c r="B12" s="24" t="s">
        <v>109</v>
      </c>
      <c r="D12" s="50">
        <f t="shared" ref="D12:BO12" si="18">+D6+D11</f>
        <v>0</v>
      </c>
      <c r="E12" s="50">
        <f t="shared" si="18"/>
        <v>0</v>
      </c>
      <c r="F12" s="50">
        <f t="shared" si="18"/>
        <v>0</v>
      </c>
      <c r="G12" s="50">
        <f t="shared" si="18"/>
        <v>0</v>
      </c>
      <c r="H12" s="50">
        <f t="shared" si="18"/>
        <v>0</v>
      </c>
      <c r="I12" s="50">
        <f t="shared" si="18"/>
        <v>0</v>
      </c>
      <c r="J12" s="50">
        <f t="shared" si="18"/>
        <v>0</v>
      </c>
      <c r="K12" s="50">
        <f t="shared" si="18"/>
        <v>0</v>
      </c>
      <c r="L12" s="50">
        <f t="shared" si="18"/>
        <v>0</v>
      </c>
      <c r="M12" s="50">
        <f t="shared" si="18"/>
        <v>0</v>
      </c>
      <c r="N12" s="50">
        <f t="shared" si="18"/>
        <v>0</v>
      </c>
      <c r="O12" s="50">
        <f t="shared" si="18"/>
        <v>0</v>
      </c>
      <c r="P12" s="50">
        <f t="shared" si="18"/>
        <v>0</v>
      </c>
      <c r="Q12" s="50">
        <f t="shared" si="18"/>
        <v>0</v>
      </c>
      <c r="R12" s="50">
        <f t="shared" si="18"/>
        <v>0</v>
      </c>
      <c r="S12" s="50">
        <f t="shared" si="18"/>
        <v>0</v>
      </c>
      <c r="T12" s="50">
        <f t="shared" si="18"/>
        <v>0</v>
      </c>
      <c r="U12" s="50">
        <f t="shared" si="18"/>
        <v>0</v>
      </c>
      <c r="V12" s="50">
        <f t="shared" si="18"/>
        <v>0</v>
      </c>
      <c r="W12" s="50">
        <f t="shared" si="18"/>
        <v>0</v>
      </c>
      <c r="X12" s="50">
        <f t="shared" si="18"/>
        <v>0</v>
      </c>
      <c r="Y12" s="50">
        <f t="shared" si="18"/>
        <v>0</v>
      </c>
      <c r="Z12" s="50">
        <f t="shared" si="18"/>
        <v>0</v>
      </c>
      <c r="AA12" s="50">
        <f t="shared" si="18"/>
        <v>0</v>
      </c>
      <c r="AB12" s="50">
        <f t="shared" si="18"/>
        <v>0</v>
      </c>
      <c r="AC12" s="50">
        <f t="shared" si="18"/>
        <v>0</v>
      </c>
      <c r="AD12" s="50">
        <f t="shared" si="18"/>
        <v>0</v>
      </c>
      <c r="AE12" s="50">
        <f>+AE6+AE11</f>
        <v>4449982.3900000006</v>
      </c>
      <c r="AF12" s="50">
        <f t="shared" si="18"/>
        <v>3802815.6499999994</v>
      </c>
      <c r="AG12" s="50">
        <f t="shared" si="18"/>
        <v>3111565.34</v>
      </c>
      <c r="AH12" s="50">
        <f t="shared" si="18"/>
        <v>2364217.3199999998</v>
      </c>
      <c r="AI12" s="50">
        <f t="shared" si="18"/>
        <v>1761877.23</v>
      </c>
      <c r="AJ12" s="50">
        <f t="shared" si="18"/>
        <v>1269914.73</v>
      </c>
      <c r="AK12" s="50">
        <f t="shared" si="18"/>
        <v>996069.21</v>
      </c>
      <c r="AL12" s="50">
        <f t="shared" si="18"/>
        <v>773946.04999999993</v>
      </c>
      <c r="AM12" s="50">
        <f t="shared" si="18"/>
        <v>618568.96000000008</v>
      </c>
      <c r="AN12" s="50">
        <f t="shared" si="18"/>
        <v>488557.29999999993</v>
      </c>
      <c r="AO12" s="50">
        <f t="shared" si="18"/>
        <v>344561.77</v>
      </c>
      <c r="AP12" s="50">
        <f t="shared" si="18"/>
        <v>155887.6</v>
      </c>
      <c r="AQ12" s="50">
        <f t="shared" si="18"/>
        <v>5173374.72</v>
      </c>
      <c r="AR12" s="50">
        <f t="shared" si="18"/>
        <v>4551586.37</v>
      </c>
      <c r="AS12" s="50">
        <f t="shared" si="18"/>
        <v>3782238.7</v>
      </c>
      <c r="AT12" s="50">
        <f t="shared" si="18"/>
        <v>2933073.71</v>
      </c>
      <c r="AU12" s="50">
        <f t="shared" si="18"/>
        <v>2247512.11</v>
      </c>
      <c r="AV12" s="50">
        <f t="shared" si="18"/>
        <v>1756907.2199999997</v>
      </c>
      <c r="AW12" s="50">
        <f t="shared" si="18"/>
        <v>1311158.02</v>
      </c>
      <c r="AX12" s="50">
        <f t="shared" si="18"/>
        <v>1068812.3400000001</v>
      </c>
      <c r="AY12" s="50">
        <f t="shared" si="18"/>
        <v>858885.25000000012</v>
      </c>
      <c r="AZ12" s="127">
        <f t="shared" si="18"/>
        <v>696132.42</v>
      </c>
      <c r="BA12" s="127">
        <f t="shared" si="18"/>
        <v>524361.97000000009</v>
      </c>
      <c r="BB12" s="127">
        <f t="shared" si="18"/>
        <v>307396.25</v>
      </c>
      <c r="BC12" s="127">
        <f t="shared" si="18"/>
        <v>8567294.9499999993</v>
      </c>
      <c r="BD12" s="127">
        <f t="shared" si="18"/>
        <v>7431759.1999999993</v>
      </c>
      <c r="BE12" s="127">
        <f t="shared" si="18"/>
        <v>6076922.4800000004</v>
      </c>
      <c r="BF12" s="127">
        <f t="shared" si="18"/>
        <v>4850964.99</v>
      </c>
      <c r="BG12" s="127">
        <f t="shared" si="18"/>
        <v>3594400.3600000003</v>
      </c>
      <c r="BH12" s="127">
        <f t="shared" si="18"/>
        <v>2518180.5199999996</v>
      </c>
      <c r="BI12" s="127">
        <f t="shared" si="18"/>
        <v>1778082.28</v>
      </c>
      <c r="BJ12" s="127">
        <f t="shared" si="18"/>
        <v>1306994.52</v>
      </c>
      <c r="BK12" s="127">
        <f t="shared" si="18"/>
        <v>1001532.46</v>
      </c>
      <c r="BL12" s="127">
        <f t="shared" si="18"/>
        <v>751971.71</v>
      </c>
      <c r="BM12" s="127">
        <f t="shared" si="18"/>
        <v>492807.82999999996</v>
      </c>
      <c r="BN12" s="127">
        <f t="shared" si="18"/>
        <v>162006.96000000002</v>
      </c>
      <c r="BO12" s="127">
        <f t="shared" si="18"/>
        <v>12177348.910000002</v>
      </c>
      <c r="BP12" s="127">
        <f t="shared" ref="BP12:BQ12" si="19">+BP6+BP11</f>
        <v>11457390.130000001</v>
      </c>
      <c r="BQ12" s="127">
        <f t="shared" si="19"/>
        <v>10551887.220000001</v>
      </c>
      <c r="BR12" s="127">
        <f>ROUND(+BR6+BR11,2)</f>
        <v>9512713.6899999995</v>
      </c>
      <c r="BS12" s="127">
        <f t="shared" ref="BS12:ED12" si="20">ROUND(+BS6+BS11,2)</f>
        <v>8775759.9600000009</v>
      </c>
      <c r="BT12" s="127">
        <f t="shared" si="20"/>
        <v>8131839.3499999996</v>
      </c>
      <c r="BU12" s="127">
        <f t="shared" si="20"/>
        <v>7647849.5700000003</v>
      </c>
      <c r="BV12" s="127">
        <f t="shared" si="20"/>
        <v>7331648.1699999999</v>
      </c>
      <c r="BW12" s="127">
        <f t="shared" si="20"/>
        <v>7119817.9800000004</v>
      </c>
      <c r="BX12" s="127">
        <f t="shared" si="20"/>
        <v>6976428.5499999998</v>
      </c>
      <c r="BY12" s="127">
        <f t="shared" si="20"/>
        <v>6817930.0599999996</v>
      </c>
      <c r="BZ12" s="127">
        <f t="shared" si="20"/>
        <v>6586391.9299999997</v>
      </c>
      <c r="CA12" s="127">
        <f t="shared" si="20"/>
        <v>12599777.58</v>
      </c>
      <c r="CB12" s="127">
        <f t="shared" si="20"/>
        <v>11080059.08</v>
      </c>
      <c r="CC12" s="127">
        <f t="shared" si="20"/>
        <v>9003266.25</v>
      </c>
      <c r="CD12" s="127">
        <f t="shared" si="20"/>
        <v>6708889.3899999997</v>
      </c>
      <c r="CE12" s="127">
        <f t="shared" si="20"/>
        <v>4959375.1900000004</v>
      </c>
      <c r="CF12" s="127">
        <f t="shared" si="20"/>
        <v>3186254.52</v>
      </c>
      <c r="CG12" s="127">
        <f t="shared" si="20"/>
        <v>1788742.68</v>
      </c>
      <c r="CH12" s="127">
        <f t="shared" si="20"/>
        <v>991710.03</v>
      </c>
      <c r="CI12" s="127">
        <f t="shared" si="20"/>
        <v>317767.24</v>
      </c>
      <c r="CJ12" s="157">
        <f t="shared" si="20"/>
        <v>-98637.45</v>
      </c>
      <c r="CK12" s="157">
        <f t="shared" si="20"/>
        <v>-597367.19999999995</v>
      </c>
      <c r="CL12" s="157">
        <f t="shared" si="20"/>
        <v>-1102193.77</v>
      </c>
      <c r="CM12" s="158">
        <f t="shared" si="20"/>
        <v>6768618.6500000004</v>
      </c>
      <c r="CN12" s="157">
        <f t="shared" si="20"/>
        <v>6093860.4299999997</v>
      </c>
      <c r="CO12" s="157">
        <f t="shared" si="20"/>
        <v>4835239.6100000003</v>
      </c>
      <c r="CP12" s="157">
        <f t="shared" si="20"/>
        <v>3691078.81</v>
      </c>
      <c r="CQ12" s="157">
        <f t="shared" si="20"/>
        <v>2769704.31</v>
      </c>
      <c r="CR12" s="157">
        <f t="shared" si="20"/>
        <v>1822588.59</v>
      </c>
      <c r="CS12" s="157">
        <f t="shared" si="20"/>
        <v>1214743.29</v>
      </c>
      <c r="CT12" s="157">
        <f t="shared" si="20"/>
        <v>835515.83</v>
      </c>
      <c r="CU12" s="157">
        <f t="shared" si="20"/>
        <v>627316.38</v>
      </c>
      <c r="CV12" s="157">
        <f t="shared" si="20"/>
        <v>440468.45</v>
      </c>
      <c r="CW12" s="157">
        <f t="shared" si="20"/>
        <v>209330.4</v>
      </c>
      <c r="CX12" s="157">
        <f t="shared" si="20"/>
        <v>-21449.75</v>
      </c>
      <c r="CY12" s="157">
        <f t="shared" si="20"/>
        <v>7565252.5099999998</v>
      </c>
      <c r="CZ12" s="157">
        <f t="shared" si="20"/>
        <v>6686232.6699999999</v>
      </c>
      <c r="DA12" s="157">
        <f t="shared" si="20"/>
        <v>5260293.78</v>
      </c>
      <c r="DB12" s="157">
        <f t="shared" si="20"/>
        <v>4279550.9400000004</v>
      </c>
      <c r="DC12" s="157">
        <f t="shared" si="20"/>
        <v>3450473.07</v>
      </c>
      <c r="DD12" s="157">
        <f t="shared" si="20"/>
        <v>2569740.19</v>
      </c>
      <c r="DE12" s="157">
        <f t="shared" si="20"/>
        <v>1877235.38</v>
      </c>
      <c r="DF12" s="157">
        <f t="shared" si="20"/>
        <v>1342657.64</v>
      </c>
      <c r="DG12" s="157">
        <f t="shared" si="20"/>
        <v>997672.74</v>
      </c>
      <c r="DH12" s="157">
        <f t="shared" si="20"/>
        <v>739491.14</v>
      </c>
      <c r="DI12" s="127">
        <f t="shared" si="20"/>
        <v>453541.68</v>
      </c>
      <c r="DJ12" s="127">
        <f t="shared" si="20"/>
        <v>164812.59</v>
      </c>
      <c r="DK12" s="127">
        <f t="shared" si="20"/>
        <v>-393678.7</v>
      </c>
      <c r="DL12" s="139">
        <f t="shared" si="20"/>
        <v>13894960.859999999</v>
      </c>
      <c r="DM12" s="139">
        <f t="shared" si="20"/>
        <v>11795689.779999999</v>
      </c>
      <c r="DN12" s="139">
        <f t="shared" si="20"/>
        <v>9569175.0500000007</v>
      </c>
      <c r="DO12" s="139">
        <f t="shared" si="20"/>
        <v>7420415.1799999997</v>
      </c>
      <c r="DP12" s="139">
        <f t="shared" si="20"/>
        <v>5587456.4299999997</v>
      </c>
      <c r="DQ12" s="139">
        <f t="shared" si="20"/>
        <v>3965662.14</v>
      </c>
      <c r="DR12" s="139">
        <f t="shared" si="20"/>
        <v>2970262.41</v>
      </c>
      <c r="DS12" s="139">
        <f t="shared" si="20"/>
        <v>2336428.9700000002</v>
      </c>
      <c r="DT12" s="139">
        <f t="shared" si="20"/>
        <v>1856244.23</v>
      </c>
      <c r="DU12" s="139">
        <f t="shared" si="20"/>
        <v>1264564.93</v>
      </c>
      <c r="DV12" s="139">
        <f t="shared" si="20"/>
        <v>790706.14</v>
      </c>
      <c r="DW12" s="139">
        <f t="shared" si="20"/>
        <v>-281646.26</v>
      </c>
      <c r="DX12" s="139">
        <f t="shared" si="20"/>
        <v>-522225.32</v>
      </c>
      <c r="DY12" s="139">
        <f t="shared" si="20"/>
        <v>-473468.91</v>
      </c>
      <c r="DZ12" s="139">
        <f t="shared" si="20"/>
        <v>-420360.36</v>
      </c>
      <c r="EA12" s="139">
        <f t="shared" si="20"/>
        <v>-377453.96</v>
      </c>
      <c r="EB12" s="139">
        <f t="shared" si="20"/>
        <v>-327947.40000000002</v>
      </c>
      <c r="EC12" s="139">
        <f t="shared" si="20"/>
        <v>-303155.31</v>
      </c>
      <c r="ED12" s="139">
        <f t="shared" si="20"/>
        <v>-285587.42</v>
      </c>
      <c r="EE12" s="139">
        <f t="shared" ref="EE12:GP12" si="21">ROUND(+EE6+EE11,2)</f>
        <v>-272739.3</v>
      </c>
      <c r="EF12" s="139">
        <f t="shared" si="21"/>
        <v>-258570.52</v>
      </c>
      <c r="EG12" s="139">
        <f t="shared" si="21"/>
        <v>-245672.17</v>
      </c>
      <c r="EH12" s="139">
        <f t="shared" si="21"/>
        <v>-233981.52</v>
      </c>
      <c r="EI12" s="139">
        <f t="shared" si="21"/>
        <v>-209907.69</v>
      </c>
      <c r="EJ12" s="139">
        <f t="shared" si="21"/>
        <v>-188462.61</v>
      </c>
      <c r="EK12" s="139">
        <f t="shared" si="21"/>
        <v>-161616.75</v>
      </c>
      <c r="EL12" s="139">
        <f t="shared" si="21"/>
        <v>-142961.97</v>
      </c>
      <c r="EM12" s="139">
        <f t="shared" si="21"/>
        <v>-121646.47</v>
      </c>
      <c r="EN12" s="139">
        <f t="shared" si="21"/>
        <v>-103714.51</v>
      </c>
      <c r="EO12" s="139">
        <f t="shared" si="21"/>
        <v>-90567.98</v>
      </c>
      <c r="EP12" s="139">
        <f t="shared" si="21"/>
        <v>-84209.49</v>
      </c>
      <c r="EQ12" s="139">
        <f t="shared" si="21"/>
        <v>-75552.31</v>
      </c>
      <c r="ER12" s="139">
        <f t="shared" si="21"/>
        <v>-74018.460000000006</v>
      </c>
      <c r="ES12" s="139">
        <f t="shared" si="21"/>
        <v>-72899.92</v>
      </c>
      <c r="ET12" s="139">
        <f t="shared" si="21"/>
        <v>-60590.06</v>
      </c>
      <c r="EU12" s="139">
        <f t="shared" si="21"/>
        <v>-46248.97</v>
      </c>
      <c r="EV12" s="139">
        <f t="shared" si="21"/>
        <v>-44348.11</v>
      </c>
      <c r="EW12" s="139">
        <f t="shared" si="21"/>
        <v>-41424.75</v>
      </c>
      <c r="EX12" s="139">
        <f t="shared" si="21"/>
        <v>-39362.54</v>
      </c>
      <c r="EY12" s="139">
        <f t="shared" si="21"/>
        <v>-36301.4</v>
      </c>
      <c r="EZ12" s="139">
        <f t="shared" si="21"/>
        <v>-35880.22</v>
      </c>
      <c r="FA12" s="139">
        <f t="shared" si="21"/>
        <v>-32708.91</v>
      </c>
      <c r="FB12" s="139">
        <f t="shared" si="21"/>
        <v>-34433.370000000003</v>
      </c>
      <c r="FC12" s="139">
        <f t="shared" si="21"/>
        <v>-36880.46</v>
      </c>
      <c r="FD12" s="139">
        <f t="shared" si="21"/>
        <v>-39682.199999999997</v>
      </c>
      <c r="FE12" s="139">
        <f t="shared" si="21"/>
        <v>-42513.86</v>
      </c>
      <c r="FF12" s="139">
        <f t="shared" si="21"/>
        <v>-45066.48</v>
      </c>
      <c r="FG12" s="139">
        <f t="shared" si="21"/>
        <v>-46920.17</v>
      </c>
      <c r="FH12" s="139">
        <f t="shared" si="21"/>
        <v>-47242.76</v>
      </c>
      <c r="FI12" s="139">
        <f t="shared" si="21"/>
        <v>-46786.68</v>
      </c>
      <c r="FJ12" s="139">
        <f t="shared" si="21"/>
        <v>-46523.86</v>
      </c>
      <c r="FK12" s="139">
        <f t="shared" si="21"/>
        <v>-46875.37</v>
      </c>
      <c r="FL12" s="139">
        <f t="shared" si="21"/>
        <v>-48201.79</v>
      </c>
      <c r="FM12" s="139">
        <f t="shared" si="21"/>
        <v>-49379.79</v>
      </c>
      <c r="FN12" s="139">
        <f t="shared" si="21"/>
        <v>-45564.89</v>
      </c>
      <c r="FO12" s="139">
        <f t="shared" si="21"/>
        <v>-48143.040000000001</v>
      </c>
      <c r="FP12" s="139">
        <f t="shared" si="21"/>
        <v>-51239.45</v>
      </c>
      <c r="FQ12" s="139">
        <f t="shared" si="21"/>
        <v>-54221.91</v>
      </c>
      <c r="FR12" s="139">
        <f t="shared" si="21"/>
        <v>-56758.77</v>
      </c>
      <c r="FS12" s="139">
        <f t="shared" si="21"/>
        <v>-58842.26</v>
      </c>
      <c r="FT12" s="139">
        <f t="shared" si="21"/>
        <v>7572209.1500000004</v>
      </c>
      <c r="FU12" s="139">
        <f t="shared" si="21"/>
        <v>6401173.9299999997</v>
      </c>
      <c r="FV12" s="139">
        <f t="shared" si="21"/>
        <v>5277667.3499999996</v>
      </c>
      <c r="FW12" s="139">
        <f t="shared" si="21"/>
        <v>4422056.1900000004</v>
      </c>
      <c r="FX12" s="139">
        <f t="shared" si="21"/>
        <v>3589558.9</v>
      </c>
      <c r="FY12" s="139">
        <f t="shared" si="21"/>
        <v>3137839.16</v>
      </c>
      <c r="FZ12" s="139">
        <f t="shared" si="21"/>
        <v>2798546.81</v>
      </c>
      <c r="GA12" s="139">
        <f t="shared" si="21"/>
        <v>2532361.7000000002</v>
      </c>
      <c r="GB12" s="139">
        <f t="shared" si="21"/>
        <v>2282882.7799999998</v>
      </c>
      <c r="GC12" s="139">
        <f t="shared" si="21"/>
        <v>2079047.13</v>
      </c>
      <c r="GD12" s="139">
        <f t="shared" si="21"/>
        <v>1802660.23</v>
      </c>
      <c r="GE12" s="139">
        <f t="shared" si="21"/>
        <v>1300810.19</v>
      </c>
      <c r="GF12" s="139">
        <f t="shared" si="21"/>
        <v>17319696.149999999</v>
      </c>
      <c r="GG12" s="139">
        <f t="shared" si="21"/>
        <v>14383031.93</v>
      </c>
      <c r="GH12" s="139">
        <f t="shared" si="21"/>
        <v>11147839.310000001</v>
      </c>
      <c r="GI12" s="139">
        <f t="shared" si="21"/>
        <v>8597079.4900000002</v>
      </c>
      <c r="GJ12" s="139">
        <f t="shared" si="21"/>
        <v>6350830.54</v>
      </c>
      <c r="GK12" s="139">
        <f t="shared" si="21"/>
        <v>4780385.78</v>
      </c>
      <c r="GL12" s="139">
        <f t="shared" si="21"/>
        <v>3747201.43</v>
      </c>
      <c r="GM12" s="139">
        <f t="shared" si="21"/>
        <v>3096867.64</v>
      </c>
      <c r="GN12" s="139">
        <f t="shared" si="21"/>
        <v>2566424.1</v>
      </c>
      <c r="GO12" s="139">
        <f t="shared" si="21"/>
        <v>2086207.39</v>
      </c>
      <c r="GP12" s="139">
        <f t="shared" si="21"/>
        <v>1477309.85</v>
      </c>
      <c r="GQ12" s="139">
        <f t="shared" ref="GQ12:JN12" si="22">ROUND(+GQ6+GQ11,2)</f>
        <v>121338.55</v>
      </c>
      <c r="GR12" s="139">
        <f t="shared" si="22"/>
        <v>-130271.97</v>
      </c>
      <c r="GS12" s="139">
        <f t="shared" si="22"/>
        <v>-152574.91</v>
      </c>
      <c r="GT12" s="139">
        <f t="shared" si="22"/>
        <v>-168710.12</v>
      </c>
      <c r="GU12" s="139">
        <f t="shared" si="22"/>
        <v>-184386.33</v>
      </c>
      <c r="GV12" s="139">
        <f t="shared" si="22"/>
        <v>-199622.56</v>
      </c>
      <c r="GW12" s="139">
        <f t="shared" si="22"/>
        <v>-212228.27</v>
      </c>
      <c r="GX12" s="139">
        <f t="shared" si="22"/>
        <v>-214693.6</v>
      </c>
      <c r="GY12" s="139">
        <f t="shared" si="22"/>
        <v>-217836.91</v>
      </c>
      <c r="GZ12" s="139">
        <f t="shared" si="22"/>
        <v>-226718.76</v>
      </c>
      <c r="HA12" s="139">
        <f t="shared" si="22"/>
        <v>-235817.63</v>
      </c>
      <c r="HB12" s="139">
        <f t="shared" si="22"/>
        <v>-245143.2</v>
      </c>
      <c r="HC12" s="139">
        <f t="shared" si="22"/>
        <v>-257856.94</v>
      </c>
      <c r="HD12" s="139">
        <f t="shared" si="22"/>
        <v>-243596.92</v>
      </c>
      <c r="HE12" s="139">
        <f t="shared" si="22"/>
        <v>-217501.91</v>
      </c>
      <c r="HF12" s="139">
        <f t="shared" si="22"/>
        <v>-192998.47</v>
      </c>
      <c r="HG12" s="139">
        <f t="shared" si="22"/>
        <v>-161490.04999999999</v>
      </c>
      <c r="HH12" s="139">
        <f t="shared" si="22"/>
        <v>-140365.41</v>
      </c>
      <c r="HI12" s="139">
        <f t="shared" si="22"/>
        <v>-129611.39</v>
      </c>
      <c r="HJ12" s="139">
        <f t="shared" si="22"/>
        <v>-125849.24</v>
      </c>
      <c r="HK12" s="139">
        <f t="shared" si="22"/>
        <v>-124989.74</v>
      </c>
      <c r="HL12" s="139">
        <f t="shared" si="22"/>
        <v>-125741.05</v>
      </c>
      <c r="HM12" s="139">
        <f t="shared" si="22"/>
        <v>-126757.17</v>
      </c>
      <c r="HN12" s="139">
        <f t="shared" si="22"/>
        <v>-125393.77</v>
      </c>
      <c r="HO12" s="139">
        <f t="shared" si="22"/>
        <v>-112296.99</v>
      </c>
      <c r="HP12" s="139">
        <f t="shared" si="22"/>
        <v>-107579.61</v>
      </c>
      <c r="HQ12" s="139">
        <f t="shared" si="22"/>
        <v>-99674.29</v>
      </c>
      <c r="HR12" s="139">
        <f t="shared" si="22"/>
        <v>-90874.4</v>
      </c>
      <c r="HS12" s="139">
        <f t="shared" si="22"/>
        <v>-82717.919999999998</v>
      </c>
      <c r="HT12" s="139">
        <f t="shared" si="22"/>
        <v>-75460.009999999995</v>
      </c>
      <c r="HU12" s="139">
        <f t="shared" si="22"/>
        <v>-72842.64</v>
      </c>
      <c r="HV12" s="139">
        <f t="shared" si="22"/>
        <v>-73257.009999999995</v>
      </c>
      <c r="HW12" s="139">
        <f t="shared" si="22"/>
        <v>-74161.350000000006</v>
      </c>
      <c r="HX12" s="139">
        <f t="shared" si="22"/>
        <v>-74666.8</v>
      </c>
      <c r="HY12" s="139">
        <f t="shared" si="22"/>
        <v>-75638.850000000006</v>
      </c>
      <c r="HZ12" s="139">
        <f t="shared" si="22"/>
        <v>-77182.83</v>
      </c>
      <c r="IA12" s="139">
        <f t="shared" si="22"/>
        <v>-74564.89</v>
      </c>
      <c r="IB12" s="139">
        <f t="shared" si="22"/>
        <v>2079475.82</v>
      </c>
      <c r="IC12" s="139">
        <f t="shared" si="22"/>
        <v>1766311.18</v>
      </c>
      <c r="ID12" s="139">
        <f t="shared" si="22"/>
        <v>1449388.76</v>
      </c>
      <c r="IE12" s="139">
        <f t="shared" si="22"/>
        <v>1115087.8899999999</v>
      </c>
      <c r="IF12" s="139">
        <f t="shared" si="22"/>
        <v>822020.74</v>
      </c>
      <c r="IG12" s="139">
        <f t="shared" si="22"/>
        <v>649391.51</v>
      </c>
      <c r="IH12" s="139">
        <f t="shared" si="22"/>
        <v>529034.66</v>
      </c>
      <c r="II12" s="139">
        <f t="shared" si="22"/>
        <v>449349.3</v>
      </c>
      <c r="IJ12" s="139">
        <f t="shared" si="22"/>
        <v>388819.88</v>
      </c>
      <c r="IK12" s="139">
        <f t="shared" si="22"/>
        <v>325200.13</v>
      </c>
      <c r="IL12" s="139">
        <f t="shared" si="22"/>
        <v>238316.61</v>
      </c>
      <c r="IM12" s="139">
        <f t="shared" si="22"/>
        <v>60791.59</v>
      </c>
      <c r="IN12" s="139">
        <f t="shared" si="22"/>
        <v>388599.87</v>
      </c>
      <c r="IO12" s="139">
        <f t="shared" si="22"/>
        <v>315253.76000000001</v>
      </c>
      <c r="IP12" s="139">
        <f t="shared" si="22"/>
        <v>242397.61</v>
      </c>
      <c r="IQ12" s="139">
        <f t="shared" si="22"/>
        <v>181938.3</v>
      </c>
      <c r="IR12" s="139">
        <f t="shared" si="22"/>
        <v>128762.49</v>
      </c>
      <c r="IS12" s="139">
        <f t="shared" si="22"/>
        <v>81889.3</v>
      </c>
      <c r="IT12" s="139">
        <f t="shared" si="22"/>
        <v>48399.74</v>
      </c>
      <c r="IU12" s="139">
        <f t="shared" si="22"/>
        <v>26432.04</v>
      </c>
      <c r="IV12" s="139">
        <f t="shared" si="22"/>
        <v>8657.9599999999991</v>
      </c>
      <c r="IW12" s="139">
        <f t="shared" si="22"/>
        <v>-6509.97</v>
      </c>
      <c r="IX12" s="139">
        <f t="shared" si="22"/>
        <v>-23261.32</v>
      </c>
      <c r="IY12" s="139">
        <f t="shared" ref="IY12:JJ12" si="23">ROUND(+IY6+IY11,2)</f>
        <v>-51962.68</v>
      </c>
      <c r="IZ12" s="139">
        <f t="shared" si="23"/>
        <v>223344.08</v>
      </c>
      <c r="JA12" s="139">
        <f t="shared" si="23"/>
        <v>177895.57</v>
      </c>
      <c r="JB12" s="139">
        <f t="shared" si="23"/>
        <v>136225.85999999999</v>
      </c>
      <c r="JC12" s="139">
        <f t="shared" si="23"/>
        <v>96286.32</v>
      </c>
      <c r="JD12" s="139">
        <f t="shared" si="23"/>
        <v>58500.98</v>
      </c>
      <c r="JE12" s="139">
        <f t="shared" si="23"/>
        <v>27778</v>
      </c>
      <c r="JF12" s="139">
        <f t="shared" si="23"/>
        <v>11293.38</v>
      </c>
      <c r="JG12" s="139">
        <f t="shared" si="23"/>
        <v>-2246.5300000000002</v>
      </c>
      <c r="JH12" s="139">
        <f t="shared" si="23"/>
        <v>-14527.81</v>
      </c>
      <c r="JI12" s="139">
        <f t="shared" si="23"/>
        <v>-27018.95</v>
      </c>
      <c r="JJ12" s="139">
        <f t="shared" si="23"/>
        <v>-42614.49</v>
      </c>
      <c r="JK12" s="139">
        <f t="shared" si="22"/>
        <v>-67417.070000000007</v>
      </c>
      <c r="JL12" s="139">
        <f t="shared" si="22"/>
        <v>-70133.23</v>
      </c>
      <c r="JM12" s="139">
        <f t="shared" si="22"/>
        <v>-71589.94</v>
      </c>
      <c r="JN12" s="139">
        <f t="shared" si="22"/>
        <v>-71222.5</v>
      </c>
      <c r="JO12" s="139">
        <f t="shared" ref="JO12:JU12" si="24">ROUND(+JO6+JO11,2)</f>
        <v>-72394.31</v>
      </c>
      <c r="JP12" s="139">
        <f t="shared" si="24"/>
        <v>-74494.5</v>
      </c>
      <c r="JQ12" s="139">
        <f t="shared" si="24"/>
        <v>-78019.33</v>
      </c>
      <c r="JR12" s="139">
        <f t="shared" si="24"/>
        <v>-83453.58</v>
      </c>
      <c r="JS12" s="139">
        <f t="shared" si="24"/>
        <v>-89719.05</v>
      </c>
      <c r="JT12" s="139">
        <f t="shared" si="24"/>
        <v>-92892.2</v>
      </c>
      <c r="JU12" s="139">
        <f t="shared" si="24"/>
        <v>-100288.95</v>
      </c>
      <c r="JV12" s="632"/>
      <c r="JW12" s="414"/>
      <c r="JX12" s="414"/>
      <c r="JY12" s="414"/>
      <c r="JZ12" s="414"/>
      <c r="KA12" s="414"/>
      <c r="KB12" s="414"/>
      <c r="KC12" s="414"/>
      <c r="KD12" s="414"/>
      <c r="KE12" s="414"/>
      <c r="KF12" s="414"/>
      <c r="KG12" s="414"/>
      <c r="KH12" s="414"/>
      <c r="KI12" s="633"/>
    </row>
    <row r="13" spans="1:295" x14ac:dyDescent="0.2">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632"/>
      <c r="JW13" s="414"/>
      <c r="JX13" s="414"/>
      <c r="JY13" s="414"/>
      <c r="JZ13" s="414"/>
      <c r="KA13" s="414"/>
      <c r="KB13" s="414"/>
      <c r="KC13" s="414"/>
      <c r="KD13" s="414"/>
      <c r="KE13" s="414"/>
      <c r="KF13" s="414"/>
      <c r="KG13" s="414"/>
      <c r="KH13" s="414"/>
      <c r="KI13" s="633"/>
    </row>
    <row r="14" spans="1:295" x14ac:dyDescent="0.2">
      <c r="A14" s="23" t="s">
        <v>110</v>
      </c>
      <c r="C14" s="24">
        <v>19100162</v>
      </c>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632"/>
      <c r="JW14" s="414"/>
      <c r="JX14" s="414"/>
      <c r="JY14" s="414"/>
      <c r="JZ14" s="414"/>
      <c r="KA14" s="414"/>
      <c r="KB14" s="414"/>
      <c r="KC14" s="414"/>
      <c r="KD14" s="414"/>
      <c r="KE14" s="414"/>
      <c r="KF14" s="414"/>
      <c r="KG14" s="414"/>
      <c r="KH14" s="414"/>
      <c r="KI14" s="633"/>
    </row>
    <row r="15" spans="1:295" x14ac:dyDescent="0.2">
      <c r="B15" s="24" t="s">
        <v>104</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114">
        <v>-15314427.300000001</v>
      </c>
      <c r="AF15" s="50">
        <f t="shared" ref="AF15:AP15" si="25">ROUND(+AE21,2)</f>
        <v>-13917373.390000001</v>
      </c>
      <c r="AG15" s="50">
        <f t="shared" si="25"/>
        <v>-11900349.74</v>
      </c>
      <c r="AH15" s="50">
        <f t="shared" si="25"/>
        <v>-9701246.2400000002</v>
      </c>
      <c r="AI15" s="50">
        <f t="shared" si="25"/>
        <v>-7379747.9199999999</v>
      </c>
      <c r="AJ15" s="50">
        <f t="shared" si="25"/>
        <v>-5498944.75</v>
      </c>
      <c r="AK15" s="50">
        <f t="shared" si="25"/>
        <v>-3919497.08</v>
      </c>
      <c r="AL15" s="50">
        <f t="shared" si="25"/>
        <v>-2994508.02</v>
      </c>
      <c r="AM15" s="50">
        <f t="shared" si="25"/>
        <v>-2252766.73</v>
      </c>
      <c r="AN15" s="50">
        <f t="shared" si="25"/>
        <v>-1712695.28</v>
      </c>
      <c r="AO15" s="50">
        <f t="shared" si="25"/>
        <v>-1264501.17</v>
      </c>
      <c r="AP15" s="50">
        <f t="shared" si="25"/>
        <v>-762145.56</v>
      </c>
      <c r="AQ15" s="50">
        <f>AP21</f>
        <v>-131056.25000000012</v>
      </c>
      <c r="AR15" s="50">
        <f t="shared" ref="AR15:DC15" si="26">ROUND(+AQ21,2)</f>
        <v>3670147.32</v>
      </c>
      <c r="AS15" s="50">
        <f t="shared" si="26"/>
        <v>3247024.5</v>
      </c>
      <c r="AT15" s="50">
        <f t="shared" si="26"/>
        <v>2720497.82</v>
      </c>
      <c r="AU15" s="50">
        <f t="shared" si="26"/>
        <v>2139650.89</v>
      </c>
      <c r="AV15" s="50">
        <f t="shared" si="26"/>
        <v>1692715.91</v>
      </c>
      <c r="AW15" s="50">
        <f t="shared" si="26"/>
        <v>1346148.21</v>
      </c>
      <c r="AX15" s="50">
        <f t="shared" si="26"/>
        <v>1037100.4</v>
      </c>
      <c r="AY15" s="50">
        <f t="shared" si="26"/>
        <v>863920.46</v>
      </c>
      <c r="AZ15" s="127">
        <f t="shared" si="26"/>
        <v>713488.54</v>
      </c>
      <c r="BA15" s="127">
        <f t="shared" si="26"/>
        <v>593981.96</v>
      </c>
      <c r="BB15" s="127">
        <f t="shared" si="26"/>
        <v>466039.16</v>
      </c>
      <c r="BC15" s="127">
        <f t="shared" si="26"/>
        <v>308438.07</v>
      </c>
      <c r="BD15" s="127">
        <f t="shared" si="26"/>
        <v>22014015.850000001</v>
      </c>
      <c r="BE15" s="127">
        <f t="shared" si="26"/>
        <v>19127886.109999999</v>
      </c>
      <c r="BF15" s="127">
        <f t="shared" si="26"/>
        <v>15704256.42</v>
      </c>
      <c r="BG15" s="127">
        <f t="shared" si="26"/>
        <v>12618091.02</v>
      </c>
      <c r="BH15" s="127">
        <f t="shared" si="26"/>
        <v>9445082.9499999993</v>
      </c>
      <c r="BI15" s="127">
        <f t="shared" si="26"/>
        <v>6706256</v>
      </c>
      <c r="BJ15" s="127">
        <f t="shared" si="26"/>
        <v>4803629.63</v>
      </c>
      <c r="BK15" s="127">
        <f t="shared" si="26"/>
        <v>3554604.5</v>
      </c>
      <c r="BL15" s="127">
        <f t="shared" si="26"/>
        <v>2722505.39</v>
      </c>
      <c r="BM15" s="127">
        <f t="shared" si="26"/>
        <v>2030503.52</v>
      </c>
      <c r="BN15" s="127">
        <f t="shared" si="26"/>
        <v>1302452.04</v>
      </c>
      <c r="BO15" s="127">
        <f t="shared" si="26"/>
        <v>415863.67</v>
      </c>
      <c r="BP15" s="127">
        <f t="shared" si="26"/>
        <v>57669236.469999999</v>
      </c>
      <c r="BQ15" s="127">
        <f t="shared" si="26"/>
        <v>54285336.350000001</v>
      </c>
      <c r="BR15" s="159">
        <v>50102152.030000009</v>
      </c>
      <c r="BS15" s="127">
        <f t="shared" si="26"/>
        <v>45248884.359999999</v>
      </c>
      <c r="BT15" s="127">
        <f t="shared" si="26"/>
        <v>41793480.939999998</v>
      </c>
      <c r="BU15" s="127">
        <f t="shared" si="26"/>
        <v>38755109.350000001</v>
      </c>
      <c r="BV15" s="127">
        <f t="shared" si="26"/>
        <v>36492563.990000002</v>
      </c>
      <c r="BW15" s="127">
        <f t="shared" si="26"/>
        <v>34988017.409999996</v>
      </c>
      <c r="BX15" s="127">
        <f t="shared" si="26"/>
        <v>33961079.020000003</v>
      </c>
      <c r="BY15" s="127">
        <f t="shared" si="26"/>
        <v>33254031.18</v>
      </c>
      <c r="BZ15" s="127">
        <f t="shared" si="26"/>
        <v>32479589.379999999</v>
      </c>
      <c r="CA15" s="127">
        <f t="shared" si="26"/>
        <v>31382517.949999999</v>
      </c>
      <c r="CB15" s="127">
        <f t="shared" si="26"/>
        <v>-68336026.430000007</v>
      </c>
      <c r="CC15" s="127">
        <f>ROUND(+CB21,2)</f>
        <v>-60474249.920000002</v>
      </c>
      <c r="CD15" s="127">
        <f>ROUND(+CC21,2)</f>
        <v>-49646398.670000002</v>
      </c>
      <c r="CE15" s="127">
        <f t="shared" si="26"/>
        <v>-37670198.310000002</v>
      </c>
      <c r="CF15" s="127">
        <f t="shared" si="26"/>
        <v>-28602921.079999998</v>
      </c>
      <c r="CG15" s="127">
        <f t="shared" si="26"/>
        <v>-19278287.100000001</v>
      </c>
      <c r="CH15" s="127">
        <f t="shared" si="26"/>
        <v>-11863760.960000001</v>
      </c>
      <c r="CI15" s="127">
        <f t="shared" si="26"/>
        <v>-7535510.6600000001</v>
      </c>
      <c r="CJ15" s="127">
        <f t="shared" si="26"/>
        <v>-3858423.68</v>
      </c>
      <c r="CK15" s="127">
        <f t="shared" si="26"/>
        <v>-1511392.07</v>
      </c>
      <c r="CL15" s="127">
        <f t="shared" si="26"/>
        <v>1339597.6000000001</v>
      </c>
      <c r="CM15" s="127">
        <f t="shared" si="26"/>
        <v>4165841.37</v>
      </c>
      <c r="CN15" s="127">
        <f t="shared" si="26"/>
        <v>-22271414.309999999</v>
      </c>
      <c r="CO15" s="127">
        <f t="shared" si="26"/>
        <v>-20059401</v>
      </c>
      <c r="CP15" s="127">
        <f t="shared" si="26"/>
        <v>-16063776.470000001</v>
      </c>
      <c r="CQ15" s="127">
        <f t="shared" si="26"/>
        <v>-12228257.75</v>
      </c>
      <c r="CR15" s="127">
        <f t="shared" si="26"/>
        <v>-9126128.6699999999</v>
      </c>
      <c r="CS15" s="127">
        <f t="shared" si="26"/>
        <v>-5899896.6200000001</v>
      </c>
      <c r="CT15" s="127">
        <f t="shared" si="26"/>
        <v>-3851318.22</v>
      </c>
      <c r="CU15" s="127">
        <f t="shared" si="26"/>
        <v>-2513360.83</v>
      </c>
      <c r="CV15" s="127">
        <f t="shared" si="26"/>
        <v>-1736238.67</v>
      </c>
      <c r="CW15" s="127">
        <f t="shared" si="26"/>
        <v>-1059952.3899999999</v>
      </c>
      <c r="CX15" s="127">
        <f t="shared" si="26"/>
        <v>-194546.38</v>
      </c>
      <c r="CY15" s="127">
        <f t="shared" si="26"/>
        <v>635594.31000000006</v>
      </c>
      <c r="CZ15" s="127">
        <f t="shared" si="26"/>
        <v>-66586398.020000003</v>
      </c>
      <c r="DA15" s="127">
        <f t="shared" si="26"/>
        <v>-59055671.210000001</v>
      </c>
      <c r="DB15" s="127">
        <f t="shared" si="26"/>
        <v>-47004051.659999996</v>
      </c>
      <c r="DC15" s="127">
        <f t="shared" si="26"/>
        <v>-38712135.869999997</v>
      </c>
      <c r="DD15" s="127">
        <f t="shared" ref="DD15:FC15" si="27">ROUND(+DC21,2)</f>
        <v>-31499096.870000001</v>
      </c>
      <c r="DE15" s="127">
        <f t="shared" si="27"/>
        <v>-24080094.579999998</v>
      </c>
      <c r="DF15" s="127">
        <f t="shared" si="27"/>
        <v>-18019326.859999999</v>
      </c>
      <c r="DG15" s="127">
        <f t="shared" si="27"/>
        <v>-13360256.189999999</v>
      </c>
      <c r="DH15" s="127">
        <f t="shared" si="27"/>
        <v>-12548477.58</v>
      </c>
      <c r="DI15" s="127">
        <f t="shared" si="27"/>
        <v>-10189996.6</v>
      </c>
      <c r="DJ15" s="127">
        <f t="shared" si="27"/>
        <v>-7579609.9299999997</v>
      </c>
      <c r="DK15" s="127">
        <f t="shared" si="27"/>
        <v>-4978564.2</v>
      </c>
      <c r="DL15" s="139">
        <f t="shared" si="27"/>
        <v>-89718.07</v>
      </c>
      <c r="DM15" s="139">
        <f t="shared" si="27"/>
        <v>-28827357.239999998</v>
      </c>
      <c r="DN15" s="139">
        <f t="shared" si="27"/>
        <v>-24461992.309999999</v>
      </c>
      <c r="DO15" s="139">
        <f t="shared" si="27"/>
        <v>-19903775.460000001</v>
      </c>
      <c r="DP15" s="139">
        <f t="shared" si="27"/>
        <v>-15451747.6</v>
      </c>
      <c r="DQ15" s="139">
        <f t="shared" si="27"/>
        <v>-11645965.35</v>
      </c>
      <c r="DR15" s="139">
        <f t="shared" si="27"/>
        <v>-8195968.0300000003</v>
      </c>
      <c r="DS15" s="139">
        <f t="shared" si="27"/>
        <v>-6091845.4400000004</v>
      </c>
      <c r="DT15" s="139">
        <f t="shared" si="27"/>
        <v>-4727770.76</v>
      </c>
      <c r="DU15" s="139">
        <f t="shared" si="27"/>
        <v>-3671830.92</v>
      </c>
      <c r="DV15" s="139">
        <f t="shared" si="27"/>
        <v>-2329072.2400000002</v>
      </c>
      <c r="DW15" s="139">
        <f t="shared" si="27"/>
        <v>-1272360.95</v>
      </c>
      <c r="DX15" s="139">
        <f t="shared" si="27"/>
        <v>1029659.25</v>
      </c>
      <c r="DY15" s="139">
        <f t="shared" si="27"/>
        <v>-19117397.16</v>
      </c>
      <c r="DZ15" s="139">
        <f t="shared" si="27"/>
        <v>-15798772.800000001</v>
      </c>
      <c r="EA15" s="139">
        <f t="shared" si="27"/>
        <v>-12350646.25</v>
      </c>
      <c r="EB15" s="139">
        <f t="shared" si="27"/>
        <v>-9576038.6799999997</v>
      </c>
      <c r="EC15" s="139">
        <f t="shared" si="27"/>
        <v>-6428358</v>
      </c>
      <c r="ED15" s="139">
        <f t="shared" si="27"/>
        <v>-4738859.66</v>
      </c>
      <c r="EE15" s="139">
        <f t="shared" si="27"/>
        <v>-3482441.97</v>
      </c>
      <c r="EF15" s="139">
        <f t="shared" si="27"/>
        <v>-2511246.86</v>
      </c>
      <c r="EG15" s="139">
        <f t="shared" si="27"/>
        <v>-1770561.06</v>
      </c>
      <c r="EH15" s="139">
        <f t="shared" si="27"/>
        <v>-1106852.45</v>
      </c>
      <c r="EI15" s="139">
        <f t="shared" si="27"/>
        <v>-341045.79</v>
      </c>
      <c r="EJ15" s="139">
        <f t="shared" si="27"/>
        <v>1210619.46</v>
      </c>
      <c r="EK15" s="139">
        <f t="shared" si="27"/>
        <v>-30952322.300000001</v>
      </c>
      <c r="EL15" s="139">
        <f t="shared" si="27"/>
        <v>-26070361.359999999</v>
      </c>
      <c r="EM15" s="139">
        <f t="shared" si="27"/>
        <v>-20361820.030000001</v>
      </c>
      <c r="EN15" s="139">
        <f t="shared" si="27"/>
        <v>-16290271.23</v>
      </c>
      <c r="EO15" s="139">
        <f t="shared" si="27"/>
        <v>-12593565.310000001</v>
      </c>
      <c r="EP15" s="139">
        <f t="shared" si="27"/>
        <v>-9887841.2699999996</v>
      </c>
      <c r="EQ15" s="139">
        <f t="shared" si="27"/>
        <v>-8084190.1299999999</v>
      </c>
      <c r="ER15" s="139">
        <f t="shared" si="27"/>
        <v>-6946874.6299999999</v>
      </c>
      <c r="ES15" s="139">
        <f t="shared" si="27"/>
        <v>-5912217.5800000001</v>
      </c>
      <c r="ET15" s="139">
        <f t="shared" si="27"/>
        <v>-5032591.66</v>
      </c>
      <c r="EU15" s="139">
        <f t="shared" si="27"/>
        <v>-3717025.97</v>
      </c>
      <c r="EV15" s="139">
        <f t="shared" si="27"/>
        <v>-917159.86</v>
      </c>
      <c r="EW15" s="139">
        <f t="shared" si="27"/>
        <v>-9649150.75</v>
      </c>
      <c r="EX15" s="139">
        <f t="shared" si="27"/>
        <v>-7837821.2699999996</v>
      </c>
      <c r="EY15" s="139">
        <f t="shared" si="27"/>
        <v>-6261873.75</v>
      </c>
      <c r="EZ15" s="139">
        <f t="shared" si="27"/>
        <v>-4676687.1500000004</v>
      </c>
      <c r="FA15" s="139">
        <f t="shared" si="27"/>
        <v>-3474362.19</v>
      </c>
      <c r="FB15" s="139">
        <f t="shared" si="27"/>
        <v>-2651687.33</v>
      </c>
      <c r="FC15" s="139">
        <f t="shared" si="27"/>
        <v>-2118710.5499999998</v>
      </c>
      <c r="FD15" s="139">
        <f>ROUND(+FC21,2)</f>
        <v>-1727920.3</v>
      </c>
      <c r="FE15" s="139">
        <f t="shared" ref="FE15:FP15" si="28">ROUND(+FD21,2)</f>
        <v>-1408528.29</v>
      </c>
      <c r="FF15" s="139">
        <f t="shared" si="28"/>
        <v>-1092737.01</v>
      </c>
      <c r="FG15" s="139">
        <f t="shared" si="28"/>
        <v>-741244.68</v>
      </c>
      <c r="FH15" s="139">
        <f t="shared" si="28"/>
        <v>-174283.41</v>
      </c>
      <c r="FI15" s="139">
        <f t="shared" si="28"/>
        <v>27108461.460000001</v>
      </c>
      <c r="FJ15" s="139">
        <f t="shared" si="28"/>
        <v>23459709.170000002</v>
      </c>
      <c r="FK15" s="139">
        <f t="shared" si="28"/>
        <v>19982562.670000002</v>
      </c>
      <c r="FL15" s="139">
        <f t="shared" si="28"/>
        <v>17316191.449999999</v>
      </c>
      <c r="FM15" s="139">
        <f t="shared" si="28"/>
        <v>14727861.380000001</v>
      </c>
      <c r="FN15" s="139">
        <f t="shared" si="28"/>
        <v>12523927.75</v>
      </c>
      <c r="FO15" s="139">
        <f t="shared" si="28"/>
        <v>11203994.52</v>
      </c>
      <c r="FP15" s="139">
        <f t="shared" si="28"/>
        <v>10330750.470000001</v>
      </c>
      <c r="FQ15" s="139">
        <f>ROUND(+FP21,2)</f>
        <v>9606195.3800000008</v>
      </c>
      <c r="FR15" s="139">
        <f t="shared" ref="FR15:IC15" si="29">ROUND(+FQ21,2)</f>
        <v>8842469</v>
      </c>
      <c r="FS15" s="139">
        <f t="shared" si="29"/>
        <v>7795804.6799999997</v>
      </c>
      <c r="FT15" s="139">
        <f t="shared" si="29"/>
        <v>6280465.0899999999</v>
      </c>
      <c r="FU15" s="139">
        <f t="shared" si="29"/>
        <v>-38373492.859999999</v>
      </c>
      <c r="FV15" s="139">
        <f t="shared" si="29"/>
        <v>-32511530.629999999</v>
      </c>
      <c r="FW15" s="139">
        <f t="shared" si="29"/>
        <v>-26941550.859999999</v>
      </c>
      <c r="FX15" s="139">
        <f t="shared" si="29"/>
        <v>-22636969.670000002</v>
      </c>
      <c r="FY15" s="139">
        <f t="shared" si="29"/>
        <v>-18451832.789999999</v>
      </c>
      <c r="FZ15" s="139">
        <f t="shared" si="29"/>
        <v>-16152699.619999999</v>
      </c>
      <c r="GA15" s="139">
        <f t="shared" si="29"/>
        <v>-14367480.49</v>
      </c>
      <c r="GB15" s="139">
        <f t="shared" si="29"/>
        <v>-12972705.98</v>
      </c>
      <c r="GC15" s="139">
        <f t="shared" si="29"/>
        <v>-11644787.529999999</v>
      </c>
      <c r="GD15" s="139">
        <f t="shared" si="29"/>
        <v>-10547809.779999999</v>
      </c>
      <c r="GE15" s="139">
        <f t="shared" si="29"/>
        <v>-9100784.6600000001</v>
      </c>
      <c r="GF15" s="139">
        <f t="shared" si="29"/>
        <v>-6546459.6399999997</v>
      </c>
      <c r="GG15" s="139">
        <f t="shared" si="29"/>
        <v>-32040817.41</v>
      </c>
      <c r="GH15" s="139">
        <f t="shared" si="29"/>
        <v>-26684345.039999999</v>
      </c>
      <c r="GI15" s="139">
        <f t="shared" si="29"/>
        <v>-20809235.190000001</v>
      </c>
      <c r="GJ15" s="139">
        <f t="shared" si="29"/>
        <v>-16163623.59</v>
      </c>
      <c r="GK15" s="139">
        <f t="shared" si="29"/>
        <v>-12047585.050000001</v>
      </c>
      <c r="GL15" s="139">
        <f t="shared" si="29"/>
        <v>-9133037.1799999997</v>
      </c>
      <c r="GM15" s="139">
        <f t="shared" si="29"/>
        <v>-7193661.3099999996</v>
      </c>
      <c r="GN15" s="139">
        <f t="shared" si="29"/>
        <v>-5960719.8700000001</v>
      </c>
      <c r="GO15" s="139">
        <f t="shared" si="29"/>
        <v>-4942293.47</v>
      </c>
      <c r="GP15" s="139">
        <f t="shared" si="29"/>
        <v>-4029352.27</v>
      </c>
      <c r="GQ15" s="139">
        <f t="shared" si="29"/>
        <v>-2876614.27</v>
      </c>
      <c r="GR15" s="139">
        <f t="shared" si="29"/>
        <v>-361177.02</v>
      </c>
      <c r="GS15" s="139">
        <f t="shared" si="29"/>
        <v>-13685705.619999999</v>
      </c>
      <c r="GT15" s="139">
        <f t="shared" si="29"/>
        <v>-11390293.1</v>
      </c>
      <c r="GU15" s="139">
        <f t="shared" si="29"/>
        <v>-9348139.9600000009</v>
      </c>
      <c r="GV15" s="139">
        <f t="shared" si="29"/>
        <v>-7289177.6299999999</v>
      </c>
      <c r="GW15" s="139">
        <f t="shared" si="29"/>
        <v>-5427031.8399999999</v>
      </c>
      <c r="GX15" s="139">
        <f t="shared" si="29"/>
        <v>-4160378.14</v>
      </c>
      <c r="GY15" s="139">
        <f t="shared" si="29"/>
        <v>-3494790.36</v>
      </c>
      <c r="GZ15" s="139">
        <f t="shared" si="29"/>
        <v>-2843705.57</v>
      </c>
      <c r="HA15" s="139">
        <f t="shared" si="29"/>
        <v>-2450841.19</v>
      </c>
      <c r="HB15" s="139">
        <f t="shared" si="29"/>
        <v>-1966768.26</v>
      </c>
      <c r="HC15" s="139">
        <f t="shared" si="29"/>
        <v>-1425655.79</v>
      </c>
      <c r="HD15" s="139">
        <f t="shared" si="29"/>
        <v>-307347.51</v>
      </c>
      <c r="HE15" s="139">
        <f t="shared" si="29"/>
        <v>-49675920.670000002</v>
      </c>
      <c r="HF15" s="139">
        <f t="shared" si="29"/>
        <v>-42461207.020000003</v>
      </c>
      <c r="HG15" s="139">
        <f t="shared" si="29"/>
        <v>-35513214.469999999</v>
      </c>
      <c r="HH15" s="139">
        <f t="shared" si="29"/>
        <v>-27251734.68</v>
      </c>
      <c r="HI15" s="139">
        <f t="shared" si="29"/>
        <v>-21048481.949999999</v>
      </c>
      <c r="HJ15" s="139">
        <f t="shared" si="29"/>
        <v>-17090845.309999999</v>
      </c>
      <c r="HK15" s="139">
        <f t="shared" si="29"/>
        <v>-14555660.48</v>
      </c>
      <c r="HL15" s="139">
        <f t="shared" si="29"/>
        <v>-12741404.619999999</v>
      </c>
      <c r="HM15" s="139">
        <f t="shared" si="29"/>
        <v>-11221656.380000001</v>
      </c>
      <c r="HN15" s="139">
        <f t="shared" si="29"/>
        <v>-9746644.2599999998</v>
      </c>
      <c r="HO15" s="139">
        <f t="shared" si="29"/>
        <v>-7815492.4900000002</v>
      </c>
      <c r="HP15" s="139">
        <f t="shared" si="29"/>
        <v>-3246578.1</v>
      </c>
      <c r="HQ15" s="139">
        <f t="shared" si="29"/>
        <v>-12501150.359999999</v>
      </c>
      <c r="HR15" s="139">
        <f t="shared" si="29"/>
        <v>-10477362.25</v>
      </c>
      <c r="HS15" s="139">
        <f t="shared" si="29"/>
        <v>-8411728.7300000004</v>
      </c>
      <c r="HT15" s="139">
        <f t="shared" si="29"/>
        <v>-6500556.0999999996</v>
      </c>
      <c r="HU15" s="139">
        <f t="shared" si="29"/>
        <v>-4676521.9400000004</v>
      </c>
      <c r="HV15" s="139">
        <f t="shared" si="29"/>
        <v>-3575427.04</v>
      </c>
      <c r="HW15" s="139">
        <f t="shared" si="29"/>
        <v>1910901.94</v>
      </c>
      <c r="HX15" s="139">
        <f t="shared" si="29"/>
        <v>2567995.27</v>
      </c>
      <c r="HY15" s="139">
        <f t="shared" si="29"/>
        <v>3024556.8</v>
      </c>
      <c r="HZ15" s="139">
        <f t="shared" si="29"/>
        <v>3457034.39</v>
      </c>
      <c r="IA15" s="139">
        <f t="shared" si="29"/>
        <v>3970137.36</v>
      </c>
      <c r="IB15" s="139">
        <f t="shared" si="29"/>
        <v>4938972.3099999996</v>
      </c>
      <c r="IC15" s="139">
        <f t="shared" si="29"/>
        <v>16895428.129999999</v>
      </c>
      <c r="ID15" s="139">
        <f t="shared" ref="ID15:IK15" si="30">ROUND(+IC21,2)</f>
        <v>14455322.289999999</v>
      </c>
      <c r="IE15" s="139">
        <f t="shared" si="30"/>
        <v>11973232.6</v>
      </c>
      <c r="IF15" s="139">
        <f t="shared" si="30"/>
        <v>9328458.0299999993</v>
      </c>
      <c r="IG15" s="139">
        <f t="shared" si="30"/>
        <v>7037975.3399999999</v>
      </c>
      <c r="IH15" s="139">
        <f t="shared" si="30"/>
        <v>5678691.6299999999</v>
      </c>
      <c r="II15" s="139">
        <f t="shared" si="30"/>
        <v>4684906.01</v>
      </c>
      <c r="IJ15" s="139">
        <f t="shared" si="30"/>
        <v>4064466.76</v>
      </c>
      <c r="IK15" s="139">
        <f t="shared" si="30"/>
        <v>3610711.59</v>
      </c>
      <c r="IL15" s="139">
        <f>ROUND(+IK21,2)</f>
        <v>3128997.67</v>
      </c>
      <c r="IM15" s="139">
        <f t="shared" ref="IM15:IW15" si="31">ROUND(+IL21,2)</f>
        <v>2455293.29</v>
      </c>
      <c r="IN15" s="139">
        <f t="shared" si="31"/>
        <v>1077967.04</v>
      </c>
      <c r="IO15" s="139">
        <f t="shared" si="31"/>
        <v>555347.1</v>
      </c>
      <c r="IP15" s="139">
        <f t="shared" si="31"/>
        <v>470111.5</v>
      </c>
      <c r="IQ15" s="139">
        <f t="shared" si="31"/>
        <v>383254.31</v>
      </c>
      <c r="IR15" s="139">
        <f t="shared" si="31"/>
        <v>311259.74</v>
      </c>
      <c r="IS15" s="139">
        <f t="shared" si="31"/>
        <v>250662.02</v>
      </c>
      <c r="IT15" s="139">
        <f t="shared" si="31"/>
        <v>199545.85</v>
      </c>
      <c r="IU15" s="139">
        <f t="shared" si="31"/>
        <v>167075.57999999999</v>
      </c>
      <c r="IV15" s="139">
        <f t="shared" si="31"/>
        <v>150614.49</v>
      </c>
      <c r="IW15" s="139">
        <f t="shared" si="31"/>
        <v>150080.45000000001</v>
      </c>
      <c r="IX15" s="139">
        <f>ROUND(+IW21,2)</f>
        <v>152683.07</v>
      </c>
      <c r="IY15" s="139">
        <f t="shared" ref="IY15:JJ15" si="32">ROUND(+IX21,2)</f>
        <v>153384.24</v>
      </c>
      <c r="IZ15" s="139">
        <f t="shared" si="32"/>
        <v>151432.70000000001</v>
      </c>
      <c r="JA15" s="139">
        <f t="shared" si="32"/>
        <v>11808324.49</v>
      </c>
      <c r="JB15" s="139">
        <f t="shared" si="32"/>
        <v>9666069.3100000005</v>
      </c>
      <c r="JC15" s="139">
        <f t="shared" si="32"/>
        <v>7793047.0199999996</v>
      </c>
      <c r="JD15" s="139">
        <f t="shared" si="32"/>
        <v>5945987.7999999998</v>
      </c>
      <c r="JE15" s="139">
        <f t="shared" si="32"/>
        <v>4253402</v>
      </c>
      <c r="JF15" s="139">
        <f t="shared" si="32"/>
        <v>2929757.83</v>
      </c>
      <c r="JG15" s="139">
        <f t="shared" si="32"/>
        <v>2401092.14</v>
      </c>
      <c r="JH15" s="139">
        <f t="shared" si="32"/>
        <v>1954567.83</v>
      </c>
      <c r="JI15" s="139">
        <f t="shared" si="32"/>
        <v>1644527.09</v>
      </c>
      <c r="JJ15" s="139">
        <f t="shared" si="32"/>
        <v>1322065.46</v>
      </c>
      <c r="JK15" s="139">
        <f>ROUND(+JJ21,2)</f>
        <v>871294.2</v>
      </c>
      <c r="JL15" s="139">
        <f t="shared" ref="JL15:JU15" si="33">ROUND(+JK21,2)</f>
        <v>-18342.919999999998</v>
      </c>
      <c r="JM15" s="139">
        <f t="shared" si="33"/>
        <v>-126393492.70999999</v>
      </c>
      <c r="JN15" s="139">
        <f t="shared" si="33"/>
        <v>-108411155.51000001</v>
      </c>
      <c r="JO15" s="139">
        <f t="shared" si="33"/>
        <v>-85567264.530000001</v>
      </c>
      <c r="JP15" s="139">
        <f t="shared" si="33"/>
        <v>-67954194.530000001</v>
      </c>
      <c r="JQ15" s="139">
        <f t="shared" si="33"/>
        <v>-51112468.780000001</v>
      </c>
      <c r="JR15" s="139">
        <f t="shared" si="33"/>
        <v>-38315846.799999997</v>
      </c>
      <c r="JS15" s="139">
        <f t="shared" si="33"/>
        <v>-29548140.43</v>
      </c>
      <c r="JT15" s="139">
        <f t="shared" si="33"/>
        <v>-23446654.140000001</v>
      </c>
      <c r="JU15" s="139">
        <f t="shared" si="33"/>
        <v>-19016681.149999999</v>
      </c>
      <c r="JV15" s="632"/>
      <c r="JW15" s="414"/>
      <c r="JX15" s="414"/>
      <c r="JY15" s="414"/>
      <c r="JZ15" s="414"/>
      <c r="KA15" s="414"/>
      <c r="KB15" s="414"/>
      <c r="KC15" s="414"/>
      <c r="KD15" s="414"/>
      <c r="KE15" s="414"/>
      <c r="KF15" s="414"/>
      <c r="KG15" s="414"/>
      <c r="KH15" s="414"/>
      <c r="KI15" s="633"/>
    </row>
    <row r="16" spans="1:295" x14ac:dyDescent="0.2">
      <c r="B16" s="24" t="s">
        <v>105</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2">
        <f>297765.14</f>
        <v>297765.14</v>
      </c>
      <c r="AF16" s="141"/>
      <c r="AG16" s="141"/>
      <c r="AH16" s="141"/>
      <c r="AI16" s="141"/>
      <c r="AJ16" s="141"/>
      <c r="AK16" s="141"/>
      <c r="AL16" s="141"/>
      <c r="AM16" s="141"/>
      <c r="AN16" s="141"/>
      <c r="AO16" s="141"/>
      <c r="AP16" s="141"/>
      <c r="AQ16" s="142">
        <v>4069255.582945317</v>
      </c>
      <c r="AR16" s="141"/>
      <c r="AS16" s="141"/>
      <c r="AT16" s="141"/>
      <c r="AU16" s="141"/>
      <c r="AV16" s="141"/>
      <c r="AW16" s="141"/>
      <c r="AX16" s="141"/>
      <c r="AY16" s="141"/>
      <c r="AZ16" s="139"/>
      <c r="BA16" s="139"/>
      <c r="BB16" s="139"/>
      <c r="BC16" s="139">
        <f>-(BC83+BC104)</f>
        <v>23128545</v>
      </c>
      <c r="BD16" s="139"/>
      <c r="BE16" s="139"/>
      <c r="BF16" s="139"/>
      <c r="BG16" s="139"/>
      <c r="BH16" s="139"/>
      <c r="BI16" s="139"/>
      <c r="BJ16" s="139"/>
      <c r="BK16" s="139"/>
      <c r="BL16" s="139"/>
      <c r="BM16" s="139"/>
      <c r="BN16" s="143">
        <v>0</v>
      </c>
      <c r="BO16" s="143">
        <v>59320766</v>
      </c>
      <c r="BP16" s="139"/>
      <c r="BQ16" s="139"/>
      <c r="BR16" s="127"/>
      <c r="BS16" s="139"/>
      <c r="BT16" s="139"/>
      <c r="BU16" s="139"/>
      <c r="BV16" s="139"/>
      <c r="BW16" s="139"/>
      <c r="BX16" s="139"/>
      <c r="BY16" s="139"/>
      <c r="BZ16" s="139"/>
      <c r="CA16" s="147">
        <v>-105204644</v>
      </c>
      <c r="CB16" s="139"/>
      <c r="CC16" s="139"/>
      <c r="CD16" s="139"/>
      <c r="CE16" s="139"/>
      <c r="CF16" s="139"/>
      <c r="CG16" s="139"/>
      <c r="CH16" s="139"/>
      <c r="CI16" s="139"/>
      <c r="CJ16" s="139"/>
      <c r="CK16" s="139"/>
      <c r="CL16" s="139"/>
      <c r="CM16" s="159">
        <v>-28433193</v>
      </c>
      <c r="CN16" s="139"/>
      <c r="CO16" s="127"/>
      <c r="CP16" s="139"/>
      <c r="CQ16" s="139"/>
      <c r="CR16" s="139"/>
      <c r="CS16" s="139"/>
      <c r="CT16" s="139"/>
      <c r="CU16" s="139"/>
      <c r="CV16" s="139"/>
      <c r="CW16" s="139"/>
      <c r="CX16" s="139"/>
      <c r="CY16" s="143">
        <v>-71905137</v>
      </c>
      <c r="CZ16" s="139"/>
      <c r="DA16" s="139"/>
      <c r="DB16" s="139"/>
      <c r="DC16" s="139"/>
      <c r="DD16" s="139"/>
      <c r="DE16" s="139"/>
      <c r="DF16" s="139"/>
      <c r="DG16" s="146">
        <v>-2270966.9500000002</v>
      </c>
      <c r="DH16" s="143"/>
      <c r="DI16" s="143"/>
      <c r="DJ16" s="143"/>
      <c r="DK16" s="143"/>
      <c r="DL16" s="143">
        <v>-33089482</v>
      </c>
      <c r="DM16" s="143"/>
      <c r="DN16" s="143"/>
      <c r="DO16" s="143"/>
      <c r="DP16" s="143"/>
      <c r="DQ16" s="143"/>
      <c r="DR16" s="143"/>
      <c r="DS16" s="143"/>
      <c r="DT16" s="143"/>
      <c r="DU16" s="143"/>
      <c r="DV16" s="143"/>
      <c r="DW16" s="143"/>
      <c r="DX16" s="143">
        <v>-23082723</v>
      </c>
      <c r="DY16" s="143"/>
      <c r="DZ16" s="143"/>
      <c r="EA16" s="143"/>
      <c r="EB16" s="143"/>
      <c r="EC16" s="143"/>
      <c r="ED16" s="143"/>
      <c r="EE16" s="143"/>
      <c r="EF16" s="143"/>
      <c r="EG16" s="143"/>
      <c r="EH16" s="143"/>
      <c r="EI16" s="143"/>
      <c r="EJ16" s="143">
        <v>-35585750</v>
      </c>
      <c r="EK16" s="143"/>
      <c r="EL16" s="143"/>
      <c r="EM16" s="143"/>
      <c r="EN16" s="143"/>
      <c r="EO16" s="143"/>
      <c r="EP16" s="143"/>
      <c r="EQ16" s="143"/>
      <c r="ER16" s="143"/>
      <c r="ES16" s="143"/>
      <c r="ET16" s="143"/>
      <c r="EU16" s="143"/>
      <c r="EV16" s="160">
        <v>-10139956</v>
      </c>
      <c r="EW16" s="143"/>
      <c r="EX16" s="143"/>
      <c r="EY16" s="143"/>
      <c r="EZ16" s="143"/>
      <c r="FA16" s="143"/>
      <c r="FB16" s="143"/>
      <c r="FC16" s="143"/>
      <c r="FD16" s="143"/>
      <c r="FE16" s="143"/>
      <c r="FF16" s="143"/>
      <c r="FG16" s="143"/>
      <c r="FH16" s="143">
        <v>30171226</v>
      </c>
      <c r="FI16" s="143"/>
      <c r="FJ16" s="143"/>
      <c r="FK16" s="143"/>
      <c r="FL16" s="143"/>
      <c r="FM16" s="143"/>
      <c r="FN16" s="143"/>
      <c r="FO16" s="143"/>
      <c r="FP16" s="143"/>
      <c r="FQ16" s="143"/>
      <c r="FR16" s="143"/>
      <c r="FS16" s="143"/>
      <c r="FT16" s="143">
        <v>-48382271</v>
      </c>
      <c r="FU16" s="143"/>
      <c r="FV16" s="143"/>
      <c r="FW16" s="143"/>
      <c r="FX16" s="143"/>
      <c r="FY16" s="143"/>
      <c r="FZ16" s="143"/>
      <c r="GA16" s="143"/>
      <c r="GB16" s="143"/>
      <c r="GC16" s="143"/>
      <c r="GD16" s="143"/>
      <c r="GE16" s="143"/>
      <c r="GF16" s="143">
        <v>-28348194</v>
      </c>
      <c r="GG16" s="143"/>
      <c r="GH16" s="143"/>
      <c r="GI16" s="143"/>
      <c r="GJ16" s="143"/>
      <c r="GK16" s="143"/>
      <c r="GL16" s="143"/>
      <c r="GM16" s="143"/>
      <c r="GN16" s="143"/>
      <c r="GO16" s="143"/>
      <c r="GP16" s="108">
        <v>0</v>
      </c>
      <c r="GQ16" s="143">
        <v>0</v>
      </c>
      <c r="GR16" s="143">
        <v>-15241895</v>
      </c>
      <c r="GS16" s="143">
        <v>0</v>
      </c>
      <c r="GT16" s="143">
        <v>0</v>
      </c>
      <c r="GU16" s="143">
        <v>0</v>
      </c>
      <c r="GV16" s="143">
        <v>0</v>
      </c>
      <c r="GW16" s="99">
        <v>0</v>
      </c>
      <c r="GX16" s="143"/>
      <c r="GY16" s="143">
        <v>0</v>
      </c>
      <c r="GZ16" s="143">
        <v>0</v>
      </c>
      <c r="HA16" s="143"/>
      <c r="HB16" s="143"/>
      <c r="HC16" s="143"/>
      <c r="HD16" s="143">
        <v>-54166126</v>
      </c>
      <c r="HE16" s="143"/>
      <c r="HF16" s="143"/>
      <c r="HG16" s="143"/>
      <c r="HH16" s="143"/>
      <c r="HI16" s="143"/>
      <c r="HJ16" s="143"/>
      <c r="HK16" s="143"/>
      <c r="HL16" s="143"/>
      <c r="HM16" s="143"/>
      <c r="HN16" s="143"/>
      <c r="HO16" s="143"/>
      <c r="HP16" s="143">
        <v>-10781809.74</v>
      </c>
      <c r="HQ16" s="143"/>
      <c r="HR16" s="143"/>
      <c r="HS16" s="143"/>
      <c r="HT16" s="143"/>
      <c r="HU16" s="143"/>
      <c r="HV16" s="143">
        <v>4758978.16</v>
      </c>
      <c r="HW16" s="143"/>
      <c r="HX16" s="143"/>
      <c r="HY16" s="143"/>
      <c r="HZ16" s="143"/>
      <c r="IA16" s="143"/>
      <c r="IB16" s="143">
        <v>13812184.66</v>
      </c>
      <c r="IC16" s="143"/>
      <c r="ID16" s="143"/>
      <c r="IE16" s="143"/>
      <c r="IF16" s="143"/>
      <c r="IG16" s="143"/>
      <c r="IH16" s="143"/>
      <c r="II16" s="143"/>
      <c r="IJ16" s="143"/>
      <c r="IK16" s="143"/>
      <c r="IL16" s="143"/>
      <c r="IM16" s="143"/>
      <c r="IN16" s="161">
        <v>-359440.14</v>
      </c>
      <c r="IO16" s="143"/>
      <c r="IP16" s="143"/>
      <c r="IQ16" s="143"/>
      <c r="IR16" s="143"/>
      <c r="IS16" s="143"/>
      <c r="IT16" s="143"/>
      <c r="IU16" s="143"/>
      <c r="IV16" s="143"/>
      <c r="IW16" s="143"/>
      <c r="IX16" s="143"/>
      <c r="IY16" s="143"/>
      <c r="IZ16" s="161">
        <v>13292420.119999999</v>
      </c>
      <c r="JA16" s="143"/>
      <c r="JB16" s="143"/>
      <c r="JC16" s="143"/>
      <c r="JD16" s="143"/>
      <c r="JE16" s="143"/>
      <c r="JF16" s="143"/>
      <c r="JG16" s="143"/>
      <c r="JH16" s="143"/>
      <c r="JI16" s="143"/>
      <c r="JJ16" s="143"/>
      <c r="JK16" s="139"/>
      <c r="JL16" s="145">
        <v>-142638957.06</v>
      </c>
      <c r="JM16" s="143"/>
      <c r="JN16" s="143"/>
      <c r="JO16" s="143"/>
      <c r="JP16" s="143"/>
      <c r="JQ16" s="143"/>
      <c r="JR16" s="139"/>
      <c r="JS16" s="143"/>
      <c r="JT16" s="143"/>
      <c r="JU16" s="143"/>
      <c r="JV16" s="636"/>
      <c r="JW16" s="414"/>
      <c r="JX16" s="414"/>
      <c r="JY16" s="414"/>
      <c r="JZ16" s="414"/>
      <c r="KA16" s="414"/>
      <c r="KB16" s="414"/>
      <c r="KC16" s="414"/>
      <c r="KD16" s="414"/>
      <c r="KE16" s="414"/>
      <c r="KF16" s="414"/>
      <c r="KG16" s="414"/>
      <c r="KH16" s="414"/>
      <c r="KI16" s="633"/>
    </row>
    <row r="17" spans="1:295" x14ac:dyDescent="0.2">
      <c r="B17" s="24" t="s">
        <v>106</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2">
        <v>1121214.111845379</v>
      </c>
      <c r="AF17" s="142">
        <v>2057206.24</v>
      </c>
      <c r="AG17" s="142">
        <v>2234470.0499999998</v>
      </c>
      <c r="AH17" s="142">
        <v>2350211.9700000002</v>
      </c>
      <c r="AI17" s="142">
        <v>1886088.48</v>
      </c>
      <c r="AJ17" s="142">
        <v>1586014.79</v>
      </c>
      <c r="AK17" s="142">
        <v>996051</v>
      </c>
      <c r="AL17" s="142">
        <v>757567.75</v>
      </c>
      <c r="AM17" s="142">
        <v>550980.5</v>
      </c>
      <c r="AN17" s="142">
        <v>457612.24</v>
      </c>
      <c r="AO17" s="142">
        <v>509531.27</v>
      </c>
      <c r="AP17" s="142">
        <v>636435.89</v>
      </c>
      <c r="AQ17" s="142">
        <v>-261489.96</v>
      </c>
      <c r="AR17" s="142">
        <v>-443668.05</v>
      </c>
      <c r="AS17" s="142">
        <v>-537754.5</v>
      </c>
      <c r="AT17" s="142">
        <v>-591256.06999999995</v>
      </c>
      <c r="AU17" s="142">
        <v>-454580.52</v>
      </c>
      <c r="AV17" s="142">
        <v>-353387.93</v>
      </c>
      <c r="AW17" s="142">
        <v>-303405.05</v>
      </c>
      <c r="AX17" s="142">
        <v>-188774.96</v>
      </c>
      <c r="AY17" s="142">
        <v>-153149.94</v>
      </c>
      <c r="AZ17" s="143">
        <v>-122282.18</v>
      </c>
      <c r="BA17" s="143">
        <v>-128581.86</v>
      </c>
      <c r="BB17" s="143">
        <v>-159027.12</v>
      </c>
      <c r="BC17" s="143">
        <v>-1487651.18</v>
      </c>
      <c r="BD17" s="143">
        <v>-3000190.7</v>
      </c>
      <c r="BE17" s="143">
        <v>-3523364.33</v>
      </c>
      <c r="BF17" s="143">
        <v>-3174325.89</v>
      </c>
      <c r="BG17" s="143">
        <v>-3238056.4</v>
      </c>
      <c r="BH17" s="143">
        <v>-2792457.49</v>
      </c>
      <c r="BI17" s="143">
        <v>-1945360.75</v>
      </c>
      <c r="BJ17" s="143">
        <v>-1283779.79</v>
      </c>
      <c r="BK17" s="143">
        <v>-859637.08</v>
      </c>
      <c r="BL17" s="143">
        <v>-715113.71</v>
      </c>
      <c r="BM17" s="143">
        <v>-746337.15</v>
      </c>
      <c r="BN17" s="143">
        <v>-899668.31</v>
      </c>
      <c r="BO17" s="143">
        <v>-2294859.85</v>
      </c>
      <c r="BP17" s="143">
        <v>-3738940.83</v>
      </c>
      <c r="BQ17" s="143">
        <v>-4522760.53</v>
      </c>
      <c r="BR17" s="146">
        <v>-5163195.42</v>
      </c>
      <c r="BS17" s="143">
        <v>-3708778.96</v>
      </c>
      <c r="BT17" s="143">
        <v>-3292888.09</v>
      </c>
      <c r="BU17" s="143">
        <v>-2489538.16</v>
      </c>
      <c r="BV17" s="143">
        <v>-1724938.35</v>
      </c>
      <c r="BW17" s="143">
        <v>-1230240.6100000001</v>
      </c>
      <c r="BX17" s="143">
        <v>-910743.87</v>
      </c>
      <c r="BY17" s="147">
        <v>-978892.76</v>
      </c>
      <c r="BZ17" s="147">
        <v>-1286776.3700000001</v>
      </c>
      <c r="CA17" s="147">
        <v>5677668.5700000003</v>
      </c>
      <c r="CB17" s="143">
        <v>8642815.3800000008</v>
      </c>
      <c r="CC17" s="143">
        <v>11190566.92</v>
      </c>
      <c r="CD17" s="143">
        <v>12229455.02</v>
      </c>
      <c r="CE17" s="143">
        <v>9245170.5500000007</v>
      </c>
      <c r="CF17" s="143">
        <v>9430479</v>
      </c>
      <c r="CG17" s="143">
        <v>7454412.4100000001</v>
      </c>
      <c r="CH17" s="143">
        <v>4339208.43</v>
      </c>
      <c r="CI17" s="143">
        <v>3665963.3</v>
      </c>
      <c r="CJ17" s="143">
        <v>2316789.73</v>
      </c>
      <c r="CK17" s="143">
        <v>2810264.82</v>
      </c>
      <c r="CL17" s="143">
        <v>2773012.85</v>
      </c>
      <c r="CM17" s="146">
        <v>2049668.5</v>
      </c>
      <c r="CN17" s="143">
        <v>2256097.46</v>
      </c>
      <c r="CO17" s="146">
        <v>4053320.83</v>
      </c>
      <c r="CP17" s="143">
        <v>3869809.41</v>
      </c>
      <c r="CQ17" s="143">
        <v>3124697.77</v>
      </c>
      <c r="CR17" s="143">
        <v>3252195.15</v>
      </c>
      <c r="CS17" s="143">
        <v>2056662.75</v>
      </c>
      <c r="CT17" s="143">
        <v>1340614.54</v>
      </c>
      <c r="CU17" s="143">
        <v>775946.29</v>
      </c>
      <c r="CV17" s="143">
        <v>673586.9</v>
      </c>
      <c r="CW17" s="143">
        <v>857505.98</v>
      </c>
      <c r="CX17" s="143">
        <v>819025.45</v>
      </c>
      <c r="CY17" s="143">
        <v>4858801.5199999996</v>
      </c>
      <c r="CZ17" s="149">
        <v>7681438.7400000002</v>
      </c>
      <c r="DA17" s="143">
        <v>12175824.5</v>
      </c>
      <c r="DB17" s="150">
        <v>8388999.9399999995</v>
      </c>
      <c r="DC17" s="150">
        <v>7281538.54</v>
      </c>
      <c r="DD17" s="143">
        <v>7475264.5199999996</v>
      </c>
      <c r="DE17" s="143">
        <v>6097912.5700000003</v>
      </c>
      <c r="DF17" s="143">
        <v>4687366.1900000004</v>
      </c>
      <c r="DG17" s="146">
        <v>3100536.9</v>
      </c>
      <c r="DH17" s="143">
        <v>2371121.1</v>
      </c>
      <c r="DI17" s="143">
        <v>2621513.2799999998</v>
      </c>
      <c r="DJ17" s="143">
        <v>2605042.89</v>
      </c>
      <c r="DK17" s="143">
        <v>4882532.41</v>
      </c>
      <c r="DL17" s="143">
        <v>4426658.8600000003</v>
      </c>
      <c r="DM17" s="143">
        <v>4428358.95</v>
      </c>
      <c r="DN17" s="143">
        <v>4606396.66</v>
      </c>
      <c r="DO17" s="143">
        <v>4481239.12</v>
      </c>
      <c r="DP17" s="143">
        <v>3827577.19</v>
      </c>
      <c r="DQ17" s="143">
        <v>3462732.84</v>
      </c>
      <c r="DR17" s="143">
        <v>2112228.0299999998</v>
      </c>
      <c r="DS17" s="143">
        <v>1365722.77</v>
      </c>
      <c r="DT17" s="143">
        <v>1054120.58</v>
      </c>
      <c r="DU17" s="143">
        <v>1338797.3700000001</v>
      </c>
      <c r="DV17" s="143">
        <v>1046458.02</v>
      </c>
      <c r="DW17" s="143">
        <v>2285165.5499999998</v>
      </c>
      <c r="DX17" s="143">
        <v>2973995.45</v>
      </c>
      <c r="DY17" s="143">
        <v>3351876.07</v>
      </c>
      <c r="DZ17" s="143">
        <v>3473111.99</v>
      </c>
      <c r="EA17" s="145">
        <v>2787311.22</v>
      </c>
      <c r="EB17" s="143">
        <v>3152112.76</v>
      </c>
      <c r="EC17" s="143">
        <v>1686834.9</v>
      </c>
      <c r="ED17" s="143">
        <v>1248856.23</v>
      </c>
      <c r="EE17" s="143">
        <v>961147.75</v>
      </c>
      <c r="EF17" s="143">
        <v>711679.73</v>
      </c>
      <c r="EG17" s="145">
        <v>633426.36</v>
      </c>
      <c r="EH17" s="145">
        <v>723237.76</v>
      </c>
      <c r="EI17" s="145">
        <v>1532476.1</v>
      </c>
      <c r="EJ17" s="145">
        <v>3493790.49</v>
      </c>
      <c r="EK17" s="145">
        <v>4940992.66</v>
      </c>
      <c r="EL17" s="145">
        <v>5783249</v>
      </c>
      <c r="EM17" s="145">
        <v>4107792</v>
      </c>
      <c r="EN17" s="145">
        <v>3727191</v>
      </c>
      <c r="EO17" s="145">
        <v>2725406</v>
      </c>
      <c r="EP17" s="145">
        <v>1818140</v>
      </c>
      <c r="EQ17" s="145">
        <v>1148062</v>
      </c>
      <c r="ER17" s="145">
        <v>1042895</v>
      </c>
      <c r="ES17" s="145">
        <v>886122</v>
      </c>
      <c r="ET17" s="149">
        <v>1318047</v>
      </c>
      <c r="EU17" s="149">
        <v>2787507</v>
      </c>
      <c r="EV17" s="149">
        <v>1426942</v>
      </c>
      <c r="EW17" s="149">
        <v>1826054</v>
      </c>
      <c r="EX17" s="149">
        <v>1585995</v>
      </c>
      <c r="EY17" s="149">
        <v>1590629</v>
      </c>
      <c r="EZ17" s="149">
        <v>1203492</v>
      </c>
      <c r="FA17" s="149">
        <v>826698</v>
      </c>
      <c r="FB17" s="149">
        <v>530681</v>
      </c>
      <c r="FC17" s="149">
        <v>386972</v>
      </c>
      <c r="FD17" s="149">
        <v>314472</v>
      </c>
      <c r="FE17" s="145">
        <v>310010</v>
      </c>
      <c r="FF17" s="145">
        <v>345032</v>
      </c>
      <c r="FG17" s="145">
        <v>558995</v>
      </c>
      <c r="FH17" s="145">
        <v>-2969850</v>
      </c>
      <c r="FI17" s="145">
        <v>-3726848</v>
      </c>
      <c r="FJ17" s="145">
        <v>-3545230</v>
      </c>
      <c r="FK17" s="145">
        <v>-2720483</v>
      </c>
      <c r="FL17" s="145">
        <v>-2640488</v>
      </c>
      <c r="FM17" s="145">
        <v>-2248021</v>
      </c>
      <c r="FN17" s="145">
        <v>-1360535</v>
      </c>
      <c r="FO17" s="145">
        <v>-921238</v>
      </c>
      <c r="FP17" s="145">
        <v>-762106</v>
      </c>
      <c r="FQ17" s="145">
        <v>-796818</v>
      </c>
      <c r="FR17" s="145">
        <v>-1076194</v>
      </c>
      <c r="FS17" s="145">
        <v>-1542133</v>
      </c>
      <c r="FT17" s="145">
        <v>3828031</v>
      </c>
      <c r="FU17" s="145">
        <v>5951065</v>
      </c>
      <c r="FV17" s="145">
        <v>5619360</v>
      </c>
      <c r="FW17" s="145">
        <v>4363558</v>
      </c>
      <c r="FX17" s="145">
        <v>4232801</v>
      </c>
      <c r="FY17" s="145">
        <v>2339256</v>
      </c>
      <c r="FZ17" s="145">
        <v>1807705</v>
      </c>
      <c r="GA17" s="145">
        <v>1421338</v>
      </c>
      <c r="GB17" s="145">
        <v>1335919</v>
      </c>
      <c r="GC17" s="145">
        <v>1120173</v>
      </c>
      <c r="GD17" s="145">
        <v>1465768</v>
      </c>
      <c r="GE17" s="145">
        <v>2567474</v>
      </c>
      <c r="GF17" s="145">
        <v>2940264</v>
      </c>
      <c r="GG17" s="145">
        <v>5432846</v>
      </c>
      <c r="GH17" s="145">
        <v>5932245</v>
      </c>
      <c r="GI17" s="145">
        <v>4679314</v>
      </c>
      <c r="GJ17" s="145">
        <v>4146789</v>
      </c>
      <c r="GK17" s="145">
        <v>2935773</v>
      </c>
      <c r="GL17" s="145">
        <v>1953445</v>
      </c>
      <c r="GM17" s="145">
        <v>1241847</v>
      </c>
      <c r="GN17" s="145">
        <v>1022233</v>
      </c>
      <c r="GO17" s="145">
        <v>915682</v>
      </c>
      <c r="GP17" s="150">
        <v>1152043</v>
      </c>
      <c r="GQ17" s="145">
        <v>2507834</v>
      </c>
      <c r="GR17" s="145">
        <v>1953888</v>
      </c>
      <c r="GS17" s="145">
        <v>2324994</v>
      </c>
      <c r="GT17" s="145">
        <v>2065615</v>
      </c>
      <c r="GU17" s="145">
        <v>2073598</v>
      </c>
      <c r="GV17" s="145">
        <v>1871296</v>
      </c>
      <c r="GW17" s="149">
        <v>1270373</v>
      </c>
      <c r="GX17" s="145">
        <v>659543</v>
      </c>
      <c r="GY17" s="145">
        <v>606411</v>
      </c>
      <c r="GZ17" s="145">
        <v>388450</v>
      </c>
      <c r="HA17" s="145">
        <v>475368</v>
      </c>
      <c r="HB17" s="145">
        <v>533334</v>
      </c>
      <c r="HC17" s="145">
        <v>1106086</v>
      </c>
      <c r="HD17" s="145">
        <v>4994355</v>
      </c>
      <c r="HE17" s="145">
        <v>7391408</v>
      </c>
      <c r="HF17" s="145">
        <v>7100563</v>
      </c>
      <c r="HG17" s="145">
        <v>8369805</v>
      </c>
      <c r="HH17" s="145">
        <v>6289805</v>
      </c>
      <c r="HI17" s="145">
        <v>4021469</v>
      </c>
      <c r="HJ17" s="145">
        <v>2584222</v>
      </c>
      <c r="HK17" s="145">
        <v>1851684</v>
      </c>
      <c r="HL17" s="145">
        <v>1549734</v>
      </c>
      <c r="HM17" s="145">
        <v>1496286</v>
      </c>
      <c r="HN17" s="145">
        <v>1943159</v>
      </c>
      <c r="HO17" s="145">
        <v>4564898</v>
      </c>
      <c r="HP17" s="145">
        <v>1538001</v>
      </c>
      <c r="HQ17" s="145">
        <v>2027084</v>
      </c>
      <c r="HR17" s="145">
        <v>2057386</v>
      </c>
      <c r="HS17" s="145">
        <v>1891715</v>
      </c>
      <c r="HT17" s="145">
        <v>1798284</v>
      </c>
      <c r="HU17" s="145">
        <v>1077621</v>
      </c>
      <c r="HV17" s="145">
        <v>682805</v>
      </c>
      <c r="HW17" s="145">
        <v>605735</v>
      </c>
      <c r="HX17" s="145">
        <v>417179</v>
      </c>
      <c r="HY17" s="15">
        <v>397141</v>
      </c>
      <c r="HZ17" s="15">
        <v>461739</v>
      </c>
      <c r="IA17" s="15">
        <v>937404</v>
      </c>
      <c r="IB17" s="15">
        <v>-1921652</v>
      </c>
      <c r="IC17" s="15">
        <v>-2503361</v>
      </c>
      <c r="ID17" s="15">
        <v>-2538232</v>
      </c>
      <c r="IE17" s="15">
        <v>-2693301</v>
      </c>
      <c r="IF17" s="15">
        <v>-2339882</v>
      </c>
      <c r="IG17" s="15">
        <v>-1395082</v>
      </c>
      <c r="IH17" s="15">
        <v>-996620</v>
      </c>
      <c r="II17" s="15">
        <v>-649837</v>
      </c>
      <c r="IJ17" s="15">
        <v>-489769</v>
      </c>
      <c r="IK17" s="15">
        <v>-516194</v>
      </c>
      <c r="IL17" s="15">
        <v>-703959</v>
      </c>
      <c r="IM17" s="15">
        <v>-1403025</v>
      </c>
      <c r="IN17" s="15">
        <v>-179240</v>
      </c>
      <c r="IO17" s="15">
        <v>-102154</v>
      </c>
      <c r="IP17" s="15">
        <v>-102803</v>
      </c>
      <c r="IQ17" s="15">
        <v>-84193</v>
      </c>
      <c r="IR17" s="15">
        <v>-73726</v>
      </c>
      <c r="IS17" s="15">
        <v>-63629</v>
      </c>
      <c r="IT17" s="15">
        <v>-44412</v>
      </c>
      <c r="IU17" s="15">
        <v>-27924</v>
      </c>
      <c r="IV17" s="15">
        <v>-20319</v>
      </c>
      <c r="IW17" s="15">
        <v>-16110</v>
      </c>
      <c r="IX17" s="15">
        <v>-19019</v>
      </c>
      <c r="IY17" s="15">
        <v>-35135</v>
      </c>
      <c r="IZ17" s="162">
        <v>-1721843</v>
      </c>
      <c r="JA17" s="162">
        <v>-2222345</v>
      </c>
      <c r="JB17" s="162">
        <v>-1964518</v>
      </c>
      <c r="JC17" s="162">
        <v>-1924148</v>
      </c>
      <c r="JD17" s="162">
        <v>-1767985</v>
      </c>
      <c r="JE17" s="162">
        <v>-1395009</v>
      </c>
      <c r="JF17" s="162">
        <v>-591726</v>
      </c>
      <c r="JG17" s="162">
        <v>-500902</v>
      </c>
      <c r="JH17" s="162">
        <v>-363603</v>
      </c>
      <c r="JI17" s="15">
        <v>-372788</v>
      </c>
      <c r="JJ17" s="145">
        <v>-487144</v>
      </c>
      <c r="JK17" s="145">
        <v>-923152</v>
      </c>
      <c r="JL17" s="145">
        <v>17155876</v>
      </c>
      <c r="JM17" s="145">
        <v>18774350</v>
      </c>
      <c r="JN17" s="145">
        <v>23495904</v>
      </c>
      <c r="JO17" s="145">
        <v>18088172</v>
      </c>
      <c r="JP17" s="145">
        <v>17218388</v>
      </c>
      <c r="JQ17" s="145">
        <v>13058153</v>
      </c>
      <c r="JR17" s="145">
        <v>8958497</v>
      </c>
      <c r="JS17" s="145">
        <v>6234627</v>
      </c>
      <c r="JT17" s="145">
        <v>4516496</v>
      </c>
      <c r="JU17" s="395">
        <v>3902548</v>
      </c>
      <c r="JV17" s="634"/>
      <c r="JW17" s="413"/>
      <c r="JX17" s="413"/>
      <c r="JY17" s="413"/>
      <c r="JZ17" s="413"/>
      <c r="KA17" s="413"/>
      <c r="KB17" s="413"/>
      <c r="KC17" s="413"/>
      <c r="KD17" s="413"/>
      <c r="KE17" s="413"/>
      <c r="KF17" s="413"/>
      <c r="KG17" s="413"/>
      <c r="KH17" s="413"/>
      <c r="KI17" s="635"/>
    </row>
    <row r="18" spans="1:295" x14ac:dyDescent="0.2">
      <c r="B18" s="24" t="s">
        <v>107</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2">
        <v>4406.75</v>
      </c>
      <c r="AF18" s="142">
        <v>2610.86</v>
      </c>
      <c r="AG18" s="142">
        <v>1292.44</v>
      </c>
      <c r="AH18" s="142">
        <v>0</v>
      </c>
      <c r="AI18" s="142">
        <v>14123.2</v>
      </c>
      <c r="AJ18" s="142">
        <v>8620.5400000000009</v>
      </c>
      <c r="AK18" s="142">
        <v>-60372.49</v>
      </c>
      <c r="AL18" s="142">
        <v>-7661.2</v>
      </c>
      <c r="AM18" s="142">
        <v>-5077.8100000000004</v>
      </c>
      <c r="AN18" s="142">
        <v>-5110.5200000000004</v>
      </c>
      <c r="AO18" s="142">
        <v>-4511</v>
      </c>
      <c r="AP18" s="142">
        <v>-4625.54</v>
      </c>
      <c r="AQ18" s="142">
        <v>-6318.8</v>
      </c>
      <c r="AR18" s="142">
        <v>12.78</v>
      </c>
      <c r="AS18" s="142">
        <v>-2.31</v>
      </c>
      <c r="AT18" s="142">
        <v>56.27</v>
      </c>
      <c r="AU18" s="142">
        <v>95.47</v>
      </c>
      <c r="AV18" s="142">
        <v>159.44</v>
      </c>
      <c r="AW18" s="142">
        <v>150.09</v>
      </c>
      <c r="AX18" s="142">
        <v>-871.45</v>
      </c>
      <c r="AY18" s="142">
        <v>-1273.44</v>
      </c>
      <c r="AZ18" s="143">
        <v>-1030.1199999999999</v>
      </c>
      <c r="BA18" s="143">
        <v>-2541.37</v>
      </c>
      <c r="BB18" s="143">
        <v>-966.3</v>
      </c>
      <c r="BC18" s="143">
        <v>-383.19</v>
      </c>
      <c r="BD18" s="143">
        <v>9217.17</v>
      </c>
      <c r="BE18" s="143">
        <v>8979</v>
      </c>
      <c r="BF18" s="143">
        <v>8529.01</v>
      </c>
      <c r="BG18" s="143">
        <v>8956.64</v>
      </c>
      <c r="BH18" s="143">
        <v>9613.85</v>
      </c>
      <c r="BI18" s="143">
        <v>10602.43</v>
      </c>
      <c r="BJ18" s="143">
        <v>11475.37</v>
      </c>
      <c r="BK18" s="143">
        <v>11172.25</v>
      </c>
      <c r="BL18" s="143">
        <v>10324.870000000001</v>
      </c>
      <c r="BM18" s="143">
        <v>10244.61</v>
      </c>
      <c r="BN18" s="143">
        <v>10430.14</v>
      </c>
      <c r="BO18" s="143">
        <v>10420.950000000001</v>
      </c>
      <c r="BP18" s="143">
        <v>-14529.98</v>
      </c>
      <c r="BQ18" s="143">
        <v>-12900.47</v>
      </c>
      <c r="BR18" s="146">
        <v>-11762.77</v>
      </c>
      <c r="BS18" s="143">
        <v>-10623.19</v>
      </c>
      <c r="BT18" s="143">
        <v>-12038.1</v>
      </c>
      <c r="BU18" s="143">
        <v>-11796.65</v>
      </c>
      <c r="BV18" s="143">
        <v>-11506.07</v>
      </c>
      <c r="BW18" s="143">
        <v>-11307.54</v>
      </c>
      <c r="BX18" s="143">
        <v>-10467.969999999999</v>
      </c>
      <c r="BY18" s="147">
        <v>-3024.99</v>
      </c>
      <c r="BZ18" s="147">
        <v>-3405.44</v>
      </c>
      <c r="CA18" s="147">
        <v>-4451.53</v>
      </c>
      <c r="CB18" s="143">
        <v>6466.51</v>
      </c>
      <c r="CC18" s="143">
        <v>35616.93</v>
      </c>
      <c r="CD18" s="143">
        <v>43647.33</v>
      </c>
      <c r="CE18" s="143">
        <v>36082.06</v>
      </c>
      <c r="CF18" s="143">
        <v>59059.49</v>
      </c>
      <c r="CG18" s="143">
        <v>53212.44</v>
      </c>
      <c r="CH18" s="143">
        <v>51255.1</v>
      </c>
      <c r="CI18" s="143">
        <v>49271.43</v>
      </c>
      <c r="CJ18" s="143">
        <v>47461.42</v>
      </c>
      <c r="CK18" s="143">
        <v>46087.27</v>
      </c>
      <c r="CL18" s="143">
        <v>46252.1</v>
      </c>
      <c r="CM18" s="146">
        <v>49732.24</v>
      </c>
      <c r="CN18" s="143">
        <v>47097.27</v>
      </c>
      <c r="CO18" s="146">
        <v>22468.61</v>
      </c>
      <c r="CP18" s="143">
        <v>22917.21</v>
      </c>
      <c r="CQ18" s="143">
        <v>17559.53</v>
      </c>
      <c r="CR18" s="143">
        <v>5574.89</v>
      </c>
      <c r="CS18" s="143">
        <v>7546.54</v>
      </c>
      <c r="CT18" s="143">
        <v>8619.8799999999992</v>
      </c>
      <c r="CU18" s="143">
        <v>9241.44</v>
      </c>
      <c r="CV18" s="143">
        <v>8692.83</v>
      </c>
      <c r="CW18" s="143">
        <v>11727.21</v>
      </c>
      <c r="CX18" s="143">
        <v>12585.59</v>
      </c>
      <c r="CY18" s="143">
        <v>15890.36</v>
      </c>
      <c r="CZ18" s="149">
        <v>17806.900000000001</v>
      </c>
      <c r="DA18" s="143">
        <v>21550.41</v>
      </c>
      <c r="DB18" s="150">
        <v>20736.46</v>
      </c>
      <c r="DC18" s="150">
        <v>19349.12</v>
      </c>
      <c r="DD18" s="143">
        <v>19577.63</v>
      </c>
      <c r="DE18" s="143">
        <v>18493.27</v>
      </c>
      <c r="DF18" s="143">
        <v>14201.74</v>
      </c>
      <c r="DG18" s="146">
        <v>13227.19</v>
      </c>
      <c r="DH18" s="143">
        <v>11794.42</v>
      </c>
      <c r="DI18" s="143">
        <v>6108.64</v>
      </c>
      <c r="DJ18" s="143">
        <v>5792.7</v>
      </c>
      <c r="DK18" s="143">
        <v>5667.56</v>
      </c>
      <c r="DL18" s="143">
        <v>743.88</v>
      </c>
      <c r="DM18" s="143">
        <v>2674.25</v>
      </c>
      <c r="DN18" s="143">
        <v>4984.6000000000004</v>
      </c>
      <c r="DO18" s="143">
        <v>8019.87</v>
      </c>
      <c r="DP18" s="143">
        <v>7424.41</v>
      </c>
      <c r="DQ18" s="143">
        <v>5973.15</v>
      </c>
      <c r="DR18" s="143">
        <v>3556.06</v>
      </c>
      <c r="DS18" s="143">
        <v>5131.83</v>
      </c>
      <c r="DT18" s="143">
        <v>5455.46</v>
      </c>
      <c r="DU18" s="143">
        <v>4243.71</v>
      </c>
      <c r="DV18" s="143">
        <v>7404.97</v>
      </c>
      <c r="DW18" s="143">
        <v>9081.1</v>
      </c>
      <c r="DX18" s="143">
        <v>8790.5300000000007</v>
      </c>
      <c r="DY18" s="143">
        <v>6512.53</v>
      </c>
      <c r="DZ18" s="143">
        <v>5327.01</v>
      </c>
      <c r="EA18" s="143">
        <v>7873.99</v>
      </c>
      <c r="EB18" s="143">
        <v>9065.42</v>
      </c>
      <c r="EC18" s="143">
        <v>9474.31</v>
      </c>
      <c r="ED18" s="143">
        <v>10508</v>
      </c>
      <c r="EE18" s="143">
        <v>9996.0499999999993</v>
      </c>
      <c r="EF18" s="143">
        <v>26584.59</v>
      </c>
      <c r="EG18" s="143">
        <v>25942.38</v>
      </c>
      <c r="EH18" s="143">
        <v>36491.230000000003</v>
      </c>
      <c r="EI18" s="143">
        <v>9596.0300000000007</v>
      </c>
      <c r="EJ18" s="143">
        <v>7942.84</v>
      </c>
      <c r="EK18" s="143">
        <v>10518.43</v>
      </c>
      <c r="EL18" s="143">
        <v>-20053.689999999999</v>
      </c>
      <c r="EM18" s="143">
        <v>1510.13</v>
      </c>
      <c r="EN18" s="143">
        <v>0</v>
      </c>
      <c r="EO18" s="143">
        <v>1438.5700000000002</v>
      </c>
      <c r="EP18" s="143">
        <v>1069.42</v>
      </c>
      <c r="EQ18" s="143">
        <v>479</v>
      </c>
      <c r="ER18" s="143">
        <v>303.18</v>
      </c>
      <c r="ES18" s="143">
        <f>-140.4-152.22-303.18</f>
        <v>-595.79999999999995</v>
      </c>
      <c r="ET18" s="149">
        <v>282.20999999999998</v>
      </c>
      <c r="EU18" s="149">
        <v>9283.07</v>
      </c>
      <c r="EV18" s="149">
        <v>-273.98</v>
      </c>
      <c r="EW18" s="149">
        <v>0</v>
      </c>
      <c r="EX18" s="149">
        <v>0</v>
      </c>
      <c r="EY18" s="149">
        <v>-135.66</v>
      </c>
      <c r="EZ18" s="149">
        <v>690.42</v>
      </c>
      <c r="FA18" s="149">
        <v>-4849.1400000000003</v>
      </c>
      <c r="FB18" s="149">
        <v>-419.05</v>
      </c>
      <c r="FC18" s="149">
        <v>0</v>
      </c>
      <c r="FD18" s="149">
        <v>0</v>
      </c>
      <c r="FE18" s="143">
        <v>0</v>
      </c>
      <c r="FF18" s="143">
        <v>0</v>
      </c>
      <c r="FG18" s="143">
        <v>0</v>
      </c>
      <c r="FH18" s="143">
        <v>-3373.32</v>
      </c>
      <c r="FI18" s="143">
        <v>0</v>
      </c>
      <c r="FJ18" s="143">
        <v>0</v>
      </c>
      <c r="FK18" s="143">
        <v>0</v>
      </c>
      <c r="FL18" s="143">
        <v>0</v>
      </c>
      <c r="FM18" s="143">
        <v>0</v>
      </c>
      <c r="FN18" s="143">
        <v>0</v>
      </c>
      <c r="FO18" s="143">
        <v>11639.08</v>
      </c>
      <c r="FP18" s="143">
        <v>2306</v>
      </c>
      <c r="FQ18" s="143">
        <v>0</v>
      </c>
      <c r="FR18" s="143">
        <v>0</v>
      </c>
      <c r="FS18" s="143">
        <v>0</v>
      </c>
      <c r="FT18" s="143">
        <v>0</v>
      </c>
      <c r="FU18" s="143">
        <v>0</v>
      </c>
      <c r="FV18" s="143">
        <v>23762.1</v>
      </c>
      <c r="FW18" s="143">
        <v>-2958.16</v>
      </c>
      <c r="FX18" s="143">
        <v>0</v>
      </c>
      <c r="FY18" s="143">
        <v>0</v>
      </c>
      <c r="FZ18" s="143">
        <v>12832.62</v>
      </c>
      <c r="GA18" s="143">
        <v>3117.06</v>
      </c>
      <c r="GB18" s="143">
        <v>18839.45</v>
      </c>
      <c r="GC18" s="143">
        <v>0</v>
      </c>
      <c r="GD18" s="143">
        <v>0</v>
      </c>
      <c r="GE18" s="143">
        <v>0</v>
      </c>
      <c r="GF18" s="143">
        <v>0</v>
      </c>
      <c r="GG18" s="143">
        <v>0</v>
      </c>
      <c r="GH18" s="143">
        <v>2271</v>
      </c>
      <c r="GI18" s="143">
        <v>6468.37</v>
      </c>
      <c r="GJ18" s="143">
        <v>0</v>
      </c>
      <c r="GK18" s="143">
        <v>-165.88</v>
      </c>
      <c r="GL18" s="143">
        <v>0</v>
      </c>
      <c r="GM18" s="143">
        <v>0</v>
      </c>
      <c r="GN18" s="143">
        <v>2177.39</v>
      </c>
      <c r="GO18" s="143">
        <v>-1.66</v>
      </c>
      <c r="GP18" s="150">
        <v>0</v>
      </c>
      <c r="GQ18" s="143">
        <v>0</v>
      </c>
      <c r="GR18" s="143">
        <v>1334.23</v>
      </c>
      <c r="GS18" s="143">
        <v>1711.43</v>
      </c>
      <c r="GT18" s="143">
        <v>246.25</v>
      </c>
      <c r="GU18" s="143">
        <v>355.54</v>
      </c>
      <c r="GV18" s="143">
        <v>0</v>
      </c>
      <c r="GW18" s="149">
        <v>0</v>
      </c>
      <c r="GX18" s="143">
        <v>6251.25</v>
      </c>
      <c r="GY18" s="143">
        <v>42497.4</v>
      </c>
      <c r="GZ18" s="143">
        <v>0</v>
      </c>
      <c r="HA18" s="143">
        <v>2547.81</v>
      </c>
      <c r="HB18" s="143">
        <v>-108.28</v>
      </c>
      <c r="HC18" s="143">
        <v>0</v>
      </c>
      <c r="HD18" s="143">
        <v>-704.29</v>
      </c>
      <c r="HE18" s="143">
        <v>-949.78</v>
      </c>
      <c r="HF18" s="143">
        <v>-843.29</v>
      </c>
      <c r="HG18" s="143">
        <v>-650.54</v>
      </c>
      <c r="HH18" s="143">
        <v>-923.45</v>
      </c>
      <c r="HI18" s="143">
        <v>1021.37</v>
      </c>
      <c r="HJ18" s="143">
        <v>2722.82</v>
      </c>
      <c r="HK18" s="143">
        <v>2997.93</v>
      </c>
      <c r="HL18" s="143">
        <v>4147.5600000000004</v>
      </c>
      <c r="HM18" s="143">
        <v>5733.75</v>
      </c>
      <c r="HN18" s="143">
        <v>6362.54</v>
      </c>
      <c r="HO18" s="143">
        <v>6993.21</v>
      </c>
      <c r="HP18" s="143">
        <v>27231.27</v>
      </c>
      <c r="HQ18" s="143">
        <v>27416.62</v>
      </c>
      <c r="HR18" s="143">
        <v>27628.15</v>
      </c>
      <c r="HS18" s="143">
        <v>29960.080000000002</v>
      </c>
      <c r="HT18" s="143">
        <v>28847.94</v>
      </c>
      <c r="HU18" s="143">
        <v>20836.13</v>
      </c>
      <c r="HV18" s="143">
        <v>18668.45</v>
      </c>
      <c r="HW18" s="143">
        <v>24089.64</v>
      </c>
      <c r="HX18" s="143">
        <v>17484.689999999999</v>
      </c>
      <c r="HY18" s="15">
        <v>12212.94</v>
      </c>
      <c r="HZ18" s="15">
        <v>27729.119999999999</v>
      </c>
      <c r="IA18" s="15">
        <v>6231.05</v>
      </c>
      <c r="IB18" s="15">
        <v>6231.05</v>
      </c>
      <c r="IC18" s="15">
        <v>7818.12</v>
      </c>
      <c r="ID18" s="15">
        <v>7646.69</v>
      </c>
      <c r="IE18" s="15">
        <v>10917.02</v>
      </c>
      <c r="IF18" s="15">
        <v>18028.060000000001</v>
      </c>
      <c r="IG18" s="15">
        <v>4217.74</v>
      </c>
      <c r="IH18" s="15">
        <v>-23310.57</v>
      </c>
      <c r="II18" s="15">
        <v>6243.49</v>
      </c>
      <c r="IJ18" s="15">
        <v>13637.52</v>
      </c>
      <c r="IK18" s="15">
        <v>13458.29</v>
      </c>
      <c r="IL18" s="15">
        <v>11503.94</v>
      </c>
      <c r="IM18" s="15">
        <v>9324.67</v>
      </c>
      <c r="IN18" s="15">
        <v>3106.7</v>
      </c>
      <c r="IO18" s="15">
        <v>3908.71</v>
      </c>
      <c r="IP18" s="15">
        <v>3209.35</v>
      </c>
      <c r="IQ18" s="15">
        <v>910.48</v>
      </c>
      <c r="IR18" s="15">
        <v>856.15</v>
      </c>
      <c r="IS18" s="15">
        <v>813.97</v>
      </c>
      <c r="IT18" s="15">
        <v>1.05</v>
      </c>
      <c r="IU18" s="15">
        <v>0.77</v>
      </c>
      <c r="IV18" s="15">
        <v>6727.85</v>
      </c>
      <c r="IW18" s="15">
        <v>5691.75</v>
      </c>
      <c r="IX18" s="15">
        <v>7151.97</v>
      </c>
      <c r="IY18" s="15">
        <v>15538.36</v>
      </c>
      <c r="IZ18" s="162">
        <v>19295.810000000001</v>
      </c>
      <c r="JA18" s="162">
        <v>19188.55</v>
      </c>
      <c r="JB18" s="162">
        <v>24263.98</v>
      </c>
      <c r="JC18" s="162">
        <v>25200.82</v>
      </c>
      <c r="JD18" s="162">
        <v>28153.41</v>
      </c>
      <c r="JE18" s="162">
        <v>26363.66</v>
      </c>
      <c r="JF18" s="162">
        <v>22615.53</v>
      </c>
      <c r="JG18" s="162">
        <v>18408.21</v>
      </c>
      <c r="JH18" s="162">
        <v>16646.490000000002</v>
      </c>
      <c r="JI18" s="15">
        <v>15811.33</v>
      </c>
      <c r="JJ18" s="145">
        <v>5726.26</v>
      </c>
      <c r="JK18" s="145">
        <v>5705.05</v>
      </c>
      <c r="JL18" s="145"/>
      <c r="JM18" s="145"/>
      <c r="JN18" s="145"/>
      <c r="JO18" s="145"/>
      <c r="JP18" s="145"/>
      <c r="JQ18" s="145"/>
      <c r="JR18" s="145"/>
      <c r="JS18" s="145"/>
      <c r="JT18" s="145">
        <v>12123.21</v>
      </c>
      <c r="JU18" s="143"/>
      <c r="JV18" s="636"/>
      <c r="JW18" s="415"/>
      <c r="JX18" s="415"/>
      <c r="JY18" s="415"/>
      <c r="JZ18" s="415"/>
      <c r="KA18" s="415"/>
      <c r="KB18" s="415"/>
      <c r="KC18" s="415"/>
      <c r="KD18" s="415"/>
      <c r="KE18" s="415"/>
      <c r="KF18" s="415"/>
      <c r="KG18" s="415"/>
      <c r="KH18" s="415"/>
      <c r="KI18" s="637"/>
    </row>
    <row r="19" spans="1:295" x14ac:dyDescent="0.2">
      <c r="B19" s="24" t="s">
        <v>71</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2">
        <v>-26332.09</v>
      </c>
      <c r="AF19" s="142">
        <v>-42793.45</v>
      </c>
      <c r="AG19" s="142">
        <v>-36658.99</v>
      </c>
      <c r="AH19" s="142">
        <v>-28713.65</v>
      </c>
      <c r="AI19" s="142">
        <v>-19408.509999999998</v>
      </c>
      <c r="AJ19" s="142">
        <v>-15187.66</v>
      </c>
      <c r="AK19" s="142">
        <v>-10689.45</v>
      </c>
      <c r="AL19" s="142">
        <v>-8165.26</v>
      </c>
      <c r="AM19" s="142">
        <v>-5831.24</v>
      </c>
      <c r="AN19" s="142">
        <v>-4307.6099999999997</v>
      </c>
      <c r="AO19" s="142">
        <v>-2664.66</v>
      </c>
      <c r="AP19" s="142">
        <v>-721.04</v>
      </c>
      <c r="AQ19" s="142">
        <v>-243.25</v>
      </c>
      <c r="AR19" s="142">
        <v>20532.45</v>
      </c>
      <c r="AS19" s="142">
        <v>11230.13</v>
      </c>
      <c r="AT19" s="142">
        <v>10352.870000000001</v>
      </c>
      <c r="AU19" s="142">
        <v>7550.07</v>
      </c>
      <c r="AV19" s="142">
        <v>6660.79</v>
      </c>
      <c r="AW19" s="142">
        <v>-5792.85</v>
      </c>
      <c r="AX19" s="142">
        <v>16466.47</v>
      </c>
      <c r="AY19" s="142">
        <v>3991.46</v>
      </c>
      <c r="AZ19" s="143">
        <v>3805.72</v>
      </c>
      <c r="BA19" s="143">
        <v>3180.43</v>
      </c>
      <c r="BB19" s="143">
        <v>2392.33</v>
      </c>
      <c r="BC19" s="143">
        <v>65067.15</v>
      </c>
      <c r="BD19" s="143">
        <v>104843.79</v>
      </c>
      <c r="BE19" s="143">
        <v>90755.64</v>
      </c>
      <c r="BF19" s="143">
        <v>79631.48</v>
      </c>
      <c r="BG19" s="143">
        <v>56091.69</v>
      </c>
      <c r="BH19" s="143">
        <v>44016.69</v>
      </c>
      <c r="BI19" s="143">
        <v>32131.95</v>
      </c>
      <c r="BJ19" s="143">
        <v>23279.29</v>
      </c>
      <c r="BK19" s="151">
        <v>16365.72</v>
      </c>
      <c r="BL19" s="151">
        <v>12786.97</v>
      </c>
      <c r="BM19" s="151">
        <v>8041.06</v>
      </c>
      <c r="BN19" s="151">
        <v>2649.8</v>
      </c>
      <c r="BO19" s="151">
        <v>217045.7</v>
      </c>
      <c r="BP19" s="151">
        <v>369570.69</v>
      </c>
      <c r="BQ19" s="151">
        <v>352476.26</v>
      </c>
      <c r="BR19" s="152">
        <v>321690.52</v>
      </c>
      <c r="BS19" s="151">
        <v>263998.73</v>
      </c>
      <c r="BT19" s="151">
        <v>266554.59999999998</v>
      </c>
      <c r="BU19" s="151">
        <v>238789.45</v>
      </c>
      <c r="BV19" s="151">
        <v>231897.84</v>
      </c>
      <c r="BW19" s="151">
        <v>214609.76</v>
      </c>
      <c r="BX19" s="151">
        <v>214163.99999999642</v>
      </c>
      <c r="BY19" s="147">
        <v>207475.95</v>
      </c>
      <c r="BZ19" s="147">
        <v>193110.38</v>
      </c>
      <c r="CA19" s="147">
        <v>-187117.42</v>
      </c>
      <c r="CB19" s="151">
        <v>-787505.38</v>
      </c>
      <c r="CC19" s="143">
        <v>-398332.6</v>
      </c>
      <c r="CD19" s="151">
        <v>-296901.99</v>
      </c>
      <c r="CE19" s="151">
        <v>-213975.38</v>
      </c>
      <c r="CF19" s="151">
        <v>-164904.51</v>
      </c>
      <c r="CG19" s="151">
        <v>-93098.71</v>
      </c>
      <c r="CH19" s="151">
        <v>-62213.23</v>
      </c>
      <c r="CI19" s="151">
        <v>-38147.75</v>
      </c>
      <c r="CJ19" s="151">
        <v>-17219.54</v>
      </c>
      <c r="CK19" s="151">
        <v>-5362.42</v>
      </c>
      <c r="CL19" s="151">
        <v>6978.82</v>
      </c>
      <c r="CM19" s="152">
        <v>-103463.42</v>
      </c>
      <c r="CN19" s="151">
        <v>-91181.42</v>
      </c>
      <c r="CO19" s="152">
        <v>-80164.91</v>
      </c>
      <c r="CP19" s="151">
        <v>-57207.9</v>
      </c>
      <c r="CQ19" s="151">
        <v>-40128.22</v>
      </c>
      <c r="CR19" s="151">
        <v>-31537.99</v>
      </c>
      <c r="CS19" s="151">
        <v>-15630.89</v>
      </c>
      <c r="CT19" s="151">
        <v>-11277.03</v>
      </c>
      <c r="CU19" s="151">
        <v>-8065.57</v>
      </c>
      <c r="CV19" s="151">
        <v>-5993.45</v>
      </c>
      <c r="CW19" s="151">
        <v>-3827.18</v>
      </c>
      <c r="CX19" s="151">
        <v>-1470.35</v>
      </c>
      <c r="CY19" s="151">
        <v>-191547.21</v>
      </c>
      <c r="CZ19" s="149">
        <v>-168518.83</v>
      </c>
      <c r="DA19" s="151">
        <v>-145755.35999999999</v>
      </c>
      <c r="DB19" s="150">
        <v>-117820.61</v>
      </c>
      <c r="DC19" s="150">
        <v>-87848.66</v>
      </c>
      <c r="DD19" s="151">
        <v>-75839.86</v>
      </c>
      <c r="DE19" s="151">
        <v>-55638.12</v>
      </c>
      <c r="DF19" s="143">
        <v>-42497.26</v>
      </c>
      <c r="DG19" s="146">
        <v>-31018.53</v>
      </c>
      <c r="DH19" s="143">
        <v>-24434.54</v>
      </c>
      <c r="DI19" s="143">
        <v>-17235.25</v>
      </c>
      <c r="DJ19" s="143">
        <v>-9789.86</v>
      </c>
      <c r="DK19" s="143">
        <v>646.16</v>
      </c>
      <c r="DL19" s="143">
        <v>-75559.91</v>
      </c>
      <c r="DM19" s="143">
        <v>-65668.27</v>
      </c>
      <c r="DN19" s="143">
        <v>-53164.41</v>
      </c>
      <c r="DO19" s="143">
        <v>-37231.129999999997</v>
      </c>
      <c r="DP19" s="143">
        <v>-29219.35</v>
      </c>
      <c r="DQ19" s="143">
        <v>-18708.669999999998</v>
      </c>
      <c r="DR19" s="143">
        <v>-11661.5</v>
      </c>
      <c r="DS19" s="143">
        <v>-6779.92</v>
      </c>
      <c r="DT19" s="143">
        <v>-3636.2</v>
      </c>
      <c r="DU19" s="143">
        <v>-282.39999999999998</v>
      </c>
      <c r="DV19" s="143">
        <v>2848.3</v>
      </c>
      <c r="DW19" s="143">
        <v>7773.55</v>
      </c>
      <c r="DX19" s="143">
        <v>-47119.39</v>
      </c>
      <c r="DY19" s="143">
        <v>-39764.239999999998</v>
      </c>
      <c r="DZ19" s="143">
        <v>-30312.45</v>
      </c>
      <c r="EA19" s="143">
        <v>-20577.64</v>
      </c>
      <c r="EB19" s="143">
        <v>-13497.5</v>
      </c>
      <c r="EC19" s="143">
        <v>-6810.87</v>
      </c>
      <c r="ED19" s="143">
        <v>-2946.54</v>
      </c>
      <c r="EE19" s="143">
        <v>51.31</v>
      </c>
      <c r="EF19" s="143">
        <v>2421.48</v>
      </c>
      <c r="EG19" s="143">
        <v>4339.87</v>
      </c>
      <c r="EH19" s="143">
        <v>6077.67</v>
      </c>
      <c r="EI19" s="143">
        <v>9593.1200000000008</v>
      </c>
      <c r="EJ19" s="143">
        <v>-78925.09</v>
      </c>
      <c r="EK19" s="143">
        <v>-69550.149999999994</v>
      </c>
      <c r="EL19" s="143">
        <v>-54653.98</v>
      </c>
      <c r="EM19" s="143">
        <v>-37753.33</v>
      </c>
      <c r="EN19" s="143">
        <v>-30485.08</v>
      </c>
      <c r="EO19" s="143">
        <v>-21120.53</v>
      </c>
      <c r="EP19" s="143">
        <v>-15558.28</v>
      </c>
      <c r="EQ19" s="143">
        <v>-11225.5</v>
      </c>
      <c r="ER19" s="143">
        <v>-8541.1299999999992</v>
      </c>
      <c r="ES19" s="143">
        <v>-5900.28</v>
      </c>
      <c r="ET19" s="149">
        <v>-2763.52</v>
      </c>
      <c r="EU19" s="149">
        <v>3076.04</v>
      </c>
      <c r="EV19" s="149">
        <v>-18702.91</v>
      </c>
      <c r="EW19" s="149">
        <v>-14724.52</v>
      </c>
      <c r="EX19" s="149">
        <v>-10047.48</v>
      </c>
      <c r="EY19" s="149">
        <v>-5306.74</v>
      </c>
      <c r="EZ19" s="149">
        <v>-1857.46</v>
      </c>
      <c r="FA19" s="149">
        <v>826</v>
      </c>
      <c r="FB19" s="149">
        <v>2714.83</v>
      </c>
      <c r="FC19" s="149">
        <v>3818.25</v>
      </c>
      <c r="FD19" s="149">
        <v>4920.01</v>
      </c>
      <c r="FE19" s="143">
        <v>5781.28</v>
      </c>
      <c r="FF19" s="143">
        <v>6460.33</v>
      </c>
      <c r="FG19" s="143">
        <v>7966.27</v>
      </c>
      <c r="FH19" s="143">
        <v>84742.19</v>
      </c>
      <c r="FI19" s="143">
        <v>78095.710000000006</v>
      </c>
      <c r="FJ19" s="143">
        <v>68083.5</v>
      </c>
      <c r="FK19" s="143">
        <v>54111.78</v>
      </c>
      <c r="FL19" s="143">
        <v>52157.93</v>
      </c>
      <c r="FM19" s="143">
        <v>44087.37</v>
      </c>
      <c r="FN19" s="143">
        <v>40601.769999999997</v>
      </c>
      <c r="FO19" s="143">
        <v>36354.870000000003</v>
      </c>
      <c r="FP19" s="143">
        <v>35244.910000000003</v>
      </c>
      <c r="FQ19" s="143">
        <v>33091.620000000003</v>
      </c>
      <c r="FR19" s="143">
        <v>29529.68</v>
      </c>
      <c r="FS19" s="143">
        <v>26793.41</v>
      </c>
      <c r="FT19" s="143">
        <v>-99717.95</v>
      </c>
      <c r="FU19" s="143">
        <v>-89102.77</v>
      </c>
      <c r="FV19" s="143">
        <v>-73142.33</v>
      </c>
      <c r="FW19" s="143">
        <v>-56018.65</v>
      </c>
      <c r="FX19" s="143">
        <v>-47664.12</v>
      </c>
      <c r="FY19" s="143">
        <v>-40122.83</v>
      </c>
      <c r="FZ19" s="143">
        <v>-35318.49</v>
      </c>
      <c r="GA19" s="143">
        <v>-29680.55</v>
      </c>
      <c r="GB19" s="143">
        <v>-26840</v>
      </c>
      <c r="GC19" s="143">
        <v>-23195.25</v>
      </c>
      <c r="GD19" s="143">
        <v>-18742.88</v>
      </c>
      <c r="GE19" s="143">
        <v>-13148.98</v>
      </c>
      <c r="GF19" s="143">
        <v>-86427.77</v>
      </c>
      <c r="GG19" s="143">
        <v>-76373.63</v>
      </c>
      <c r="GH19" s="143">
        <v>-59406.15</v>
      </c>
      <c r="GI19" s="143">
        <v>-40170.769999999997</v>
      </c>
      <c r="GJ19" s="143">
        <v>-30750.46</v>
      </c>
      <c r="GK19" s="143">
        <v>-21059.25</v>
      </c>
      <c r="GL19" s="143">
        <v>-14069.13</v>
      </c>
      <c r="GM19" s="143">
        <v>-8905.56</v>
      </c>
      <c r="GN19" s="143">
        <v>-5983.99</v>
      </c>
      <c r="GO19" s="143">
        <v>-2739.14</v>
      </c>
      <c r="GP19" s="150">
        <v>695</v>
      </c>
      <c r="GQ19" s="143">
        <v>7603.25</v>
      </c>
      <c r="GR19" s="143">
        <v>-37855.83</v>
      </c>
      <c r="GS19" s="143">
        <v>-31292.91</v>
      </c>
      <c r="GT19" s="143">
        <v>-23708.11</v>
      </c>
      <c r="GU19" s="143">
        <v>-14991.21</v>
      </c>
      <c r="GV19" s="143">
        <v>-9150.2099999999991</v>
      </c>
      <c r="GW19" s="149">
        <v>-3719.3</v>
      </c>
      <c r="GX19" s="143">
        <v>-206.47</v>
      </c>
      <c r="GY19" s="143">
        <v>2176.39</v>
      </c>
      <c r="GZ19" s="143">
        <v>4414.38</v>
      </c>
      <c r="HA19" s="143">
        <v>6157.12</v>
      </c>
      <c r="HB19" s="143">
        <v>7886.75</v>
      </c>
      <c r="HC19" s="143">
        <f>-7886.75+7886.75+12222.28</f>
        <v>12222.28</v>
      </c>
      <c r="HD19" s="143">
        <v>-196097.87</v>
      </c>
      <c r="HE19" s="143">
        <v>-175744.57</v>
      </c>
      <c r="HF19" s="143">
        <v>-151727.16</v>
      </c>
      <c r="HG19" s="143">
        <v>-107674.67</v>
      </c>
      <c r="HH19" s="143">
        <v>-85628.82</v>
      </c>
      <c r="HI19" s="143">
        <v>-64853.73</v>
      </c>
      <c r="HJ19" s="143">
        <v>-51759.99</v>
      </c>
      <c r="HK19" s="143">
        <v>-40426.07</v>
      </c>
      <c r="HL19" s="143">
        <v>-34133.32</v>
      </c>
      <c r="HM19" s="143">
        <v>-27007.63</v>
      </c>
      <c r="HN19" s="143">
        <v>-18369.77</v>
      </c>
      <c r="HO19" s="143">
        <v>-2976.82</v>
      </c>
      <c r="HP19" s="143">
        <v>-37994.79</v>
      </c>
      <c r="HQ19" s="143">
        <v>-30712.51</v>
      </c>
      <c r="HR19" s="143">
        <v>-19380.63</v>
      </c>
      <c r="HS19" s="143">
        <v>-10502.45</v>
      </c>
      <c r="HT19" s="143">
        <v>-3097.78</v>
      </c>
      <c r="HU19" s="143">
        <v>2637.77</v>
      </c>
      <c r="HV19" s="143">
        <v>25877.37</v>
      </c>
      <c r="HW19" s="143">
        <v>27268.69</v>
      </c>
      <c r="HX19" s="143">
        <v>21897.84</v>
      </c>
      <c r="HY19" s="15">
        <v>23123.65</v>
      </c>
      <c r="HZ19" s="15">
        <v>23634.85</v>
      </c>
      <c r="IA19" s="15">
        <v>25199.9</v>
      </c>
      <c r="IB19" s="15">
        <v>59692.11</v>
      </c>
      <c r="IC19" s="15">
        <v>55437.04</v>
      </c>
      <c r="ID19" s="15">
        <v>48495.62</v>
      </c>
      <c r="IE19" s="15">
        <v>37609.410000000003</v>
      </c>
      <c r="IF19" s="15">
        <v>31371.25</v>
      </c>
      <c r="IG19" s="15">
        <v>31580.55</v>
      </c>
      <c r="IH19" s="15">
        <v>26144.95</v>
      </c>
      <c r="II19" s="15">
        <v>23154.26</v>
      </c>
      <c r="IJ19" s="15">
        <v>22376.31</v>
      </c>
      <c r="IK19" s="15">
        <v>21021.79</v>
      </c>
      <c r="IL19" s="15">
        <v>18750.68</v>
      </c>
      <c r="IM19" s="15">
        <v>16374.08</v>
      </c>
      <c r="IN19" s="15">
        <v>12953.5</v>
      </c>
      <c r="IO19" s="15">
        <v>13009.69</v>
      </c>
      <c r="IP19" s="15">
        <v>12736.46</v>
      </c>
      <c r="IQ19" s="15">
        <v>11287.95</v>
      </c>
      <c r="IR19" s="15">
        <v>12272.13</v>
      </c>
      <c r="IS19" s="15">
        <v>11698.86</v>
      </c>
      <c r="IT19" s="15">
        <v>11940.68</v>
      </c>
      <c r="IU19" s="15">
        <v>11462.14</v>
      </c>
      <c r="IV19" s="15">
        <v>13057.11</v>
      </c>
      <c r="IW19" s="15">
        <v>13020.87</v>
      </c>
      <c r="IX19" s="15">
        <v>12568.2</v>
      </c>
      <c r="IY19" s="15">
        <v>17645.099999999999</v>
      </c>
      <c r="IZ19" s="162">
        <v>67018.86</v>
      </c>
      <c r="JA19" s="162">
        <v>60901.27</v>
      </c>
      <c r="JB19" s="162">
        <v>67231.73</v>
      </c>
      <c r="JC19" s="162">
        <v>51887.96</v>
      </c>
      <c r="JD19" s="162">
        <v>47245.79</v>
      </c>
      <c r="JE19" s="162">
        <v>45001.17</v>
      </c>
      <c r="JF19" s="162">
        <v>40444.78</v>
      </c>
      <c r="JG19" s="162">
        <v>35969.480000000003</v>
      </c>
      <c r="JH19" s="162">
        <v>36915.769999999997</v>
      </c>
      <c r="JI19" s="15">
        <v>34515.040000000001</v>
      </c>
      <c r="JJ19" s="145">
        <v>30646.48</v>
      </c>
      <c r="JK19" s="145">
        <v>27809.83</v>
      </c>
      <c r="JL19" s="145">
        <v>-892068.73</v>
      </c>
      <c r="JM19" s="145">
        <v>-792012.80000000005</v>
      </c>
      <c r="JN19" s="145">
        <v>-652013.02</v>
      </c>
      <c r="JO19" s="145">
        <v>-475102</v>
      </c>
      <c r="JP19" s="145">
        <v>-376662.25</v>
      </c>
      <c r="JQ19" s="145">
        <v>-261531.02</v>
      </c>
      <c r="JR19" s="145">
        <v>-190790.63</v>
      </c>
      <c r="JS19" s="145">
        <v>-133140.71</v>
      </c>
      <c r="JT19" s="145">
        <v>-98646.22</v>
      </c>
      <c r="JU19" s="395">
        <v>-68431.87</v>
      </c>
      <c r="JV19" s="634"/>
      <c r="JW19" s="413"/>
      <c r="JX19" s="413"/>
      <c r="JY19" s="413"/>
      <c r="JZ19" s="413"/>
      <c r="KA19" s="413"/>
      <c r="KB19" s="413"/>
      <c r="KC19" s="413"/>
      <c r="KD19" s="413"/>
      <c r="KE19" s="413"/>
      <c r="KF19" s="413"/>
      <c r="KG19" s="413"/>
      <c r="KH19" s="413"/>
      <c r="KI19" s="635"/>
    </row>
    <row r="20" spans="1:295" x14ac:dyDescent="0.2">
      <c r="B20" s="24" t="s">
        <v>108</v>
      </c>
      <c r="D20" s="154">
        <f t="shared" ref="D20:BO20" si="34">SUM(D16:D19)</f>
        <v>0</v>
      </c>
      <c r="E20" s="154">
        <f t="shared" si="34"/>
        <v>0</v>
      </c>
      <c r="F20" s="154">
        <f t="shared" si="34"/>
        <v>0</v>
      </c>
      <c r="G20" s="154">
        <f t="shared" si="34"/>
        <v>0</v>
      </c>
      <c r="H20" s="154">
        <f t="shared" si="34"/>
        <v>0</v>
      </c>
      <c r="I20" s="154">
        <f t="shared" si="34"/>
        <v>0</v>
      </c>
      <c r="J20" s="154">
        <f t="shared" si="34"/>
        <v>0</v>
      </c>
      <c r="K20" s="154">
        <f t="shared" si="34"/>
        <v>0</v>
      </c>
      <c r="L20" s="154">
        <f t="shared" si="34"/>
        <v>0</v>
      </c>
      <c r="M20" s="154">
        <f t="shared" si="34"/>
        <v>0</v>
      </c>
      <c r="N20" s="154">
        <f t="shared" si="34"/>
        <v>0</v>
      </c>
      <c r="O20" s="154">
        <f t="shared" si="34"/>
        <v>0</v>
      </c>
      <c r="P20" s="154">
        <f t="shared" si="34"/>
        <v>0</v>
      </c>
      <c r="Q20" s="154">
        <f t="shared" si="34"/>
        <v>0</v>
      </c>
      <c r="R20" s="154">
        <f t="shared" si="34"/>
        <v>0</v>
      </c>
      <c r="S20" s="154">
        <f t="shared" si="34"/>
        <v>0</v>
      </c>
      <c r="T20" s="154">
        <f t="shared" si="34"/>
        <v>0</v>
      </c>
      <c r="U20" s="154">
        <f t="shared" si="34"/>
        <v>0</v>
      </c>
      <c r="V20" s="154">
        <f t="shared" si="34"/>
        <v>0</v>
      </c>
      <c r="W20" s="154">
        <f t="shared" si="34"/>
        <v>0</v>
      </c>
      <c r="X20" s="154">
        <f t="shared" si="34"/>
        <v>0</v>
      </c>
      <c r="Y20" s="154">
        <f t="shared" si="34"/>
        <v>0</v>
      </c>
      <c r="Z20" s="154">
        <f t="shared" si="34"/>
        <v>0</v>
      </c>
      <c r="AA20" s="154">
        <f t="shared" si="34"/>
        <v>0</v>
      </c>
      <c r="AB20" s="154">
        <f t="shared" si="34"/>
        <v>0</v>
      </c>
      <c r="AC20" s="154">
        <f t="shared" si="34"/>
        <v>0</v>
      </c>
      <c r="AD20" s="154">
        <f t="shared" si="34"/>
        <v>0</v>
      </c>
      <c r="AE20" s="154">
        <f t="shared" si="34"/>
        <v>1397053.9118453788</v>
      </c>
      <c r="AF20" s="154">
        <f t="shared" si="34"/>
        <v>2017023.6500000001</v>
      </c>
      <c r="AG20" s="154">
        <f t="shared" si="34"/>
        <v>2199103.4999999995</v>
      </c>
      <c r="AH20" s="154">
        <f t="shared" si="34"/>
        <v>2321498.3200000003</v>
      </c>
      <c r="AI20" s="154">
        <f t="shared" si="34"/>
        <v>1880803.17</v>
      </c>
      <c r="AJ20" s="154">
        <f t="shared" si="34"/>
        <v>1579447.6700000002</v>
      </c>
      <c r="AK20" s="154">
        <f t="shared" si="34"/>
        <v>924989.06</v>
      </c>
      <c r="AL20" s="154">
        <f t="shared" si="34"/>
        <v>741741.29</v>
      </c>
      <c r="AM20" s="154">
        <f t="shared" si="34"/>
        <v>540071.44999999995</v>
      </c>
      <c r="AN20" s="154">
        <f t="shared" si="34"/>
        <v>448194.11</v>
      </c>
      <c r="AO20" s="154">
        <f t="shared" si="34"/>
        <v>502355.61000000004</v>
      </c>
      <c r="AP20" s="154">
        <f t="shared" si="34"/>
        <v>631089.30999999994</v>
      </c>
      <c r="AQ20" s="154">
        <f t="shared" si="34"/>
        <v>3801203.5729453173</v>
      </c>
      <c r="AR20" s="154">
        <f t="shared" si="34"/>
        <v>-423122.81999999995</v>
      </c>
      <c r="AS20" s="154">
        <f t="shared" si="34"/>
        <v>-526526.68000000005</v>
      </c>
      <c r="AT20" s="154">
        <f t="shared" si="34"/>
        <v>-580846.92999999993</v>
      </c>
      <c r="AU20" s="154">
        <f t="shared" si="34"/>
        <v>-446934.98000000004</v>
      </c>
      <c r="AV20" s="154">
        <f t="shared" si="34"/>
        <v>-346567.7</v>
      </c>
      <c r="AW20" s="154">
        <f t="shared" si="34"/>
        <v>-309047.80999999994</v>
      </c>
      <c r="AX20" s="154">
        <f t="shared" si="34"/>
        <v>-173179.94</v>
      </c>
      <c r="AY20" s="154">
        <f t="shared" si="34"/>
        <v>-150431.92000000001</v>
      </c>
      <c r="AZ20" s="154">
        <f t="shared" si="34"/>
        <v>-119506.57999999999</v>
      </c>
      <c r="BA20" s="154">
        <f t="shared" si="34"/>
        <v>-127942.80000000002</v>
      </c>
      <c r="BB20" s="154">
        <f t="shared" si="34"/>
        <v>-157601.09</v>
      </c>
      <c r="BC20" s="154">
        <f t="shared" si="34"/>
        <v>21705577.779999997</v>
      </c>
      <c r="BD20" s="154">
        <f t="shared" si="34"/>
        <v>-2886129.74</v>
      </c>
      <c r="BE20" s="154">
        <f t="shared" si="34"/>
        <v>-3423629.69</v>
      </c>
      <c r="BF20" s="154">
        <f t="shared" si="34"/>
        <v>-3086165.4000000004</v>
      </c>
      <c r="BG20" s="154">
        <f t="shared" si="34"/>
        <v>-3173008.07</v>
      </c>
      <c r="BH20" s="154">
        <f t="shared" si="34"/>
        <v>-2738826.95</v>
      </c>
      <c r="BI20" s="154">
        <f t="shared" si="34"/>
        <v>-1902626.37</v>
      </c>
      <c r="BJ20" s="154">
        <f t="shared" si="34"/>
        <v>-1249025.1299999999</v>
      </c>
      <c r="BK20" s="154">
        <f t="shared" si="34"/>
        <v>-832099.11</v>
      </c>
      <c r="BL20" s="154">
        <f t="shared" si="34"/>
        <v>-692001.87</v>
      </c>
      <c r="BM20" s="154">
        <f t="shared" si="34"/>
        <v>-728051.48</v>
      </c>
      <c r="BN20" s="154">
        <f t="shared" si="34"/>
        <v>-886588.37</v>
      </c>
      <c r="BO20" s="154">
        <f t="shared" si="34"/>
        <v>57253372.800000004</v>
      </c>
      <c r="BP20" s="154">
        <f t="shared" ref="BP20:BQ20" si="35">SUM(BP16:BP19)</f>
        <v>-3383900.12</v>
      </c>
      <c r="BQ20" s="154">
        <f t="shared" si="35"/>
        <v>-4183184.74</v>
      </c>
      <c r="BR20" s="154">
        <f>ROUND(SUM(BR16:BR19),2)</f>
        <v>-4853267.67</v>
      </c>
      <c r="BS20" s="154">
        <f t="shared" ref="BS20:ED20" si="36">ROUND(SUM(BS16:BS19),2)</f>
        <v>-3455403.42</v>
      </c>
      <c r="BT20" s="154">
        <f t="shared" si="36"/>
        <v>-3038371.59</v>
      </c>
      <c r="BU20" s="154">
        <f t="shared" si="36"/>
        <v>-2262545.36</v>
      </c>
      <c r="BV20" s="154">
        <f t="shared" si="36"/>
        <v>-1504546.58</v>
      </c>
      <c r="BW20" s="154">
        <f t="shared" si="36"/>
        <v>-1026938.39</v>
      </c>
      <c r="BX20" s="154">
        <f t="shared" si="36"/>
        <v>-707047.84</v>
      </c>
      <c r="BY20" s="154">
        <f t="shared" si="36"/>
        <v>-774441.8</v>
      </c>
      <c r="BZ20" s="154">
        <f t="shared" si="36"/>
        <v>-1097071.43</v>
      </c>
      <c r="CA20" s="154">
        <f t="shared" si="36"/>
        <v>-99718544.379999995</v>
      </c>
      <c r="CB20" s="154">
        <f t="shared" si="36"/>
        <v>7861776.5099999998</v>
      </c>
      <c r="CC20" s="154">
        <f t="shared" si="36"/>
        <v>10827851.25</v>
      </c>
      <c r="CD20" s="154">
        <f t="shared" si="36"/>
        <v>11976200.359999999</v>
      </c>
      <c r="CE20" s="154">
        <f t="shared" si="36"/>
        <v>9067277.2300000004</v>
      </c>
      <c r="CF20" s="154">
        <f t="shared" si="36"/>
        <v>9324633.9800000004</v>
      </c>
      <c r="CG20" s="154">
        <f t="shared" si="36"/>
        <v>7414526.1399999997</v>
      </c>
      <c r="CH20" s="154">
        <f t="shared" si="36"/>
        <v>4328250.3</v>
      </c>
      <c r="CI20" s="154">
        <f t="shared" si="36"/>
        <v>3677086.98</v>
      </c>
      <c r="CJ20" s="154">
        <f t="shared" si="36"/>
        <v>2347031.61</v>
      </c>
      <c r="CK20" s="154">
        <f t="shared" si="36"/>
        <v>2850989.67</v>
      </c>
      <c r="CL20" s="154">
        <f t="shared" si="36"/>
        <v>2826243.77</v>
      </c>
      <c r="CM20" s="154">
        <f t="shared" si="36"/>
        <v>-26437255.68</v>
      </c>
      <c r="CN20" s="154">
        <f t="shared" si="36"/>
        <v>2212013.31</v>
      </c>
      <c r="CO20" s="154">
        <f t="shared" si="36"/>
        <v>3995624.53</v>
      </c>
      <c r="CP20" s="154">
        <f t="shared" si="36"/>
        <v>3835518.72</v>
      </c>
      <c r="CQ20" s="154">
        <f t="shared" si="36"/>
        <v>3102129.08</v>
      </c>
      <c r="CR20" s="154">
        <f t="shared" si="36"/>
        <v>3226232.05</v>
      </c>
      <c r="CS20" s="154">
        <f t="shared" si="36"/>
        <v>2048578.4</v>
      </c>
      <c r="CT20" s="154">
        <f t="shared" si="36"/>
        <v>1337957.3899999999</v>
      </c>
      <c r="CU20" s="154">
        <f t="shared" si="36"/>
        <v>777122.16</v>
      </c>
      <c r="CV20" s="154">
        <f t="shared" si="36"/>
        <v>676286.28</v>
      </c>
      <c r="CW20" s="154">
        <f t="shared" si="36"/>
        <v>865406.01</v>
      </c>
      <c r="CX20" s="154">
        <f t="shared" si="36"/>
        <v>830140.69</v>
      </c>
      <c r="CY20" s="154">
        <f t="shared" si="36"/>
        <v>-67221992.329999998</v>
      </c>
      <c r="CZ20" s="154">
        <f t="shared" si="36"/>
        <v>7530726.8099999996</v>
      </c>
      <c r="DA20" s="154">
        <f t="shared" si="36"/>
        <v>12051619.550000001</v>
      </c>
      <c r="DB20" s="154">
        <f t="shared" si="36"/>
        <v>8291915.79</v>
      </c>
      <c r="DC20" s="154">
        <f t="shared" si="36"/>
        <v>7213039</v>
      </c>
      <c r="DD20" s="154">
        <f t="shared" si="36"/>
        <v>7419002.29</v>
      </c>
      <c r="DE20" s="154">
        <f t="shared" si="36"/>
        <v>6060767.7199999997</v>
      </c>
      <c r="DF20" s="154">
        <f t="shared" si="36"/>
        <v>4659070.67</v>
      </c>
      <c r="DG20" s="154">
        <f t="shared" si="36"/>
        <v>811778.61</v>
      </c>
      <c r="DH20" s="154">
        <f t="shared" si="36"/>
        <v>2358480.98</v>
      </c>
      <c r="DI20" s="154">
        <f t="shared" si="36"/>
        <v>2610386.67</v>
      </c>
      <c r="DJ20" s="154">
        <f t="shared" si="36"/>
        <v>2601045.73</v>
      </c>
      <c r="DK20" s="154">
        <f t="shared" si="36"/>
        <v>4888846.13</v>
      </c>
      <c r="DL20" s="156">
        <f t="shared" si="36"/>
        <v>-28737639.170000002</v>
      </c>
      <c r="DM20" s="156">
        <f t="shared" si="36"/>
        <v>4365364.93</v>
      </c>
      <c r="DN20" s="156">
        <f t="shared" si="36"/>
        <v>4558216.8499999996</v>
      </c>
      <c r="DO20" s="156">
        <f t="shared" si="36"/>
        <v>4452027.8600000003</v>
      </c>
      <c r="DP20" s="156">
        <f t="shared" si="36"/>
        <v>3805782.25</v>
      </c>
      <c r="DQ20" s="156">
        <f t="shared" si="36"/>
        <v>3449997.32</v>
      </c>
      <c r="DR20" s="156">
        <f t="shared" si="36"/>
        <v>2104122.59</v>
      </c>
      <c r="DS20" s="156">
        <f t="shared" si="36"/>
        <v>1364074.68</v>
      </c>
      <c r="DT20" s="156">
        <f t="shared" si="36"/>
        <v>1055939.8400000001</v>
      </c>
      <c r="DU20" s="156">
        <f t="shared" si="36"/>
        <v>1342758.68</v>
      </c>
      <c r="DV20" s="156">
        <f t="shared" si="36"/>
        <v>1056711.29</v>
      </c>
      <c r="DW20" s="156">
        <f t="shared" si="36"/>
        <v>2302020.2000000002</v>
      </c>
      <c r="DX20" s="156">
        <f t="shared" si="36"/>
        <v>-20147056.41</v>
      </c>
      <c r="DY20" s="156">
        <f t="shared" si="36"/>
        <v>3318624.36</v>
      </c>
      <c r="DZ20" s="156">
        <f t="shared" si="36"/>
        <v>3448126.55</v>
      </c>
      <c r="EA20" s="156">
        <f t="shared" si="36"/>
        <v>2774607.57</v>
      </c>
      <c r="EB20" s="156">
        <f t="shared" si="36"/>
        <v>3147680.68</v>
      </c>
      <c r="EC20" s="156">
        <f t="shared" si="36"/>
        <v>1689498.34</v>
      </c>
      <c r="ED20" s="156">
        <f t="shared" si="36"/>
        <v>1256417.69</v>
      </c>
      <c r="EE20" s="156">
        <f t="shared" ref="EE20:GP20" si="37">ROUND(SUM(EE16:EE19),2)</f>
        <v>971195.11</v>
      </c>
      <c r="EF20" s="156">
        <f t="shared" si="37"/>
        <v>740685.8</v>
      </c>
      <c r="EG20" s="156">
        <f t="shared" si="37"/>
        <v>663708.61</v>
      </c>
      <c r="EH20" s="156">
        <f t="shared" si="37"/>
        <v>765806.66</v>
      </c>
      <c r="EI20" s="156">
        <f t="shared" si="37"/>
        <v>1551665.25</v>
      </c>
      <c r="EJ20" s="156">
        <f t="shared" si="37"/>
        <v>-32162941.760000002</v>
      </c>
      <c r="EK20" s="156">
        <f t="shared" si="37"/>
        <v>4881960.9400000004</v>
      </c>
      <c r="EL20" s="156">
        <f t="shared" si="37"/>
        <v>5708541.3300000001</v>
      </c>
      <c r="EM20" s="156">
        <f t="shared" si="37"/>
        <v>4071548.8</v>
      </c>
      <c r="EN20" s="156">
        <f t="shared" si="37"/>
        <v>3696705.92</v>
      </c>
      <c r="EO20" s="156">
        <f t="shared" si="37"/>
        <v>2705724.04</v>
      </c>
      <c r="EP20" s="156">
        <f t="shared" si="37"/>
        <v>1803651.14</v>
      </c>
      <c r="EQ20" s="156">
        <f t="shared" si="37"/>
        <v>1137315.5</v>
      </c>
      <c r="ER20" s="156">
        <f t="shared" si="37"/>
        <v>1034657.05</v>
      </c>
      <c r="ES20" s="156">
        <f t="shared" si="37"/>
        <v>879625.92</v>
      </c>
      <c r="ET20" s="156">
        <f t="shared" si="37"/>
        <v>1315565.69</v>
      </c>
      <c r="EU20" s="156">
        <f t="shared" si="37"/>
        <v>2799866.11</v>
      </c>
      <c r="EV20" s="156">
        <f t="shared" si="37"/>
        <v>-8731990.8900000006</v>
      </c>
      <c r="EW20" s="156">
        <f t="shared" si="37"/>
        <v>1811329.48</v>
      </c>
      <c r="EX20" s="156">
        <f t="shared" si="37"/>
        <v>1575947.52</v>
      </c>
      <c r="EY20" s="156">
        <f t="shared" si="37"/>
        <v>1585186.6</v>
      </c>
      <c r="EZ20" s="156">
        <f t="shared" si="37"/>
        <v>1202324.96</v>
      </c>
      <c r="FA20" s="156">
        <f t="shared" si="37"/>
        <v>822674.86</v>
      </c>
      <c r="FB20" s="156">
        <f t="shared" si="37"/>
        <v>532976.78</v>
      </c>
      <c r="FC20" s="156">
        <f t="shared" si="37"/>
        <v>390790.25</v>
      </c>
      <c r="FD20" s="156">
        <f t="shared" si="37"/>
        <v>319392.01</v>
      </c>
      <c r="FE20" s="156">
        <f t="shared" si="37"/>
        <v>315791.28000000003</v>
      </c>
      <c r="FF20" s="156">
        <f t="shared" si="37"/>
        <v>351492.33</v>
      </c>
      <c r="FG20" s="156">
        <f t="shared" si="37"/>
        <v>566961.27</v>
      </c>
      <c r="FH20" s="156">
        <f t="shared" si="37"/>
        <v>27282744.870000001</v>
      </c>
      <c r="FI20" s="156">
        <f t="shared" si="37"/>
        <v>-3648752.29</v>
      </c>
      <c r="FJ20" s="156">
        <f t="shared" si="37"/>
        <v>-3477146.5</v>
      </c>
      <c r="FK20" s="156">
        <f t="shared" si="37"/>
        <v>-2666371.2200000002</v>
      </c>
      <c r="FL20" s="156">
        <f t="shared" si="37"/>
        <v>-2588330.0699999998</v>
      </c>
      <c r="FM20" s="156">
        <f t="shared" si="37"/>
        <v>-2203933.63</v>
      </c>
      <c r="FN20" s="156">
        <f t="shared" si="37"/>
        <v>-1319933.23</v>
      </c>
      <c r="FO20" s="156">
        <f t="shared" si="37"/>
        <v>-873244.05</v>
      </c>
      <c r="FP20" s="156">
        <f t="shared" si="37"/>
        <v>-724555.09</v>
      </c>
      <c r="FQ20" s="156">
        <f t="shared" si="37"/>
        <v>-763726.38</v>
      </c>
      <c r="FR20" s="156">
        <f t="shared" si="37"/>
        <v>-1046664.32</v>
      </c>
      <c r="FS20" s="156">
        <f t="shared" si="37"/>
        <v>-1515339.59</v>
      </c>
      <c r="FT20" s="156">
        <f t="shared" si="37"/>
        <v>-44653957.950000003</v>
      </c>
      <c r="FU20" s="156">
        <f t="shared" si="37"/>
        <v>5861962.2300000004</v>
      </c>
      <c r="FV20" s="156">
        <f t="shared" si="37"/>
        <v>5569979.7699999996</v>
      </c>
      <c r="FW20" s="156">
        <f t="shared" si="37"/>
        <v>4304581.1900000004</v>
      </c>
      <c r="FX20" s="156">
        <f t="shared" si="37"/>
        <v>4185136.88</v>
      </c>
      <c r="FY20" s="156">
        <f t="shared" si="37"/>
        <v>2299133.17</v>
      </c>
      <c r="FZ20" s="156">
        <f t="shared" si="37"/>
        <v>1785219.13</v>
      </c>
      <c r="GA20" s="156">
        <f t="shared" si="37"/>
        <v>1394774.51</v>
      </c>
      <c r="GB20" s="156">
        <f t="shared" si="37"/>
        <v>1327918.45</v>
      </c>
      <c r="GC20" s="156">
        <f t="shared" si="37"/>
        <v>1096977.75</v>
      </c>
      <c r="GD20" s="156">
        <f t="shared" si="37"/>
        <v>1447025.12</v>
      </c>
      <c r="GE20" s="156">
        <f t="shared" si="37"/>
        <v>2554325.02</v>
      </c>
      <c r="GF20" s="156">
        <f t="shared" si="37"/>
        <v>-25494357.77</v>
      </c>
      <c r="GG20" s="156">
        <f t="shared" si="37"/>
        <v>5356472.37</v>
      </c>
      <c r="GH20" s="156">
        <f t="shared" si="37"/>
        <v>5875109.8499999996</v>
      </c>
      <c r="GI20" s="156">
        <f t="shared" si="37"/>
        <v>4645611.5999999996</v>
      </c>
      <c r="GJ20" s="156">
        <f t="shared" si="37"/>
        <v>4116038.54</v>
      </c>
      <c r="GK20" s="156">
        <f t="shared" si="37"/>
        <v>2914547.87</v>
      </c>
      <c r="GL20" s="156">
        <f t="shared" si="37"/>
        <v>1939375.87</v>
      </c>
      <c r="GM20" s="156">
        <f t="shared" si="37"/>
        <v>1232941.44</v>
      </c>
      <c r="GN20" s="156">
        <f t="shared" si="37"/>
        <v>1018426.4</v>
      </c>
      <c r="GO20" s="156">
        <f t="shared" si="37"/>
        <v>912941.2</v>
      </c>
      <c r="GP20" s="156">
        <f t="shared" si="37"/>
        <v>1152738</v>
      </c>
      <c r="GQ20" s="156">
        <f t="shared" ref="GQ20:JN20" si="38">ROUND(SUM(GQ16:GQ19),2)</f>
        <v>2515437.25</v>
      </c>
      <c r="GR20" s="156">
        <f t="shared" si="38"/>
        <v>-13324528.6</v>
      </c>
      <c r="GS20" s="156">
        <f t="shared" si="38"/>
        <v>2295412.52</v>
      </c>
      <c r="GT20" s="156">
        <f t="shared" si="38"/>
        <v>2042153.14</v>
      </c>
      <c r="GU20" s="156">
        <f t="shared" si="38"/>
        <v>2058962.33</v>
      </c>
      <c r="GV20" s="156">
        <f t="shared" si="38"/>
        <v>1862145.79</v>
      </c>
      <c r="GW20" s="156">
        <f t="shared" si="38"/>
        <v>1266653.7</v>
      </c>
      <c r="GX20" s="156">
        <f t="shared" si="38"/>
        <v>665587.78</v>
      </c>
      <c r="GY20" s="156">
        <f t="shared" si="38"/>
        <v>651084.79</v>
      </c>
      <c r="GZ20" s="156">
        <f t="shared" si="38"/>
        <v>392864.38</v>
      </c>
      <c r="HA20" s="156">
        <f t="shared" si="38"/>
        <v>484072.93</v>
      </c>
      <c r="HB20" s="156">
        <f t="shared" si="38"/>
        <v>541112.47</v>
      </c>
      <c r="HC20" s="156">
        <f t="shared" si="38"/>
        <v>1118308.28</v>
      </c>
      <c r="HD20" s="156">
        <f t="shared" si="38"/>
        <v>-49368573.159999996</v>
      </c>
      <c r="HE20" s="156">
        <f t="shared" si="38"/>
        <v>7214713.6500000004</v>
      </c>
      <c r="HF20" s="156">
        <f t="shared" si="38"/>
        <v>6947992.5499999998</v>
      </c>
      <c r="HG20" s="156">
        <f t="shared" si="38"/>
        <v>8261479.79</v>
      </c>
      <c r="HH20" s="156">
        <f t="shared" si="38"/>
        <v>6203252.7300000004</v>
      </c>
      <c r="HI20" s="156">
        <f t="shared" si="38"/>
        <v>3957636.64</v>
      </c>
      <c r="HJ20" s="156">
        <f t="shared" si="38"/>
        <v>2535184.83</v>
      </c>
      <c r="HK20" s="156">
        <f t="shared" si="38"/>
        <v>1814255.86</v>
      </c>
      <c r="HL20" s="156">
        <f t="shared" si="38"/>
        <v>1519748.24</v>
      </c>
      <c r="HM20" s="156">
        <f t="shared" si="38"/>
        <v>1475012.12</v>
      </c>
      <c r="HN20" s="156">
        <f t="shared" si="38"/>
        <v>1931151.77</v>
      </c>
      <c r="HO20" s="156">
        <f t="shared" si="38"/>
        <v>4568914.3899999997</v>
      </c>
      <c r="HP20" s="156">
        <f t="shared" si="38"/>
        <v>-9254572.2599999998</v>
      </c>
      <c r="HQ20" s="156">
        <f t="shared" si="38"/>
        <v>2023788.11</v>
      </c>
      <c r="HR20" s="156">
        <f t="shared" si="38"/>
        <v>2065633.52</v>
      </c>
      <c r="HS20" s="156">
        <f t="shared" si="38"/>
        <v>1911172.63</v>
      </c>
      <c r="HT20" s="156">
        <f t="shared" si="38"/>
        <v>1824034.16</v>
      </c>
      <c r="HU20" s="156">
        <f t="shared" si="38"/>
        <v>1101094.8999999999</v>
      </c>
      <c r="HV20" s="156">
        <f t="shared" si="38"/>
        <v>5486328.9800000004</v>
      </c>
      <c r="HW20" s="156">
        <f t="shared" si="38"/>
        <v>657093.32999999996</v>
      </c>
      <c r="HX20" s="156">
        <f t="shared" si="38"/>
        <v>456561.53</v>
      </c>
      <c r="HY20" s="156">
        <f t="shared" si="38"/>
        <v>432477.59</v>
      </c>
      <c r="HZ20" s="156">
        <f t="shared" si="38"/>
        <v>513102.97</v>
      </c>
      <c r="IA20" s="156">
        <f t="shared" si="38"/>
        <v>968834.95</v>
      </c>
      <c r="IB20" s="156">
        <f t="shared" si="38"/>
        <v>11956455.82</v>
      </c>
      <c r="IC20" s="156">
        <f t="shared" si="38"/>
        <v>-2440105.84</v>
      </c>
      <c r="ID20" s="156">
        <f t="shared" si="38"/>
        <v>-2482089.69</v>
      </c>
      <c r="IE20" s="156">
        <f t="shared" si="38"/>
        <v>-2644774.5699999998</v>
      </c>
      <c r="IF20" s="156">
        <f t="shared" si="38"/>
        <v>-2290482.69</v>
      </c>
      <c r="IG20" s="156">
        <f t="shared" si="38"/>
        <v>-1359283.71</v>
      </c>
      <c r="IH20" s="156">
        <f t="shared" si="38"/>
        <v>-993785.62</v>
      </c>
      <c r="II20" s="156">
        <f t="shared" si="38"/>
        <v>-620439.25</v>
      </c>
      <c r="IJ20" s="156">
        <f t="shared" si="38"/>
        <v>-453755.17</v>
      </c>
      <c r="IK20" s="156">
        <f t="shared" si="38"/>
        <v>-481713.91999999998</v>
      </c>
      <c r="IL20" s="156">
        <f t="shared" si="38"/>
        <v>-673704.38</v>
      </c>
      <c r="IM20" s="156">
        <f t="shared" si="38"/>
        <v>-1377326.25</v>
      </c>
      <c r="IN20" s="156">
        <f t="shared" si="38"/>
        <v>-522619.94</v>
      </c>
      <c r="IO20" s="156">
        <f t="shared" si="38"/>
        <v>-85235.6</v>
      </c>
      <c r="IP20" s="156">
        <f t="shared" si="38"/>
        <v>-86857.19</v>
      </c>
      <c r="IQ20" s="156">
        <f t="shared" si="38"/>
        <v>-71994.570000000007</v>
      </c>
      <c r="IR20" s="156">
        <f t="shared" si="38"/>
        <v>-60597.72</v>
      </c>
      <c r="IS20" s="156">
        <f t="shared" si="38"/>
        <v>-51116.17</v>
      </c>
      <c r="IT20" s="156">
        <f t="shared" si="38"/>
        <v>-32470.27</v>
      </c>
      <c r="IU20" s="156">
        <f t="shared" si="38"/>
        <v>-16461.09</v>
      </c>
      <c r="IV20" s="156">
        <f t="shared" si="38"/>
        <v>-534.04</v>
      </c>
      <c r="IW20" s="156">
        <f t="shared" si="38"/>
        <v>2602.62</v>
      </c>
      <c r="IX20" s="156">
        <f t="shared" si="38"/>
        <v>701.17</v>
      </c>
      <c r="IY20" s="156">
        <f t="shared" ref="IY20:JJ20" si="39">ROUND(SUM(IY16:IY19),2)</f>
        <v>-1951.54</v>
      </c>
      <c r="IZ20" s="156">
        <f t="shared" si="39"/>
        <v>11656891.789999999</v>
      </c>
      <c r="JA20" s="156">
        <f t="shared" si="39"/>
        <v>-2142255.1800000002</v>
      </c>
      <c r="JB20" s="156">
        <f t="shared" si="39"/>
        <v>-1873022.29</v>
      </c>
      <c r="JC20" s="156">
        <f t="shared" si="39"/>
        <v>-1847059.22</v>
      </c>
      <c r="JD20" s="156">
        <f t="shared" si="39"/>
        <v>-1692585.8</v>
      </c>
      <c r="JE20" s="156">
        <f t="shared" si="39"/>
        <v>-1323644.17</v>
      </c>
      <c r="JF20" s="156">
        <f t="shared" si="39"/>
        <v>-528665.68999999994</v>
      </c>
      <c r="JG20" s="156">
        <f t="shared" si="39"/>
        <v>-446524.31</v>
      </c>
      <c r="JH20" s="156">
        <f t="shared" si="39"/>
        <v>-310040.74</v>
      </c>
      <c r="JI20" s="156">
        <f t="shared" si="39"/>
        <v>-322461.63</v>
      </c>
      <c r="JJ20" s="156">
        <f t="shared" si="39"/>
        <v>-450771.26</v>
      </c>
      <c r="JK20" s="156">
        <f t="shared" si="38"/>
        <v>-889637.12</v>
      </c>
      <c r="JL20" s="156">
        <f t="shared" si="38"/>
        <v>-126375149.79000001</v>
      </c>
      <c r="JM20" s="156">
        <f t="shared" si="38"/>
        <v>17982337.199999999</v>
      </c>
      <c r="JN20" s="156">
        <f t="shared" si="38"/>
        <v>22843890.98</v>
      </c>
      <c r="JO20" s="156">
        <f t="shared" ref="JO20:JU20" si="40">ROUND(SUM(JO16:JO19),2)</f>
        <v>17613070</v>
      </c>
      <c r="JP20" s="156">
        <f t="shared" si="40"/>
        <v>16841725.75</v>
      </c>
      <c r="JQ20" s="156">
        <f t="shared" si="40"/>
        <v>12796621.98</v>
      </c>
      <c r="JR20" s="156">
        <f t="shared" si="40"/>
        <v>8767706.3699999992</v>
      </c>
      <c r="JS20" s="156">
        <f t="shared" si="40"/>
        <v>6101486.29</v>
      </c>
      <c r="JT20" s="156">
        <f t="shared" si="40"/>
        <v>4429972.99</v>
      </c>
      <c r="JU20" s="156">
        <f t="shared" si="40"/>
        <v>3834116.13</v>
      </c>
      <c r="JV20" s="638"/>
      <c r="JW20" s="626"/>
      <c r="JX20" s="626"/>
      <c r="JY20" s="626"/>
      <c r="JZ20" s="626"/>
      <c r="KA20" s="626"/>
      <c r="KB20" s="626"/>
      <c r="KC20" s="626"/>
      <c r="KD20" s="626"/>
      <c r="KE20" s="626"/>
      <c r="KF20" s="626"/>
      <c r="KG20" s="626"/>
      <c r="KH20" s="626"/>
      <c r="KI20" s="639"/>
    </row>
    <row r="21" spans="1:295" x14ac:dyDescent="0.2">
      <c r="B21" s="24" t="s">
        <v>109</v>
      </c>
      <c r="D21" s="50">
        <f t="shared" ref="D21:BO21" si="41">+D15+D20</f>
        <v>0</v>
      </c>
      <c r="E21" s="50">
        <f t="shared" si="41"/>
        <v>0</v>
      </c>
      <c r="F21" s="50">
        <f t="shared" si="41"/>
        <v>0</v>
      </c>
      <c r="G21" s="50">
        <f t="shared" si="41"/>
        <v>0</v>
      </c>
      <c r="H21" s="50">
        <f t="shared" si="41"/>
        <v>0</v>
      </c>
      <c r="I21" s="50">
        <f t="shared" si="41"/>
        <v>0</v>
      </c>
      <c r="J21" s="50">
        <f t="shared" si="41"/>
        <v>0</v>
      </c>
      <c r="K21" s="50">
        <f t="shared" si="41"/>
        <v>0</v>
      </c>
      <c r="L21" s="50">
        <f t="shared" si="41"/>
        <v>0</v>
      </c>
      <c r="M21" s="50">
        <f t="shared" si="41"/>
        <v>0</v>
      </c>
      <c r="N21" s="50">
        <f t="shared" si="41"/>
        <v>0</v>
      </c>
      <c r="O21" s="50">
        <f t="shared" si="41"/>
        <v>0</v>
      </c>
      <c r="P21" s="50">
        <f t="shared" si="41"/>
        <v>0</v>
      </c>
      <c r="Q21" s="50">
        <f t="shared" si="41"/>
        <v>0</v>
      </c>
      <c r="R21" s="50">
        <f t="shared" si="41"/>
        <v>0</v>
      </c>
      <c r="S21" s="50">
        <f t="shared" si="41"/>
        <v>0</v>
      </c>
      <c r="T21" s="50">
        <f t="shared" si="41"/>
        <v>0</v>
      </c>
      <c r="U21" s="50">
        <f t="shared" si="41"/>
        <v>0</v>
      </c>
      <c r="V21" s="50">
        <f t="shared" si="41"/>
        <v>0</v>
      </c>
      <c r="W21" s="50">
        <f t="shared" si="41"/>
        <v>0</v>
      </c>
      <c r="X21" s="50">
        <f t="shared" si="41"/>
        <v>0</v>
      </c>
      <c r="Y21" s="50">
        <f t="shared" si="41"/>
        <v>0</v>
      </c>
      <c r="Z21" s="50">
        <f t="shared" si="41"/>
        <v>0</v>
      </c>
      <c r="AA21" s="50">
        <f t="shared" si="41"/>
        <v>0</v>
      </c>
      <c r="AB21" s="50">
        <f t="shared" si="41"/>
        <v>0</v>
      </c>
      <c r="AC21" s="50">
        <f t="shared" si="41"/>
        <v>0</v>
      </c>
      <c r="AD21" s="50">
        <f t="shared" si="41"/>
        <v>0</v>
      </c>
      <c r="AE21" s="50">
        <f t="shared" si="41"/>
        <v>-13917373.388154622</v>
      </c>
      <c r="AF21" s="50">
        <f t="shared" si="41"/>
        <v>-11900349.74</v>
      </c>
      <c r="AG21" s="50">
        <f t="shared" si="41"/>
        <v>-9701246.2400000002</v>
      </c>
      <c r="AH21" s="50">
        <f t="shared" si="41"/>
        <v>-7379747.9199999999</v>
      </c>
      <c r="AI21" s="50">
        <f t="shared" si="41"/>
        <v>-5498944.75</v>
      </c>
      <c r="AJ21" s="50">
        <f t="shared" si="41"/>
        <v>-3919497.08</v>
      </c>
      <c r="AK21" s="50">
        <f t="shared" si="41"/>
        <v>-2994508.02</v>
      </c>
      <c r="AL21" s="50">
        <f t="shared" si="41"/>
        <v>-2252766.73</v>
      </c>
      <c r="AM21" s="50">
        <f t="shared" si="41"/>
        <v>-1712695.28</v>
      </c>
      <c r="AN21" s="50">
        <f t="shared" si="41"/>
        <v>-1264501.17</v>
      </c>
      <c r="AO21" s="50">
        <f t="shared" si="41"/>
        <v>-762145.55999999982</v>
      </c>
      <c r="AP21" s="50">
        <f t="shared" si="41"/>
        <v>-131056.25000000012</v>
      </c>
      <c r="AQ21" s="50">
        <f t="shared" si="41"/>
        <v>3670147.3229453173</v>
      </c>
      <c r="AR21" s="50">
        <f t="shared" si="41"/>
        <v>3247024.5</v>
      </c>
      <c r="AS21" s="50">
        <f t="shared" si="41"/>
        <v>2720497.82</v>
      </c>
      <c r="AT21" s="50">
        <f t="shared" si="41"/>
        <v>2139650.8899999997</v>
      </c>
      <c r="AU21" s="50">
        <f t="shared" si="41"/>
        <v>1692715.9100000001</v>
      </c>
      <c r="AV21" s="50">
        <f t="shared" si="41"/>
        <v>1346148.21</v>
      </c>
      <c r="AW21" s="50">
        <f t="shared" si="41"/>
        <v>1037100.4</v>
      </c>
      <c r="AX21" s="50">
        <f t="shared" si="41"/>
        <v>863920.46</v>
      </c>
      <c r="AY21" s="50">
        <f t="shared" si="41"/>
        <v>713488.53999999992</v>
      </c>
      <c r="AZ21" s="127">
        <f t="shared" si="41"/>
        <v>593981.96000000008</v>
      </c>
      <c r="BA21" s="127">
        <f t="shared" si="41"/>
        <v>466039.15999999992</v>
      </c>
      <c r="BB21" s="127">
        <f t="shared" si="41"/>
        <v>308438.06999999995</v>
      </c>
      <c r="BC21" s="127">
        <f t="shared" si="41"/>
        <v>22014015.849999998</v>
      </c>
      <c r="BD21" s="127">
        <f t="shared" si="41"/>
        <v>19127886.109999999</v>
      </c>
      <c r="BE21" s="127">
        <f t="shared" si="41"/>
        <v>15704256.42</v>
      </c>
      <c r="BF21" s="127">
        <f t="shared" si="41"/>
        <v>12618091.02</v>
      </c>
      <c r="BG21" s="127">
        <f t="shared" si="41"/>
        <v>9445082.9499999993</v>
      </c>
      <c r="BH21" s="127">
        <f t="shared" si="41"/>
        <v>6706255.9999999991</v>
      </c>
      <c r="BI21" s="127">
        <f t="shared" si="41"/>
        <v>4803629.63</v>
      </c>
      <c r="BJ21" s="127">
        <f t="shared" si="41"/>
        <v>3554604.5</v>
      </c>
      <c r="BK21" s="127">
        <f t="shared" si="41"/>
        <v>2722505.39</v>
      </c>
      <c r="BL21" s="127">
        <f t="shared" si="41"/>
        <v>2030503.52</v>
      </c>
      <c r="BM21" s="127">
        <f t="shared" si="41"/>
        <v>1302452.04</v>
      </c>
      <c r="BN21" s="127">
        <f t="shared" si="41"/>
        <v>415863.67000000004</v>
      </c>
      <c r="BO21" s="127">
        <f t="shared" si="41"/>
        <v>57669236.470000006</v>
      </c>
      <c r="BP21" s="127">
        <f t="shared" ref="BP21:CU21" si="42">+BP15+BP20</f>
        <v>54285336.350000001</v>
      </c>
      <c r="BQ21" s="127">
        <f t="shared" si="42"/>
        <v>50102151.609999999</v>
      </c>
      <c r="BR21" s="127">
        <f t="shared" si="42"/>
        <v>45248884.360000007</v>
      </c>
      <c r="BS21" s="127">
        <f t="shared" si="42"/>
        <v>41793480.939999998</v>
      </c>
      <c r="BT21" s="127">
        <f t="shared" si="42"/>
        <v>38755109.349999994</v>
      </c>
      <c r="BU21" s="127">
        <f t="shared" si="42"/>
        <v>36492563.990000002</v>
      </c>
      <c r="BV21" s="127">
        <f t="shared" si="42"/>
        <v>34988017.410000004</v>
      </c>
      <c r="BW21" s="127">
        <f t="shared" si="42"/>
        <v>33961079.019999996</v>
      </c>
      <c r="BX21" s="127">
        <f t="shared" si="42"/>
        <v>33254031.180000003</v>
      </c>
      <c r="BY21" s="127">
        <f t="shared" si="42"/>
        <v>32479589.379999999</v>
      </c>
      <c r="BZ21" s="127">
        <f t="shared" si="42"/>
        <v>31382517.949999999</v>
      </c>
      <c r="CA21" s="127">
        <f t="shared" si="42"/>
        <v>-68336026.429999992</v>
      </c>
      <c r="CB21" s="127">
        <f t="shared" si="42"/>
        <v>-60474249.920000009</v>
      </c>
      <c r="CC21" s="127">
        <f t="shared" si="42"/>
        <v>-49646398.670000002</v>
      </c>
      <c r="CD21" s="127">
        <f t="shared" si="42"/>
        <v>-37670198.310000002</v>
      </c>
      <c r="CE21" s="127">
        <f t="shared" si="42"/>
        <v>-28602921.080000002</v>
      </c>
      <c r="CF21" s="127">
        <f t="shared" si="42"/>
        <v>-19278287.099999998</v>
      </c>
      <c r="CG21" s="127">
        <f t="shared" si="42"/>
        <v>-11863760.960000001</v>
      </c>
      <c r="CH21" s="127">
        <f t="shared" si="42"/>
        <v>-7535510.6600000011</v>
      </c>
      <c r="CI21" s="157">
        <f t="shared" si="42"/>
        <v>-3858423.68</v>
      </c>
      <c r="CJ21" s="127">
        <f t="shared" si="42"/>
        <v>-1511392.0700000003</v>
      </c>
      <c r="CK21" s="127">
        <f t="shared" si="42"/>
        <v>1339597.5999999999</v>
      </c>
      <c r="CL21" s="127">
        <f t="shared" si="42"/>
        <v>4165841.37</v>
      </c>
      <c r="CM21" s="127">
        <f t="shared" si="42"/>
        <v>-22271414.309999999</v>
      </c>
      <c r="CN21" s="127">
        <f t="shared" si="42"/>
        <v>-20059401</v>
      </c>
      <c r="CO21" s="127">
        <f t="shared" si="42"/>
        <v>-16063776.470000001</v>
      </c>
      <c r="CP21" s="127">
        <f t="shared" si="42"/>
        <v>-12228257.75</v>
      </c>
      <c r="CQ21" s="127">
        <f t="shared" si="42"/>
        <v>-9126128.6699999999</v>
      </c>
      <c r="CR21" s="127">
        <f t="shared" si="42"/>
        <v>-5899896.6200000001</v>
      </c>
      <c r="CS21" s="127">
        <f t="shared" si="42"/>
        <v>-3851318.22</v>
      </c>
      <c r="CT21" s="127">
        <f t="shared" si="42"/>
        <v>-2513360.83</v>
      </c>
      <c r="CU21" s="127">
        <f t="shared" si="42"/>
        <v>-1736238.67</v>
      </c>
      <c r="CV21" s="127">
        <v>-1059952.3899999999</v>
      </c>
      <c r="CW21" s="127">
        <f t="shared" ref="CW21:FH21" si="43">+CW15+CW20</f>
        <v>-194546.37999999989</v>
      </c>
      <c r="CX21" s="127">
        <f t="shared" si="43"/>
        <v>635594.30999999994</v>
      </c>
      <c r="CY21" s="127">
        <f t="shared" si="43"/>
        <v>-66586398.019999996</v>
      </c>
      <c r="CZ21" s="127">
        <f t="shared" si="43"/>
        <v>-59055671.210000001</v>
      </c>
      <c r="DA21" s="127">
        <f t="shared" si="43"/>
        <v>-47004051.659999996</v>
      </c>
      <c r="DB21" s="127">
        <f t="shared" si="43"/>
        <v>-38712135.869999997</v>
      </c>
      <c r="DC21" s="127">
        <f t="shared" si="43"/>
        <v>-31499096.869999997</v>
      </c>
      <c r="DD21" s="127">
        <f t="shared" si="43"/>
        <v>-24080094.580000002</v>
      </c>
      <c r="DE21" s="127">
        <f t="shared" si="43"/>
        <v>-18019326.859999999</v>
      </c>
      <c r="DF21" s="127">
        <f t="shared" si="43"/>
        <v>-13360256.189999999</v>
      </c>
      <c r="DG21" s="127">
        <f t="shared" si="43"/>
        <v>-12548477.58</v>
      </c>
      <c r="DH21" s="127">
        <f t="shared" si="43"/>
        <v>-10189996.6</v>
      </c>
      <c r="DI21" s="127">
        <f t="shared" si="43"/>
        <v>-7579609.9299999997</v>
      </c>
      <c r="DJ21" s="127">
        <f t="shared" si="43"/>
        <v>-4978564.1999999993</v>
      </c>
      <c r="DK21" s="127">
        <f t="shared" si="43"/>
        <v>-89718.070000000298</v>
      </c>
      <c r="DL21" s="139">
        <f t="shared" si="43"/>
        <v>-28827357.240000002</v>
      </c>
      <c r="DM21" s="139">
        <f t="shared" si="43"/>
        <v>-24461992.309999999</v>
      </c>
      <c r="DN21" s="139">
        <f t="shared" si="43"/>
        <v>-19903775.460000001</v>
      </c>
      <c r="DO21" s="139">
        <f t="shared" si="43"/>
        <v>-15451747.600000001</v>
      </c>
      <c r="DP21" s="139">
        <f t="shared" si="43"/>
        <v>-11645965.35</v>
      </c>
      <c r="DQ21" s="139">
        <f t="shared" si="43"/>
        <v>-8195968.0299999993</v>
      </c>
      <c r="DR21" s="139">
        <f t="shared" si="43"/>
        <v>-6091845.4400000004</v>
      </c>
      <c r="DS21" s="139">
        <f t="shared" si="43"/>
        <v>-4727770.7600000007</v>
      </c>
      <c r="DT21" s="139">
        <f t="shared" si="43"/>
        <v>-3671830.92</v>
      </c>
      <c r="DU21" s="139">
        <f t="shared" si="43"/>
        <v>-2329072.2400000002</v>
      </c>
      <c r="DV21" s="139">
        <f t="shared" si="43"/>
        <v>-1272360.9500000002</v>
      </c>
      <c r="DW21" s="139">
        <f t="shared" si="43"/>
        <v>1029659.2500000002</v>
      </c>
      <c r="DX21" s="139">
        <f t="shared" si="43"/>
        <v>-19117397.16</v>
      </c>
      <c r="DY21" s="139">
        <f t="shared" si="43"/>
        <v>-15798772.800000001</v>
      </c>
      <c r="DZ21" s="139">
        <f t="shared" si="43"/>
        <v>-12350646.25</v>
      </c>
      <c r="EA21" s="139">
        <f t="shared" si="43"/>
        <v>-9576038.6799999997</v>
      </c>
      <c r="EB21" s="139">
        <f t="shared" si="43"/>
        <v>-6428358</v>
      </c>
      <c r="EC21" s="139">
        <f t="shared" si="43"/>
        <v>-4738859.66</v>
      </c>
      <c r="ED21" s="139">
        <f t="shared" si="43"/>
        <v>-3482441.97</v>
      </c>
      <c r="EE21" s="139">
        <f t="shared" si="43"/>
        <v>-2511246.8600000003</v>
      </c>
      <c r="EF21" s="139">
        <f t="shared" si="43"/>
        <v>-1770561.0599999998</v>
      </c>
      <c r="EG21" s="139">
        <f t="shared" si="43"/>
        <v>-1106852.4500000002</v>
      </c>
      <c r="EH21" s="139">
        <f t="shared" si="43"/>
        <v>-341045.78999999992</v>
      </c>
      <c r="EI21" s="139">
        <f t="shared" si="43"/>
        <v>1210619.46</v>
      </c>
      <c r="EJ21" s="139">
        <f t="shared" si="43"/>
        <v>-30952322.300000001</v>
      </c>
      <c r="EK21" s="139">
        <f t="shared" si="43"/>
        <v>-26070361.359999999</v>
      </c>
      <c r="EL21" s="139">
        <f t="shared" si="43"/>
        <v>-20361820.030000001</v>
      </c>
      <c r="EM21" s="139">
        <f t="shared" si="43"/>
        <v>-16290271.23</v>
      </c>
      <c r="EN21" s="139">
        <f t="shared" si="43"/>
        <v>-12593565.310000001</v>
      </c>
      <c r="EO21" s="139">
        <f t="shared" si="43"/>
        <v>-9887841.2699999996</v>
      </c>
      <c r="EP21" s="139">
        <f t="shared" si="43"/>
        <v>-8084190.1299999999</v>
      </c>
      <c r="EQ21" s="139">
        <f t="shared" si="43"/>
        <v>-6946874.6299999999</v>
      </c>
      <c r="ER21" s="139">
        <f t="shared" si="43"/>
        <v>-5912217.5800000001</v>
      </c>
      <c r="ES21" s="139">
        <f t="shared" si="43"/>
        <v>-5032591.66</v>
      </c>
      <c r="ET21" s="139">
        <f t="shared" si="43"/>
        <v>-3717025.97</v>
      </c>
      <c r="EU21" s="139">
        <f t="shared" si="43"/>
        <v>-917159.86000000034</v>
      </c>
      <c r="EV21" s="139">
        <f t="shared" si="43"/>
        <v>-9649150.75</v>
      </c>
      <c r="EW21" s="139">
        <f t="shared" si="43"/>
        <v>-7837821.2699999996</v>
      </c>
      <c r="EX21" s="139">
        <f t="shared" si="43"/>
        <v>-6261873.75</v>
      </c>
      <c r="EY21" s="139">
        <f t="shared" si="43"/>
        <v>-4676687.1500000004</v>
      </c>
      <c r="EZ21" s="139">
        <f t="shared" si="43"/>
        <v>-3474362.1900000004</v>
      </c>
      <c r="FA21" s="139">
        <f t="shared" si="43"/>
        <v>-2651687.33</v>
      </c>
      <c r="FB21" s="139">
        <f t="shared" si="43"/>
        <v>-2118710.5499999998</v>
      </c>
      <c r="FC21" s="139">
        <f t="shared" si="43"/>
        <v>-1727920.2999999998</v>
      </c>
      <c r="FD21" s="139">
        <f t="shared" si="43"/>
        <v>-1408528.29</v>
      </c>
      <c r="FE21" s="139">
        <f t="shared" si="43"/>
        <v>-1092737.01</v>
      </c>
      <c r="FF21" s="139">
        <f t="shared" si="43"/>
        <v>-741244.67999999993</v>
      </c>
      <c r="FG21" s="139">
        <f t="shared" si="43"/>
        <v>-174283.41000000003</v>
      </c>
      <c r="FH21" s="139">
        <f t="shared" si="43"/>
        <v>27108461.460000001</v>
      </c>
      <c r="FI21" s="139">
        <f t="shared" ref="FI21:HT21" si="44">+FI15+FI20</f>
        <v>23459709.170000002</v>
      </c>
      <c r="FJ21" s="139">
        <f t="shared" si="44"/>
        <v>19982562.670000002</v>
      </c>
      <c r="FK21" s="139">
        <f t="shared" si="44"/>
        <v>17316191.450000003</v>
      </c>
      <c r="FL21" s="139">
        <f t="shared" si="44"/>
        <v>14727861.379999999</v>
      </c>
      <c r="FM21" s="139">
        <f t="shared" si="44"/>
        <v>12523927.75</v>
      </c>
      <c r="FN21" s="139">
        <f t="shared" si="44"/>
        <v>11203994.52</v>
      </c>
      <c r="FO21" s="139">
        <f t="shared" si="44"/>
        <v>10330750.469999999</v>
      </c>
      <c r="FP21" s="139">
        <f t="shared" si="44"/>
        <v>9606195.3800000008</v>
      </c>
      <c r="FQ21" s="139">
        <f t="shared" si="44"/>
        <v>8842469</v>
      </c>
      <c r="FR21" s="139">
        <f t="shared" si="44"/>
        <v>7795804.6799999997</v>
      </c>
      <c r="FS21" s="139">
        <f t="shared" si="44"/>
        <v>6280465.0899999999</v>
      </c>
      <c r="FT21" s="139">
        <f t="shared" si="44"/>
        <v>-38373492.859999999</v>
      </c>
      <c r="FU21" s="139">
        <f t="shared" si="44"/>
        <v>-32511530.629999999</v>
      </c>
      <c r="FV21" s="139">
        <f t="shared" si="44"/>
        <v>-26941550.859999999</v>
      </c>
      <c r="FW21" s="139">
        <f t="shared" si="44"/>
        <v>-22636969.669999998</v>
      </c>
      <c r="FX21" s="139">
        <f t="shared" si="44"/>
        <v>-18451832.790000003</v>
      </c>
      <c r="FY21" s="139">
        <f t="shared" si="44"/>
        <v>-16152699.619999999</v>
      </c>
      <c r="FZ21" s="139">
        <f t="shared" si="44"/>
        <v>-14367480.489999998</v>
      </c>
      <c r="GA21" s="139">
        <f t="shared" si="44"/>
        <v>-12972705.98</v>
      </c>
      <c r="GB21" s="139">
        <f t="shared" si="44"/>
        <v>-11644787.530000001</v>
      </c>
      <c r="GC21" s="139">
        <f t="shared" si="44"/>
        <v>-10547809.779999999</v>
      </c>
      <c r="GD21" s="139">
        <f t="shared" si="44"/>
        <v>-9100784.6600000001</v>
      </c>
      <c r="GE21" s="139">
        <f t="shared" si="44"/>
        <v>-6546459.6400000006</v>
      </c>
      <c r="GF21" s="139">
        <f t="shared" si="44"/>
        <v>-32040817.41</v>
      </c>
      <c r="GG21" s="139">
        <f t="shared" si="44"/>
        <v>-26684345.039999999</v>
      </c>
      <c r="GH21" s="139">
        <f t="shared" si="44"/>
        <v>-20809235.189999998</v>
      </c>
      <c r="GI21" s="139">
        <f t="shared" si="44"/>
        <v>-16163623.590000002</v>
      </c>
      <c r="GJ21" s="139">
        <f t="shared" si="44"/>
        <v>-12047585.050000001</v>
      </c>
      <c r="GK21" s="139">
        <f t="shared" si="44"/>
        <v>-9133037.1799999997</v>
      </c>
      <c r="GL21" s="139">
        <f t="shared" si="44"/>
        <v>-7193661.3099999996</v>
      </c>
      <c r="GM21" s="139">
        <f t="shared" si="44"/>
        <v>-5960719.8699999992</v>
      </c>
      <c r="GN21" s="139">
        <f t="shared" si="44"/>
        <v>-4942293.47</v>
      </c>
      <c r="GO21" s="139">
        <f t="shared" si="44"/>
        <v>-4029352.2699999996</v>
      </c>
      <c r="GP21" s="139">
        <f t="shared" si="44"/>
        <v>-2876614.27</v>
      </c>
      <c r="GQ21" s="139">
        <f t="shared" si="44"/>
        <v>-361177.02</v>
      </c>
      <c r="GR21" s="139">
        <f t="shared" si="44"/>
        <v>-13685705.619999999</v>
      </c>
      <c r="GS21" s="139">
        <f t="shared" si="44"/>
        <v>-11390293.1</v>
      </c>
      <c r="GT21" s="139">
        <f t="shared" si="44"/>
        <v>-9348139.959999999</v>
      </c>
      <c r="GU21" s="139">
        <f t="shared" si="44"/>
        <v>-7289177.6300000008</v>
      </c>
      <c r="GV21" s="139">
        <f t="shared" si="44"/>
        <v>-5427031.8399999999</v>
      </c>
      <c r="GW21" s="139">
        <f t="shared" si="44"/>
        <v>-4160378.1399999997</v>
      </c>
      <c r="GX21" s="139">
        <f t="shared" si="44"/>
        <v>-3494790.3600000003</v>
      </c>
      <c r="GY21" s="139">
        <f t="shared" si="44"/>
        <v>-2843705.57</v>
      </c>
      <c r="GZ21" s="139">
        <f t="shared" si="44"/>
        <v>-2450841.19</v>
      </c>
      <c r="HA21" s="139">
        <f t="shared" si="44"/>
        <v>-1966768.26</v>
      </c>
      <c r="HB21" s="139">
        <f t="shared" si="44"/>
        <v>-1425655.79</v>
      </c>
      <c r="HC21" s="139">
        <f t="shared" si="44"/>
        <v>-307347.51</v>
      </c>
      <c r="HD21" s="139">
        <f t="shared" si="44"/>
        <v>-49675920.669999994</v>
      </c>
      <c r="HE21" s="139">
        <f t="shared" si="44"/>
        <v>-42461207.020000003</v>
      </c>
      <c r="HF21" s="139">
        <f t="shared" si="44"/>
        <v>-35513214.470000006</v>
      </c>
      <c r="HG21" s="139">
        <f t="shared" si="44"/>
        <v>-27251734.68</v>
      </c>
      <c r="HH21" s="139">
        <f t="shared" si="44"/>
        <v>-21048481.949999999</v>
      </c>
      <c r="HI21" s="139">
        <f t="shared" si="44"/>
        <v>-17090845.309999999</v>
      </c>
      <c r="HJ21" s="139">
        <f t="shared" si="44"/>
        <v>-14555660.479999999</v>
      </c>
      <c r="HK21" s="139">
        <f t="shared" si="44"/>
        <v>-12741404.620000001</v>
      </c>
      <c r="HL21" s="139">
        <f t="shared" si="44"/>
        <v>-11221656.379999999</v>
      </c>
      <c r="HM21" s="139">
        <f t="shared" si="44"/>
        <v>-9746644.2600000016</v>
      </c>
      <c r="HN21" s="139">
        <f t="shared" si="44"/>
        <v>-7815492.4900000002</v>
      </c>
      <c r="HO21" s="139">
        <f t="shared" si="44"/>
        <v>-3246578.1000000006</v>
      </c>
      <c r="HP21" s="139">
        <f t="shared" si="44"/>
        <v>-12501150.359999999</v>
      </c>
      <c r="HQ21" s="139">
        <f t="shared" si="44"/>
        <v>-10477362.25</v>
      </c>
      <c r="HR21" s="139">
        <f t="shared" si="44"/>
        <v>-8411728.7300000004</v>
      </c>
      <c r="HS21" s="139">
        <f t="shared" si="44"/>
        <v>-6500556.1000000006</v>
      </c>
      <c r="HT21" s="139">
        <f t="shared" si="44"/>
        <v>-4676521.9399999995</v>
      </c>
      <c r="HU21" s="139">
        <f t="shared" ref="HU21:JU21" si="45">+HU15+HU20</f>
        <v>-3575427.0400000005</v>
      </c>
      <c r="HV21" s="139">
        <f t="shared" si="45"/>
        <v>1910901.9400000004</v>
      </c>
      <c r="HW21" s="139">
        <f t="shared" si="45"/>
        <v>2567995.27</v>
      </c>
      <c r="HX21" s="139">
        <f t="shared" si="45"/>
        <v>3024556.8</v>
      </c>
      <c r="HY21" s="139">
        <f t="shared" si="45"/>
        <v>3457034.3899999997</v>
      </c>
      <c r="HZ21" s="139">
        <f t="shared" si="45"/>
        <v>3970137.3600000003</v>
      </c>
      <c r="IA21" s="139">
        <f t="shared" si="45"/>
        <v>4938972.3099999996</v>
      </c>
      <c r="IB21" s="139">
        <f t="shared" si="45"/>
        <v>16895428.129999999</v>
      </c>
      <c r="IC21" s="139">
        <f t="shared" si="45"/>
        <v>14455322.289999999</v>
      </c>
      <c r="ID21" s="139">
        <f t="shared" si="45"/>
        <v>11973232.6</v>
      </c>
      <c r="IE21" s="139">
        <f t="shared" si="45"/>
        <v>9328458.0299999993</v>
      </c>
      <c r="IF21" s="139">
        <f t="shared" si="45"/>
        <v>7037975.3399999999</v>
      </c>
      <c r="IG21" s="139">
        <f t="shared" si="45"/>
        <v>5678691.6299999999</v>
      </c>
      <c r="IH21" s="139">
        <f t="shared" si="45"/>
        <v>4684906.01</v>
      </c>
      <c r="II21" s="139">
        <f t="shared" si="45"/>
        <v>4064466.76</v>
      </c>
      <c r="IJ21" s="139">
        <f t="shared" si="45"/>
        <v>3610711.59</v>
      </c>
      <c r="IK21" s="139">
        <f t="shared" si="45"/>
        <v>3128997.67</v>
      </c>
      <c r="IL21" s="139">
        <f t="shared" si="45"/>
        <v>2455293.29</v>
      </c>
      <c r="IM21" s="139">
        <f t="shared" si="45"/>
        <v>1077967.04</v>
      </c>
      <c r="IN21" s="139">
        <f t="shared" si="45"/>
        <v>555347.10000000009</v>
      </c>
      <c r="IO21" s="139">
        <f t="shared" si="45"/>
        <v>470111.5</v>
      </c>
      <c r="IP21" s="139">
        <f t="shared" si="45"/>
        <v>383254.31</v>
      </c>
      <c r="IQ21" s="139">
        <f t="shared" si="45"/>
        <v>311259.74</v>
      </c>
      <c r="IR21" s="139">
        <f t="shared" si="45"/>
        <v>250662.02</v>
      </c>
      <c r="IS21" s="139">
        <f t="shared" si="45"/>
        <v>199545.84999999998</v>
      </c>
      <c r="IT21" s="139">
        <f t="shared" si="45"/>
        <v>167075.58000000002</v>
      </c>
      <c r="IU21" s="139">
        <f t="shared" si="45"/>
        <v>150614.49</v>
      </c>
      <c r="IV21" s="139">
        <f t="shared" si="45"/>
        <v>150080.44999999998</v>
      </c>
      <c r="IW21" s="139">
        <f t="shared" si="45"/>
        <v>152683.07</v>
      </c>
      <c r="IX21" s="139">
        <f t="shared" si="45"/>
        <v>153384.24000000002</v>
      </c>
      <c r="IY21" s="139">
        <f t="shared" ref="IY21:JJ21" si="46">+IY15+IY20</f>
        <v>151432.69999999998</v>
      </c>
      <c r="IZ21" s="139">
        <f t="shared" si="46"/>
        <v>11808324.489999998</v>
      </c>
      <c r="JA21" s="139">
        <f t="shared" si="46"/>
        <v>9666069.3100000005</v>
      </c>
      <c r="JB21" s="139">
        <f t="shared" si="46"/>
        <v>7793047.0200000005</v>
      </c>
      <c r="JC21" s="139">
        <f t="shared" si="46"/>
        <v>5945987.7999999998</v>
      </c>
      <c r="JD21" s="139">
        <f t="shared" si="46"/>
        <v>4253402</v>
      </c>
      <c r="JE21" s="139">
        <f t="shared" si="46"/>
        <v>2929757.83</v>
      </c>
      <c r="JF21" s="139">
        <f t="shared" si="46"/>
        <v>2401092.14</v>
      </c>
      <c r="JG21" s="139">
        <f t="shared" si="46"/>
        <v>1954567.83</v>
      </c>
      <c r="JH21" s="139">
        <f t="shared" si="46"/>
        <v>1644527.09</v>
      </c>
      <c r="JI21" s="139">
        <f t="shared" si="46"/>
        <v>1322065.46</v>
      </c>
      <c r="JJ21" s="139">
        <f t="shared" si="46"/>
        <v>871294.2</v>
      </c>
      <c r="JK21" s="139">
        <f t="shared" si="45"/>
        <v>-18342.920000000042</v>
      </c>
      <c r="JL21" s="139">
        <f t="shared" si="45"/>
        <v>-126393492.71000001</v>
      </c>
      <c r="JM21" s="139">
        <f t="shared" si="45"/>
        <v>-108411155.50999999</v>
      </c>
      <c r="JN21" s="139">
        <f t="shared" si="45"/>
        <v>-85567264.530000001</v>
      </c>
      <c r="JO21" s="139">
        <f t="shared" si="45"/>
        <v>-67954194.530000001</v>
      </c>
      <c r="JP21" s="139">
        <f t="shared" si="45"/>
        <v>-51112468.780000001</v>
      </c>
      <c r="JQ21" s="139">
        <f t="shared" si="45"/>
        <v>-38315846.799999997</v>
      </c>
      <c r="JR21" s="139">
        <f t="shared" si="45"/>
        <v>-29548140.43</v>
      </c>
      <c r="JS21" s="139">
        <f t="shared" si="45"/>
        <v>-23446654.140000001</v>
      </c>
      <c r="JT21" s="139">
        <f t="shared" si="45"/>
        <v>-19016681.149999999</v>
      </c>
      <c r="JU21" s="139">
        <f t="shared" si="45"/>
        <v>-15182565.02</v>
      </c>
      <c r="JV21" s="632"/>
      <c r="JW21" s="414"/>
      <c r="JX21" s="414"/>
      <c r="JY21" s="414"/>
      <c r="JZ21" s="414"/>
      <c r="KA21" s="414"/>
      <c r="KB21" s="414"/>
      <c r="KC21" s="414"/>
      <c r="KD21" s="414"/>
      <c r="KE21" s="414"/>
      <c r="KF21" s="414"/>
      <c r="KG21" s="414"/>
      <c r="KH21" s="414"/>
      <c r="KI21" s="633"/>
    </row>
    <row r="22" spans="1:295" x14ac:dyDescent="0.2">
      <c r="C22" s="163" t="s">
        <v>115</v>
      </c>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c r="IW22" s="139"/>
      <c r="IX22" s="139"/>
      <c r="IY22" s="139"/>
      <c r="IZ22" s="139"/>
      <c r="JA22" s="139"/>
      <c r="JB22" s="139"/>
      <c r="JC22" s="139"/>
      <c r="JD22" s="139"/>
      <c r="JE22" s="139"/>
      <c r="JF22" s="139"/>
      <c r="JG22" s="139"/>
      <c r="JH22" s="139"/>
      <c r="JI22" s="139"/>
      <c r="JJ22" s="139"/>
      <c r="JK22" s="139"/>
      <c r="JL22" s="139"/>
      <c r="JM22" s="139"/>
      <c r="JN22" s="139"/>
      <c r="JO22" s="139"/>
      <c r="JP22" s="139"/>
      <c r="JQ22" s="139"/>
      <c r="JR22" s="139"/>
      <c r="JS22" s="139"/>
      <c r="JT22" s="139"/>
      <c r="JU22" s="139"/>
      <c r="JV22" s="632"/>
      <c r="JW22" s="414"/>
      <c r="JX22" s="414"/>
      <c r="JY22" s="414"/>
      <c r="JZ22" s="414"/>
      <c r="KA22" s="414"/>
      <c r="KB22" s="414"/>
      <c r="KC22" s="414"/>
      <c r="KD22" s="414"/>
      <c r="KE22" s="414"/>
      <c r="KF22" s="414"/>
      <c r="KG22" s="414"/>
      <c r="KH22" s="414"/>
      <c r="KI22" s="633"/>
    </row>
    <row r="23" spans="1:295" s="73" customFormat="1" x14ac:dyDescent="0.2">
      <c r="A23" s="23" t="s">
        <v>111</v>
      </c>
      <c r="C23" s="163">
        <v>19100172</v>
      </c>
      <c r="D23" s="49"/>
      <c r="F23" s="164"/>
      <c r="G23" s="149"/>
      <c r="BR23" s="50"/>
      <c r="CM23" s="24"/>
      <c r="CO23" s="50"/>
      <c r="CW23" s="165"/>
      <c r="CX23" s="165"/>
      <c r="CY23" s="165"/>
      <c r="CZ23" s="165"/>
      <c r="DA23" s="165"/>
      <c r="DB23" s="165"/>
      <c r="DC23" s="165"/>
      <c r="DD23" s="165"/>
      <c r="DE23" s="165"/>
      <c r="DF23" s="165"/>
      <c r="DG23" s="121"/>
      <c r="DH23" s="121"/>
      <c r="DI23" s="121"/>
      <c r="DJ23" s="121"/>
      <c r="DK23" s="121"/>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c r="IW23" s="139"/>
      <c r="IX23" s="139"/>
      <c r="IY23" s="139"/>
      <c r="IZ23" s="139"/>
      <c r="JA23" s="139"/>
      <c r="JB23" s="139"/>
      <c r="JC23" s="139"/>
      <c r="JD23" s="139"/>
      <c r="JE23" s="139"/>
      <c r="JF23" s="139"/>
      <c r="JG23" s="139"/>
      <c r="JH23" s="139"/>
      <c r="JI23" s="139"/>
      <c r="JJ23" s="139"/>
      <c r="JK23" s="139"/>
      <c r="JL23" s="139"/>
      <c r="JM23" s="139"/>
      <c r="JN23" s="139"/>
      <c r="JO23" s="139"/>
      <c r="JP23" s="139"/>
      <c r="JQ23" s="139"/>
      <c r="JR23" s="139"/>
      <c r="JS23" s="139"/>
      <c r="JT23" s="139"/>
      <c r="JU23" s="139"/>
      <c r="JV23" s="632"/>
      <c r="JW23" s="414"/>
      <c r="JX23" s="414"/>
      <c r="JY23" s="414"/>
      <c r="JZ23" s="414"/>
      <c r="KA23" s="414"/>
      <c r="KB23" s="414"/>
      <c r="KC23" s="414"/>
      <c r="KD23" s="414"/>
      <c r="KE23" s="414"/>
      <c r="KF23" s="414"/>
      <c r="KG23" s="414"/>
      <c r="KH23" s="414"/>
      <c r="KI23" s="633"/>
    </row>
    <row r="24" spans="1:295" s="73" customFormat="1" x14ac:dyDescent="0.2">
      <c r="B24" s="73" t="s">
        <v>104</v>
      </c>
      <c r="C24" s="163">
        <v>19100192</v>
      </c>
      <c r="D24" s="49">
        <v>0</v>
      </c>
      <c r="E24" s="139">
        <f t="shared" ref="E24:BP24" si="47">D32</f>
        <v>-20585607.530000001</v>
      </c>
      <c r="F24" s="139">
        <f t="shared" si="47"/>
        <v>0</v>
      </c>
      <c r="G24" s="139">
        <f t="shared" si="47"/>
        <v>0</v>
      </c>
      <c r="H24" s="139">
        <f t="shared" si="47"/>
        <v>0</v>
      </c>
      <c r="I24" s="139">
        <f t="shared" si="47"/>
        <v>0</v>
      </c>
      <c r="J24" s="139">
        <f t="shared" si="47"/>
        <v>0</v>
      </c>
      <c r="K24" s="139">
        <f t="shared" si="47"/>
        <v>0</v>
      </c>
      <c r="L24" s="139">
        <f t="shared" si="47"/>
        <v>0</v>
      </c>
      <c r="M24" s="139">
        <f t="shared" si="47"/>
        <v>0</v>
      </c>
      <c r="N24" s="139">
        <f t="shared" si="47"/>
        <v>0</v>
      </c>
      <c r="O24" s="139">
        <f t="shared" si="47"/>
        <v>0</v>
      </c>
      <c r="P24" s="139">
        <f t="shared" si="47"/>
        <v>0</v>
      </c>
      <c r="Q24" s="139">
        <f t="shared" si="47"/>
        <v>0</v>
      </c>
      <c r="R24" s="139">
        <f t="shared" si="47"/>
        <v>0</v>
      </c>
      <c r="S24" s="139">
        <f t="shared" si="47"/>
        <v>0</v>
      </c>
      <c r="T24" s="139">
        <f t="shared" si="47"/>
        <v>0</v>
      </c>
      <c r="U24" s="139">
        <f t="shared" si="47"/>
        <v>0</v>
      </c>
      <c r="V24" s="139">
        <f t="shared" si="47"/>
        <v>0</v>
      </c>
      <c r="W24" s="139">
        <f t="shared" si="47"/>
        <v>0</v>
      </c>
      <c r="X24" s="139">
        <f t="shared" si="47"/>
        <v>0</v>
      </c>
      <c r="Y24" s="139">
        <f t="shared" si="47"/>
        <v>0</v>
      </c>
      <c r="Z24" s="139">
        <f t="shared" si="47"/>
        <v>0</v>
      </c>
      <c r="AA24" s="139">
        <f t="shared" si="47"/>
        <v>0</v>
      </c>
      <c r="AB24" s="139">
        <f t="shared" si="47"/>
        <v>0</v>
      </c>
      <c r="AC24" s="139">
        <f t="shared" si="47"/>
        <v>0</v>
      </c>
      <c r="AD24" s="139">
        <f t="shared" si="47"/>
        <v>0</v>
      </c>
      <c r="AE24" s="139">
        <f t="shared" si="47"/>
        <v>0</v>
      </c>
      <c r="AF24" s="139">
        <f t="shared" si="47"/>
        <v>0</v>
      </c>
      <c r="AG24" s="139">
        <f t="shared" si="47"/>
        <v>0</v>
      </c>
      <c r="AH24" s="139">
        <f t="shared" si="47"/>
        <v>0</v>
      </c>
      <c r="AI24" s="139">
        <f t="shared" si="47"/>
        <v>0</v>
      </c>
      <c r="AJ24" s="139">
        <f t="shared" si="47"/>
        <v>0</v>
      </c>
      <c r="AK24" s="139">
        <f t="shared" si="47"/>
        <v>0</v>
      </c>
      <c r="AL24" s="139">
        <f t="shared" si="47"/>
        <v>0</v>
      </c>
      <c r="AM24" s="139">
        <f t="shared" si="47"/>
        <v>0</v>
      </c>
      <c r="AN24" s="139">
        <f t="shared" si="47"/>
        <v>0</v>
      </c>
      <c r="AO24" s="139">
        <f t="shared" si="47"/>
        <v>0</v>
      </c>
      <c r="AP24" s="139">
        <f t="shared" si="47"/>
        <v>0</v>
      </c>
      <c r="AQ24" s="139">
        <f t="shared" si="47"/>
        <v>0</v>
      </c>
      <c r="AR24" s="139">
        <f t="shared" si="47"/>
        <v>0</v>
      </c>
      <c r="AS24" s="139">
        <f t="shared" si="47"/>
        <v>0</v>
      </c>
      <c r="AT24" s="139">
        <f t="shared" si="47"/>
        <v>0</v>
      </c>
      <c r="AU24" s="139">
        <f t="shared" si="47"/>
        <v>0</v>
      </c>
      <c r="AV24" s="139">
        <f t="shared" si="47"/>
        <v>0</v>
      </c>
      <c r="AW24" s="139">
        <f t="shared" si="47"/>
        <v>0</v>
      </c>
      <c r="AX24" s="139">
        <f t="shared" si="47"/>
        <v>0</v>
      </c>
      <c r="AY24" s="139">
        <f t="shared" si="47"/>
        <v>0</v>
      </c>
      <c r="AZ24" s="139">
        <f t="shared" si="47"/>
        <v>0</v>
      </c>
      <c r="BA24" s="139">
        <f t="shared" si="47"/>
        <v>0</v>
      </c>
      <c r="BB24" s="139">
        <f t="shared" si="47"/>
        <v>0</v>
      </c>
      <c r="BC24" s="139">
        <f t="shared" si="47"/>
        <v>0</v>
      </c>
      <c r="BD24" s="139">
        <f t="shared" si="47"/>
        <v>0</v>
      </c>
      <c r="BE24" s="139">
        <f t="shared" si="47"/>
        <v>0</v>
      </c>
      <c r="BF24" s="139">
        <f t="shared" si="47"/>
        <v>0</v>
      </c>
      <c r="BG24" s="139">
        <f t="shared" si="47"/>
        <v>0</v>
      </c>
      <c r="BH24" s="139">
        <f t="shared" si="47"/>
        <v>0</v>
      </c>
      <c r="BI24" s="139">
        <f t="shared" si="47"/>
        <v>0</v>
      </c>
      <c r="BJ24" s="139">
        <f t="shared" si="47"/>
        <v>0</v>
      </c>
      <c r="BK24" s="139">
        <f t="shared" si="47"/>
        <v>0</v>
      </c>
      <c r="BL24" s="139">
        <f t="shared" si="47"/>
        <v>0</v>
      </c>
      <c r="BM24" s="139">
        <f t="shared" si="47"/>
        <v>0</v>
      </c>
      <c r="BN24" s="139">
        <f t="shared" si="47"/>
        <v>0</v>
      </c>
      <c r="BO24" s="139">
        <f t="shared" si="47"/>
        <v>0</v>
      </c>
      <c r="BP24" s="139">
        <f t="shared" si="47"/>
        <v>0</v>
      </c>
      <c r="BQ24" s="139">
        <f t="shared" ref="BQ24" si="48">BP32</f>
        <v>0</v>
      </c>
      <c r="BR24" s="127">
        <f>ROUND(BQ32,2)</f>
        <v>0</v>
      </c>
      <c r="BS24" s="139">
        <f t="shared" ref="BS24:ED24" si="49">ROUND(BR32,2)</f>
        <v>0</v>
      </c>
      <c r="BT24" s="139">
        <f t="shared" si="49"/>
        <v>0</v>
      </c>
      <c r="BU24" s="139">
        <f t="shared" si="49"/>
        <v>0</v>
      </c>
      <c r="BV24" s="139">
        <f t="shared" si="49"/>
        <v>0</v>
      </c>
      <c r="BW24" s="139">
        <f t="shared" si="49"/>
        <v>0</v>
      </c>
      <c r="BX24" s="139">
        <f t="shared" si="49"/>
        <v>0</v>
      </c>
      <c r="BY24" s="139">
        <f t="shared" si="49"/>
        <v>0</v>
      </c>
      <c r="BZ24" s="139">
        <f t="shared" si="49"/>
        <v>0</v>
      </c>
      <c r="CA24" s="139">
        <f t="shared" si="49"/>
        <v>0</v>
      </c>
      <c r="CB24" s="139">
        <f t="shared" si="49"/>
        <v>0</v>
      </c>
      <c r="CC24" s="139">
        <f t="shared" si="49"/>
        <v>0</v>
      </c>
      <c r="CD24" s="139">
        <f t="shared" si="49"/>
        <v>0</v>
      </c>
      <c r="CE24" s="139">
        <f t="shared" si="49"/>
        <v>0</v>
      </c>
      <c r="CF24" s="139">
        <f t="shared" si="49"/>
        <v>0</v>
      </c>
      <c r="CG24" s="139">
        <f t="shared" si="49"/>
        <v>0</v>
      </c>
      <c r="CH24" s="139">
        <f t="shared" si="49"/>
        <v>0</v>
      </c>
      <c r="CI24" s="139">
        <f t="shared" si="49"/>
        <v>0</v>
      </c>
      <c r="CJ24" s="139">
        <f t="shared" si="49"/>
        <v>0</v>
      </c>
      <c r="CK24" s="139">
        <f t="shared" si="49"/>
        <v>0</v>
      </c>
      <c r="CL24" s="139">
        <f t="shared" si="49"/>
        <v>0</v>
      </c>
      <c r="CM24" s="139">
        <f t="shared" si="49"/>
        <v>0</v>
      </c>
      <c r="CN24" s="139">
        <f t="shared" si="49"/>
        <v>0</v>
      </c>
      <c r="CO24" s="127">
        <f t="shared" si="49"/>
        <v>0</v>
      </c>
      <c r="CP24" s="139">
        <f t="shared" si="49"/>
        <v>0</v>
      </c>
      <c r="CQ24" s="139">
        <f t="shared" si="49"/>
        <v>0</v>
      </c>
      <c r="CR24" s="139">
        <f t="shared" si="49"/>
        <v>0</v>
      </c>
      <c r="CS24" s="139">
        <f t="shared" si="49"/>
        <v>0</v>
      </c>
      <c r="CT24" s="139">
        <f t="shared" si="49"/>
        <v>0</v>
      </c>
      <c r="CU24" s="139">
        <f t="shared" si="49"/>
        <v>0</v>
      </c>
      <c r="CV24" s="139">
        <f t="shared" si="49"/>
        <v>-20701303.469999999</v>
      </c>
      <c r="CW24" s="139">
        <f t="shared" si="49"/>
        <v>-20192865.699999999</v>
      </c>
      <c r="CX24" s="139">
        <f t="shared" si="49"/>
        <v>-19528681.640000001</v>
      </c>
      <c r="CY24" s="139">
        <f t="shared" si="49"/>
        <v>-18893205.93</v>
      </c>
      <c r="CZ24" s="139">
        <f t="shared" si="49"/>
        <v>-17456473.41</v>
      </c>
      <c r="DA24" s="139">
        <f t="shared" si="49"/>
        <v>-15336384.050000001</v>
      </c>
      <c r="DB24" s="139">
        <f t="shared" si="49"/>
        <v>-11944227.4</v>
      </c>
      <c r="DC24" s="139">
        <f t="shared" si="49"/>
        <v>-9610510.7300000004</v>
      </c>
      <c r="DD24" s="139">
        <f t="shared" si="49"/>
        <v>-7580661.9900000002</v>
      </c>
      <c r="DE24" s="139">
        <f t="shared" si="49"/>
        <v>-5492441.4900000002</v>
      </c>
      <c r="DF24" s="139">
        <f t="shared" si="49"/>
        <v>-3786536.89</v>
      </c>
      <c r="DG24" s="139">
        <f t="shared" si="49"/>
        <v>-2473987.4500000002</v>
      </c>
      <c r="DH24" s="139">
        <f t="shared" si="49"/>
        <v>0</v>
      </c>
      <c r="DI24" s="139">
        <f t="shared" si="49"/>
        <v>0</v>
      </c>
      <c r="DJ24" s="139">
        <f t="shared" si="49"/>
        <v>0</v>
      </c>
      <c r="DK24" s="139">
        <f t="shared" si="49"/>
        <v>0</v>
      </c>
      <c r="DL24" s="139">
        <f t="shared" si="49"/>
        <v>0</v>
      </c>
      <c r="DM24" s="139">
        <f t="shared" si="49"/>
        <v>0</v>
      </c>
      <c r="DN24" s="139">
        <f t="shared" si="49"/>
        <v>0</v>
      </c>
      <c r="DO24" s="139">
        <f t="shared" si="49"/>
        <v>0</v>
      </c>
      <c r="DP24" s="139">
        <f t="shared" si="49"/>
        <v>0</v>
      </c>
      <c r="DQ24" s="139">
        <f t="shared" si="49"/>
        <v>0</v>
      </c>
      <c r="DR24" s="139">
        <f t="shared" si="49"/>
        <v>0</v>
      </c>
      <c r="DS24" s="139">
        <f t="shared" si="49"/>
        <v>0</v>
      </c>
      <c r="DT24" s="139">
        <f t="shared" si="49"/>
        <v>0</v>
      </c>
      <c r="DU24" s="139">
        <f t="shared" si="49"/>
        <v>0</v>
      </c>
      <c r="DV24" s="139">
        <f t="shared" si="49"/>
        <v>0</v>
      </c>
      <c r="DW24" s="139">
        <f t="shared" si="49"/>
        <v>0</v>
      </c>
      <c r="DX24" s="139">
        <f t="shared" si="49"/>
        <v>0</v>
      </c>
      <c r="DY24" s="139">
        <f t="shared" si="49"/>
        <v>0</v>
      </c>
      <c r="DZ24" s="139">
        <f t="shared" si="49"/>
        <v>0</v>
      </c>
      <c r="EA24" s="139">
        <f t="shared" si="49"/>
        <v>0</v>
      </c>
      <c r="EB24" s="139">
        <f t="shared" si="49"/>
        <v>0</v>
      </c>
      <c r="EC24" s="139">
        <f t="shared" si="49"/>
        <v>0</v>
      </c>
      <c r="ED24" s="139">
        <f t="shared" si="49"/>
        <v>0</v>
      </c>
      <c r="EE24" s="139">
        <f t="shared" ref="EE24:GP24" si="50">ROUND(ED32,2)</f>
        <v>0</v>
      </c>
      <c r="EF24" s="139">
        <f t="shared" si="50"/>
        <v>0</v>
      </c>
      <c r="EG24" s="139">
        <f t="shared" si="50"/>
        <v>0</v>
      </c>
      <c r="EH24" s="139">
        <f t="shared" si="50"/>
        <v>0</v>
      </c>
      <c r="EI24" s="139">
        <f t="shared" si="50"/>
        <v>0</v>
      </c>
      <c r="EJ24" s="139">
        <f t="shared" si="50"/>
        <v>0</v>
      </c>
      <c r="EK24" s="139">
        <f t="shared" si="50"/>
        <v>0</v>
      </c>
      <c r="EL24" s="139">
        <f t="shared" si="50"/>
        <v>0</v>
      </c>
      <c r="EM24" s="139">
        <f t="shared" si="50"/>
        <v>0</v>
      </c>
      <c r="EN24" s="139">
        <f t="shared" si="50"/>
        <v>0</v>
      </c>
      <c r="EO24" s="139">
        <f t="shared" si="50"/>
        <v>0</v>
      </c>
      <c r="EP24" s="139">
        <f t="shared" si="50"/>
        <v>0</v>
      </c>
      <c r="EQ24" s="139">
        <f t="shared" si="50"/>
        <v>0</v>
      </c>
      <c r="ER24" s="139">
        <f t="shared" si="50"/>
        <v>0</v>
      </c>
      <c r="ES24" s="139">
        <f t="shared" si="50"/>
        <v>0</v>
      </c>
      <c r="ET24" s="139">
        <f t="shared" si="50"/>
        <v>0</v>
      </c>
      <c r="EU24" s="139">
        <f t="shared" si="50"/>
        <v>0</v>
      </c>
      <c r="EV24" s="139">
        <f t="shared" si="50"/>
        <v>0</v>
      </c>
      <c r="EW24" s="139">
        <f t="shared" si="50"/>
        <v>0</v>
      </c>
      <c r="EX24" s="139">
        <f t="shared" si="50"/>
        <v>0</v>
      </c>
      <c r="EY24" s="139">
        <f t="shared" si="50"/>
        <v>0</v>
      </c>
      <c r="EZ24" s="139">
        <f t="shared" si="50"/>
        <v>0</v>
      </c>
      <c r="FA24" s="139">
        <f t="shared" si="50"/>
        <v>0</v>
      </c>
      <c r="FB24" s="139">
        <f t="shared" si="50"/>
        <v>0</v>
      </c>
      <c r="FC24" s="139">
        <f t="shared" si="50"/>
        <v>0</v>
      </c>
      <c r="FD24" s="139">
        <f t="shared" si="50"/>
        <v>0</v>
      </c>
      <c r="FE24" s="139">
        <f t="shared" si="50"/>
        <v>0</v>
      </c>
      <c r="FF24" s="139">
        <f t="shared" si="50"/>
        <v>0</v>
      </c>
      <c r="FG24" s="139">
        <f t="shared" si="50"/>
        <v>0</v>
      </c>
      <c r="FH24" s="139">
        <f t="shared" si="50"/>
        <v>0</v>
      </c>
      <c r="FI24" s="139">
        <f t="shared" si="50"/>
        <v>0</v>
      </c>
      <c r="FJ24" s="139">
        <f t="shared" si="50"/>
        <v>0</v>
      </c>
      <c r="FK24" s="139">
        <f t="shared" si="50"/>
        <v>0</v>
      </c>
      <c r="FL24" s="139">
        <f t="shared" si="50"/>
        <v>0</v>
      </c>
      <c r="FM24" s="139">
        <f t="shared" si="50"/>
        <v>0</v>
      </c>
      <c r="FN24" s="139">
        <f t="shared" si="50"/>
        <v>0</v>
      </c>
      <c r="FO24" s="139">
        <f t="shared" si="50"/>
        <v>0</v>
      </c>
      <c r="FP24" s="139">
        <f t="shared" si="50"/>
        <v>0</v>
      </c>
      <c r="FQ24" s="139">
        <f t="shared" si="50"/>
        <v>0</v>
      </c>
      <c r="FR24" s="139">
        <f t="shared" si="50"/>
        <v>0</v>
      </c>
      <c r="FS24" s="139">
        <f t="shared" si="50"/>
        <v>0</v>
      </c>
      <c r="FT24" s="139">
        <f t="shared" si="50"/>
        <v>0</v>
      </c>
      <c r="FU24" s="139">
        <f t="shared" si="50"/>
        <v>0</v>
      </c>
      <c r="FV24" s="139">
        <f t="shared" si="50"/>
        <v>0</v>
      </c>
      <c r="FW24" s="139">
        <f t="shared" si="50"/>
        <v>0</v>
      </c>
      <c r="FX24" s="139">
        <f t="shared" si="50"/>
        <v>0</v>
      </c>
      <c r="FY24" s="139">
        <f t="shared" si="50"/>
        <v>0</v>
      </c>
      <c r="FZ24" s="139">
        <f t="shared" si="50"/>
        <v>0</v>
      </c>
      <c r="GA24" s="139">
        <f t="shared" si="50"/>
        <v>0</v>
      </c>
      <c r="GB24" s="139">
        <f t="shared" si="50"/>
        <v>0</v>
      </c>
      <c r="GC24" s="139">
        <f t="shared" si="50"/>
        <v>0</v>
      </c>
      <c r="GD24" s="139">
        <f t="shared" si="50"/>
        <v>0</v>
      </c>
      <c r="GE24" s="139">
        <f t="shared" si="50"/>
        <v>0</v>
      </c>
      <c r="GF24" s="139">
        <f t="shared" si="50"/>
        <v>0</v>
      </c>
      <c r="GG24" s="139">
        <f t="shared" si="50"/>
        <v>0</v>
      </c>
      <c r="GH24" s="139">
        <f t="shared" si="50"/>
        <v>0</v>
      </c>
      <c r="GI24" s="139">
        <f t="shared" si="50"/>
        <v>0</v>
      </c>
      <c r="GJ24" s="139">
        <f t="shared" si="50"/>
        <v>0</v>
      </c>
      <c r="GK24" s="139">
        <f t="shared" si="50"/>
        <v>0</v>
      </c>
      <c r="GL24" s="139">
        <f t="shared" si="50"/>
        <v>0</v>
      </c>
      <c r="GM24" s="139">
        <f t="shared" si="50"/>
        <v>0</v>
      </c>
      <c r="GN24" s="139">
        <f t="shared" si="50"/>
        <v>0</v>
      </c>
      <c r="GO24" s="139">
        <f t="shared" si="50"/>
        <v>0</v>
      </c>
      <c r="GP24" s="139">
        <f t="shared" si="50"/>
        <v>0</v>
      </c>
      <c r="GQ24" s="139">
        <f t="shared" ref="GQ24:JN24" si="51">ROUND(GP32,2)</f>
        <v>0</v>
      </c>
      <c r="GR24" s="139">
        <f t="shared" si="51"/>
        <v>0</v>
      </c>
      <c r="GS24" s="139">
        <f t="shared" si="51"/>
        <v>0</v>
      </c>
      <c r="GT24" s="139">
        <f t="shared" si="51"/>
        <v>0</v>
      </c>
      <c r="GU24" s="139">
        <f t="shared" si="51"/>
        <v>0</v>
      </c>
      <c r="GV24" s="139">
        <f t="shared" si="51"/>
        <v>0</v>
      </c>
      <c r="GW24" s="139">
        <f t="shared" si="51"/>
        <v>0</v>
      </c>
      <c r="GX24" s="139">
        <f t="shared" si="51"/>
        <v>0</v>
      </c>
      <c r="GY24" s="139">
        <f t="shared" si="51"/>
        <v>0</v>
      </c>
      <c r="GZ24" s="139">
        <f t="shared" si="51"/>
        <v>0</v>
      </c>
      <c r="HA24" s="139">
        <f t="shared" si="51"/>
        <v>0</v>
      </c>
      <c r="HB24" s="139">
        <f t="shared" si="51"/>
        <v>0</v>
      </c>
      <c r="HC24" s="139">
        <f t="shared" si="51"/>
        <v>0</v>
      </c>
      <c r="HD24" s="139">
        <f t="shared" si="51"/>
        <v>0</v>
      </c>
      <c r="HE24" s="139">
        <f t="shared" si="51"/>
        <v>0</v>
      </c>
      <c r="HF24" s="139">
        <f t="shared" si="51"/>
        <v>0</v>
      </c>
      <c r="HG24" s="139">
        <f t="shared" si="51"/>
        <v>0</v>
      </c>
      <c r="HH24" s="139">
        <f t="shared" si="51"/>
        <v>0</v>
      </c>
      <c r="HI24" s="139">
        <f t="shared" si="51"/>
        <v>0</v>
      </c>
      <c r="HJ24" s="139">
        <f t="shared" si="51"/>
        <v>0</v>
      </c>
      <c r="HK24" s="139">
        <f t="shared" si="51"/>
        <v>49363062.649999999</v>
      </c>
      <c r="HL24" s="139">
        <f t="shared" si="51"/>
        <v>47841343.420000002</v>
      </c>
      <c r="HM24" s="139">
        <f t="shared" si="51"/>
        <v>46604707.460000001</v>
      </c>
      <c r="HN24" s="139">
        <f t="shared" si="51"/>
        <v>45411565.649999999</v>
      </c>
      <c r="HO24" s="139">
        <f t="shared" si="51"/>
        <v>43784998.649999999</v>
      </c>
      <c r="HP24" s="139">
        <f t="shared" si="51"/>
        <v>39687031.869999997</v>
      </c>
      <c r="HQ24" s="139">
        <f t="shared" si="51"/>
        <v>34631536.780000001</v>
      </c>
      <c r="HR24" s="139">
        <f t="shared" si="51"/>
        <v>27887430.760000002</v>
      </c>
      <c r="HS24" s="139">
        <f t="shared" si="51"/>
        <v>20999735.09</v>
      </c>
      <c r="HT24" s="139">
        <f t="shared" si="51"/>
        <v>14642688.58</v>
      </c>
      <c r="HU24" s="139">
        <f t="shared" si="51"/>
        <v>8579939.0700000003</v>
      </c>
      <c r="HV24" s="139">
        <f t="shared" si="51"/>
        <v>4941687.16</v>
      </c>
      <c r="HW24" s="139">
        <f t="shared" si="51"/>
        <v>0</v>
      </c>
      <c r="HX24" s="139">
        <f t="shared" si="51"/>
        <v>0</v>
      </c>
      <c r="HY24" s="139">
        <f t="shared" si="51"/>
        <v>0</v>
      </c>
      <c r="HZ24" s="139">
        <f t="shared" si="51"/>
        <v>0</v>
      </c>
      <c r="IA24" s="139">
        <f t="shared" si="51"/>
        <v>0</v>
      </c>
      <c r="IB24" s="139">
        <f t="shared" si="51"/>
        <v>0</v>
      </c>
      <c r="IC24" s="139">
        <f t="shared" si="51"/>
        <v>0</v>
      </c>
      <c r="ID24" s="139">
        <f t="shared" si="51"/>
        <v>0</v>
      </c>
      <c r="IE24" s="139">
        <f t="shared" si="51"/>
        <v>0</v>
      </c>
      <c r="IF24" s="139">
        <f t="shared" si="51"/>
        <v>0</v>
      </c>
      <c r="IG24" s="139">
        <f t="shared" si="51"/>
        <v>0</v>
      </c>
      <c r="IH24" s="139">
        <f t="shared" si="51"/>
        <v>0</v>
      </c>
      <c r="II24" s="139">
        <f t="shared" si="51"/>
        <v>0</v>
      </c>
      <c r="IJ24" s="139">
        <f t="shared" si="51"/>
        <v>0</v>
      </c>
      <c r="IK24" s="139">
        <f t="shared" si="51"/>
        <v>0</v>
      </c>
      <c r="IL24" s="139">
        <f t="shared" si="51"/>
        <v>0</v>
      </c>
      <c r="IM24" s="139">
        <f t="shared" si="51"/>
        <v>0</v>
      </c>
      <c r="IN24" s="139">
        <f t="shared" si="51"/>
        <v>0</v>
      </c>
      <c r="IO24" s="139">
        <f t="shared" si="51"/>
        <v>0</v>
      </c>
      <c r="IP24" s="139">
        <f t="shared" si="51"/>
        <v>0</v>
      </c>
      <c r="IQ24" s="139">
        <f t="shared" si="51"/>
        <v>0</v>
      </c>
      <c r="IR24" s="139">
        <f t="shared" si="51"/>
        <v>0</v>
      </c>
      <c r="IS24" s="139">
        <f t="shared" si="51"/>
        <v>0</v>
      </c>
      <c r="IT24" s="139">
        <f t="shared" si="51"/>
        <v>0</v>
      </c>
      <c r="IU24" s="139">
        <f t="shared" si="51"/>
        <v>0</v>
      </c>
      <c r="IV24" s="139">
        <f t="shared" si="51"/>
        <v>0</v>
      </c>
      <c r="IW24" s="139">
        <f t="shared" si="51"/>
        <v>0</v>
      </c>
      <c r="IX24" s="139">
        <f t="shared" si="51"/>
        <v>0</v>
      </c>
      <c r="IY24" s="139">
        <f t="shared" ref="IY24" si="52">ROUND(IX32,2)</f>
        <v>0</v>
      </c>
      <c r="IZ24" s="139">
        <f t="shared" ref="IZ24" si="53">ROUND(IY32,2)</f>
        <v>0</v>
      </c>
      <c r="JA24" s="139">
        <f t="shared" ref="JA24" si="54">ROUND(IZ32,2)</f>
        <v>0</v>
      </c>
      <c r="JB24" s="139">
        <f t="shared" ref="JB24" si="55">ROUND(JA32,2)</f>
        <v>0</v>
      </c>
      <c r="JC24" s="139">
        <f t="shared" ref="JC24" si="56">ROUND(JB32,2)</f>
        <v>0</v>
      </c>
      <c r="JD24" s="139">
        <f t="shared" ref="JD24" si="57">ROUND(JC32,2)</f>
        <v>0</v>
      </c>
      <c r="JE24" s="139">
        <f t="shared" ref="JE24" si="58">ROUND(JD32,2)</f>
        <v>0</v>
      </c>
      <c r="JF24" s="139">
        <f t="shared" ref="JF24" si="59">ROUND(JE32,2)</f>
        <v>0</v>
      </c>
      <c r="JG24" s="139">
        <f t="shared" ref="JG24" si="60">ROUND(JF32,2)</f>
        <v>0</v>
      </c>
      <c r="JH24" s="139">
        <f t="shared" ref="JH24" si="61">ROUND(JG32,2)</f>
        <v>0</v>
      </c>
      <c r="JI24" s="139">
        <f t="shared" ref="JI24" si="62">ROUND(JH32,2)</f>
        <v>0</v>
      </c>
      <c r="JJ24" s="139">
        <f t="shared" ref="JJ24" si="63">ROUND(JI32,2)</f>
        <v>0</v>
      </c>
      <c r="JK24" s="139">
        <f>ROUND(JJ32,2)</f>
        <v>0</v>
      </c>
      <c r="JL24" s="139">
        <f t="shared" si="51"/>
        <v>0</v>
      </c>
      <c r="JM24" s="139">
        <f t="shared" si="51"/>
        <v>0</v>
      </c>
      <c r="JN24" s="139">
        <f t="shared" si="51"/>
        <v>0</v>
      </c>
      <c r="JO24" s="139">
        <f t="shared" ref="JO24:JU24" si="64">ROUND(JN32,2)</f>
        <v>0</v>
      </c>
      <c r="JP24" s="139">
        <f t="shared" si="64"/>
        <v>0</v>
      </c>
      <c r="JQ24" s="139">
        <f t="shared" si="64"/>
        <v>0</v>
      </c>
      <c r="JR24" s="139">
        <f t="shared" si="64"/>
        <v>0</v>
      </c>
      <c r="JS24" s="139">
        <f t="shared" si="64"/>
        <v>0</v>
      </c>
      <c r="JT24" s="139">
        <f t="shared" si="64"/>
        <v>0</v>
      </c>
      <c r="JU24" s="139">
        <f t="shared" si="64"/>
        <v>0</v>
      </c>
      <c r="JV24" s="632"/>
      <c r="JW24" s="414"/>
      <c r="JX24" s="414"/>
      <c r="JY24" s="414"/>
      <c r="JZ24" s="414"/>
      <c r="KA24" s="414"/>
      <c r="KB24" s="414"/>
      <c r="KC24" s="414"/>
      <c r="KD24" s="414"/>
      <c r="KE24" s="414"/>
      <c r="KF24" s="414"/>
      <c r="KG24" s="414"/>
      <c r="KH24" s="414"/>
      <c r="KI24" s="633"/>
    </row>
    <row r="25" spans="1:295" s="73" customFormat="1" x14ac:dyDescent="0.2">
      <c r="B25" s="73" t="s">
        <v>105</v>
      </c>
      <c r="D25" s="166">
        <v>-20784449</v>
      </c>
      <c r="E25" s="139">
        <f>-E24</f>
        <v>20585607.530000001</v>
      </c>
      <c r="F25" s="164"/>
      <c r="G25" s="149"/>
      <c r="BR25" s="50"/>
      <c r="CM25" s="24"/>
      <c r="CO25" s="50"/>
      <c r="CU25" s="143">
        <v>-21160568</v>
      </c>
      <c r="CW25" s="165"/>
      <c r="CX25" s="165"/>
      <c r="CY25" s="165"/>
      <c r="CZ25" s="165"/>
      <c r="DA25" s="165"/>
      <c r="DB25" s="165"/>
      <c r="DC25" s="165"/>
      <c r="DD25" s="165"/>
      <c r="DE25" s="165"/>
      <c r="DF25" s="167"/>
      <c r="DG25" s="143">
        <v>2270966.9500000002</v>
      </c>
      <c r="DH25" s="147"/>
      <c r="DI25" s="147"/>
      <c r="DJ25" s="147"/>
      <c r="DK25" s="147"/>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5">
        <v>51555672.200000003</v>
      </c>
      <c r="HK25" s="143"/>
      <c r="HL25" s="143"/>
      <c r="HM25" s="143"/>
      <c r="HN25" s="143"/>
      <c r="HO25" s="143"/>
      <c r="HP25" s="143"/>
      <c r="HQ25" s="143"/>
      <c r="HR25" s="143"/>
      <c r="HS25" s="143"/>
      <c r="HT25" s="143"/>
      <c r="HU25" s="143"/>
      <c r="HV25" s="143">
        <v>-4758978.16</v>
      </c>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c r="IV25" s="143"/>
      <c r="IW25" s="143"/>
      <c r="IX25" s="143"/>
      <c r="IY25" s="143"/>
      <c r="IZ25" s="143"/>
      <c r="JA25" s="143"/>
      <c r="JB25" s="143"/>
      <c r="JC25" s="143"/>
      <c r="JD25" s="143"/>
      <c r="JE25" s="143"/>
      <c r="JF25" s="143"/>
      <c r="JG25" s="143"/>
      <c r="JH25" s="143"/>
      <c r="JI25" s="143"/>
      <c r="JJ25" s="143"/>
      <c r="JK25" s="143"/>
      <c r="JL25" s="370"/>
      <c r="JM25" s="143"/>
      <c r="JN25" s="143"/>
      <c r="JO25" s="143"/>
      <c r="JP25" s="143"/>
      <c r="JQ25" s="143"/>
      <c r="JR25" s="139"/>
      <c r="JS25" s="139"/>
      <c r="JT25" s="139"/>
      <c r="JU25" s="139"/>
      <c r="JV25" s="632"/>
      <c r="JW25" s="414"/>
      <c r="JX25" s="414"/>
      <c r="JY25" s="414"/>
      <c r="JZ25" s="414"/>
      <c r="KA25" s="414"/>
      <c r="KB25" s="414"/>
      <c r="KC25" s="414"/>
      <c r="KD25" s="414"/>
      <c r="KE25" s="414"/>
      <c r="KF25" s="414"/>
      <c r="KG25" s="414"/>
      <c r="KH25" s="414"/>
      <c r="KI25" s="633"/>
    </row>
    <row r="26" spans="1:295" s="73" customFormat="1" x14ac:dyDescent="0.2">
      <c r="B26" s="73" t="s">
        <v>112</v>
      </c>
      <c r="D26" s="168">
        <v>0</v>
      </c>
      <c r="F26" s="164"/>
      <c r="G26" s="149"/>
      <c r="BR26" s="50"/>
      <c r="CM26" s="24"/>
      <c r="CO26" s="50"/>
      <c r="CU26" s="143">
        <v>0</v>
      </c>
      <c r="CW26" s="165"/>
      <c r="CX26" s="165"/>
      <c r="CY26" s="165"/>
      <c r="CZ26" s="165"/>
      <c r="DA26" s="165"/>
      <c r="DB26" s="165"/>
      <c r="DC26" s="165"/>
      <c r="DD26" s="165"/>
      <c r="DE26" s="165"/>
      <c r="DF26" s="167"/>
      <c r="DG26" s="139"/>
      <c r="DH26" s="169"/>
      <c r="DI26" s="169"/>
      <c r="DJ26" s="169"/>
      <c r="DK26" s="16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c r="IW26" s="139"/>
      <c r="IX26" s="139"/>
      <c r="IY26" s="139"/>
      <c r="IZ26" s="139"/>
      <c r="JA26" s="139"/>
      <c r="JB26" s="139"/>
      <c r="JC26" s="139"/>
      <c r="JD26" s="139"/>
      <c r="JE26" s="139"/>
      <c r="JF26" s="139"/>
      <c r="JG26" s="139"/>
      <c r="JH26" s="139"/>
      <c r="JI26" s="139"/>
      <c r="JJ26" s="139"/>
      <c r="JK26" s="139"/>
      <c r="JL26" s="139"/>
      <c r="JM26" s="139"/>
      <c r="JN26" s="139"/>
      <c r="JO26" s="139"/>
      <c r="JP26" s="139"/>
      <c r="JQ26" s="139"/>
      <c r="JR26" s="139"/>
      <c r="JS26" s="139"/>
      <c r="JT26" s="139"/>
      <c r="JU26" s="139"/>
      <c r="JV26" s="632"/>
      <c r="JW26" s="414"/>
      <c r="JX26" s="414"/>
      <c r="JY26" s="414"/>
      <c r="JZ26" s="414"/>
      <c r="KA26" s="414"/>
      <c r="KB26" s="414"/>
      <c r="KC26" s="414"/>
      <c r="KD26" s="414"/>
      <c r="KE26" s="414"/>
      <c r="KF26" s="414"/>
      <c r="KG26" s="414"/>
      <c r="KH26" s="414"/>
      <c r="KI26" s="633"/>
    </row>
    <row r="27" spans="1:295" s="73" customFormat="1" x14ac:dyDescent="0.2">
      <c r="B27" s="73" t="s">
        <v>113</v>
      </c>
      <c r="D27" s="168">
        <v>0</v>
      </c>
      <c r="F27" s="164"/>
      <c r="G27" s="149"/>
      <c r="BR27" s="50"/>
      <c r="CM27" s="24"/>
      <c r="CO27" s="50"/>
      <c r="CU27" s="143">
        <v>0</v>
      </c>
      <c r="CW27" s="165"/>
      <c r="CX27" s="165"/>
      <c r="CY27" s="165"/>
      <c r="CZ27" s="165"/>
      <c r="DA27" s="165"/>
      <c r="DB27" s="165"/>
      <c r="DC27" s="165"/>
      <c r="DD27" s="165"/>
      <c r="DE27" s="165"/>
      <c r="DF27" s="167"/>
      <c r="DG27" s="139"/>
      <c r="DH27" s="169"/>
      <c r="DI27" s="169"/>
      <c r="DJ27" s="169"/>
      <c r="DK27" s="16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45"/>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c r="IW27" s="139"/>
      <c r="IX27" s="139"/>
      <c r="IY27" s="139"/>
      <c r="IZ27" s="139"/>
      <c r="JA27" s="139"/>
      <c r="JB27" s="139"/>
      <c r="JC27" s="139"/>
      <c r="JD27" s="139"/>
      <c r="JE27" s="139"/>
      <c r="JF27" s="139"/>
      <c r="JG27" s="139"/>
      <c r="JH27" s="139"/>
      <c r="JI27" s="139"/>
      <c r="JJ27" s="139"/>
      <c r="JK27" s="139"/>
      <c r="JL27" s="370"/>
      <c r="JM27" s="139"/>
      <c r="JN27" s="139"/>
      <c r="JO27" s="139"/>
      <c r="JP27" s="139"/>
      <c r="JQ27" s="139"/>
      <c r="JR27" s="139"/>
      <c r="JS27" s="139"/>
      <c r="JT27" s="139"/>
      <c r="JU27" s="139"/>
      <c r="JV27" s="632"/>
      <c r="JW27" s="414"/>
      <c r="JX27" s="414"/>
      <c r="JY27" s="414"/>
      <c r="JZ27" s="414"/>
      <c r="KA27" s="414"/>
      <c r="KB27" s="414"/>
      <c r="KC27" s="414"/>
      <c r="KD27" s="414"/>
      <c r="KE27" s="414"/>
      <c r="KF27" s="414"/>
      <c r="KG27" s="414"/>
      <c r="KH27" s="414"/>
      <c r="KI27" s="633"/>
    </row>
    <row r="28" spans="1:295" s="73" customFormat="1" x14ac:dyDescent="0.2">
      <c r="B28" s="73" t="s">
        <v>114</v>
      </c>
      <c r="D28" s="168">
        <v>517112.5</v>
      </c>
      <c r="F28" s="164"/>
      <c r="G28" s="149"/>
      <c r="BR28" s="50"/>
      <c r="CM28" s="24"/>
      <c r="CO28" s="50"/>
      <c r="CU28" s="143">
        <v>517112.5</v>
      </c>
      <c r="CV28" s="143">
        <v>564564.78</v>
      </c>
      <c r="CW28" s="143">
        <v>718519.68</v>
      </c>
      <c r="CX28" s="143">
        <v>686214.15</v>
      </c>
      <c r="CY28" s="143">
        <v>1486028.91</v>
      </c>
      <c r="CZ28" s="149">
        <v>2162921.4300000002</v>
      </c>
      <c r="DA28" s="143">
        <v>3428440.71</v>
      </c>
      <c r="DB28" s="150">
        <v>2362151.33</v>
      </c>
      <c r="DC28" s="150">
        <v>2050316.15</v>
      </c>
      <c r="DD28" s="143">
        <v>2104865</v>
      </c>
      <c r="DE28" s="143">
        <v>1717026.78</v>
      </c>
      <c r="DF28" s="147">
        <v>1319832.77</v>
      </c>
      <c r="DG28" s="143">
        <v>208180.1</v>
      </c>
      <c r="DH28" s="147"/>
      <c r="DI28" s="147"/>
      <c r="DJ28" s="147"/>
      <c r="DK28" s="147"/>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v>-2425093</v>
      </c>
      <c r="HK28" s="143">
        <v>-1737646</v>
      </c>
      <c r="HL28" s="143">
        <v>-1454294</v>
      </c>
      <c r="HM28" s="143">
        <v>-1404135</v>
      </c>
      <c r="HN28" s="143">
        <v>-1823491</v>
      </c>
      <c r="HO28" s="143">
        <v>-4283764</v>
      </c>
      <c r="HP28" s="143">
        <v>-5214292</v>
      </c>
      <c r="HQ28" s="143">
        <v>-6879628</v>
      </c>
      <c r="HR28" s="143">
        <v>-6982497</v>
      </c>
      <c r="HS28" s="143">
        <v>-6420218</v>
      </c>
      <c r="HT28" s="143">
        <v>-6103122</v>
      </c>
      <c r="HU28" s="143">
        <v>-3657292</v>
      </c>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c r="IV28" s="143"/>
      <c r="IW28" s="143"/>
      <c r="IX28" s="143"/>
      <c r="IY28" s="143"/>
      <c r="IZ28" s="143"/>
      <c r="JA28" s="143"/>
      <c r="JB28" s="143"/>
      <c r="JC28" s="143"/>
      <c r="JD28" s="143"/>
      <c r="JE28" s="143"/>
      <c r="JF28" s="143"/>
      <c r="JG28" s="143"/>
      <c r="JH28" s="143"/>
      <c r="JI28" s="143"/>
      <c r="JJ28" s="370"/>
      <c r="JK28" s="370"/>
      <c r="JL28" s="370"/>
      <c r="JM28" s="370"/>
      <c r="JN28" s="370"/>
      <c r="JO28" s="370"/>
      <c r="JP28" s="370"/>
      <c r="JQ28" s="370"/>
      <c r="JR28" s="370"/>
      <c r="JS28" s="370"/>
      <c r="JT28" s="370"/>
      <c r="JU28" s="370"/>
      <c r="JV28" s="634"/>
      <c r="JW28" s="413"/>
      <c r="JX28" s="413"/>
      <c r="JY28" s="413"/>
      <c r="JZ28" s="413"/>
      <c r="KA28" s="413"/>
      <c r="KB28" s="413"/>
      <c r="KC28" s="413"/>
      <c r="KD28" s="413"/>
      <c r="KE28" s="413"/>
      <c r="KF28" s="413"/>
      <c r="KG28" s="413"/>
      <c r="KH28" s="413"/>
      <c r="KI28" s="635"/>
    </row>
    <row r="29" spans="1:295" s="73" customFormat="1" x14ac:dyDescent="0.2">
      <c r="B29" s="24" t="s">
        <v>107</v>
      </c>
      <c r="D29" s="168">
        <v>0</v>
      </c>
      <c r="F29" s="164"/>
      <c r="G29" s="149"/>
      <c r="BR29" s="50"/>
      <c r="CM29" s="24"/>
      <c r="CO29" s="50"/>
      <c r="CU29" s="143">
        <v>0</v>
      </c>
      <c r="CV29" s="143">
        <v>0</v>
      </c>
      <c r="CW29" s="165"/>
      <c r="CX29" s="165"/>
      <c r="CY29" s="165"/>
      <c r="CZ29" s="149">
        <v>0</v>
      </c>
      <c r="DA29" s="149">
        <v>0</v>
      </c>
      <c r="DB29" s="150">
        <v>0</v>
      </c>
      <c r="DC29" s="150">
        <v>0</v>
      </c>
      <c r="DD29" s="170">
        <v>0</v>
      </c>
      <c r="DE29" s="170">
        <v>0</v>
      </c>
      <c r="DF29" s="147">
        <v>0</v>
      </c>
      <c r="DG29" s="143"/>
      <c r="DH29" s="147"/>
      <c r="DI29" s="147"/>
      <c r="DJ29" s="147"/>
      <c r="DK29" s="147"/>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c r="IV29" s="143"/>
      <c r="IW29" s="143"/>
      <c r="IX29" s="143"/>
      <c r="IY29" s="143"/>
      <c r="IZ29" s="143"/>
      <c r="JA29" s="143"/>
      <c r="JB29" s="143"/>
      <c r="JC29" s="143"/>
      <c r="JD29" s="143"/>
      <c r="JE29" s="143"/>
      <c r="JF29" s="143"/>
      <c r="JG29" s="143"/>
      <c r="JH29" s="143"/>
      <c r="JI29" s="143"/>
      <c r="JJ29" s="143"/>
      <c r="JK29" s="143"/>
      <c r="JL29" s="143"/>
      <c r="JM29" s="143"/>
      <c r="JN29" s="143"/>
      <c r="JO29" s="143"/>
      <c r="JP29" s="143"/>
      <c r="JQ29" s="143"/>
      <c r="JR29" s="143"/>
      <c r="JS29" s="143"/>
      <c r="JT29" s="143"/>
      <c r="JU29" s="143"/>
      <c r="JV29" s="636"/>
      <c r="JW29" s="415"/>
      <c r="JX29" s="415"/>
      <c r="JY29" s="415"/>
      <c r="JZ29" s="415"/>
      <c r="KA29" s="415"/>
      <c r="KB29" s="415"/>
      <c r="KC29" s="415"/>
      <c r="KD29" s="415"/>
      <c r="KE29" s="415"/>
      <c r="KF29" s="415"/>
      <c r="KG29" s="415"/>
      <c r="KH29" s="415"/>
      <c r="KI29" s="637"/>
    </row>
    <row r="30" spans="1:295" s="73" customFormat="1" x14ac:dyDescent="0.2">
      <c r="B30" s="73" t="s">
        <v>71</v>
      </c>
      <c r="D30" s="168">
        <v>-318271.03000000003</v>
      </c>
      <c r="F30" s="164"/>
      <c r="G30" s="149"/>
      <c r="BR30" s="50"/>
      <c r="CM30" s="24"/>
      <c r="CO30" s="50"/>
      <c r="CU30" s="143">
        <v>-57847.97</v>
      </c>
      <c r="CV30" s="143">
        <v>-56127.01</v>
      </c>
      <c r="CW30" s="171">
        <v>-54335.62</v>
      </c>
      <c r="CX30" s="171">
        <v>-50738.44</v>
      </c>
      <c r="CY30" s="171">
        <v>-49296.39</v>
      </c>
      <c r="CZ30" s="149">
        <v>-42832.07</v>
      </c>
      <c r="DA30" s="171">
        <v>-36284.06</v>
      </c>
      <c r="DB30" s="150">
        <v>-28434.66</v>
      </c>
      <c r="DC30" s="150">
        <v>-20467.41</v>
      </c>
      <c r="DD30" s="171">
        <v>-16644.5</v>
      </c>
      <c r="DE30" s="171">
        <v>-11122.18</v>
      </c>
      <c r="DF30" s="147">
        <v>-7283.33</v>
      </c>
      <c r="DG30" s="143">
        <v>-5159.6000000000004</v>
      </c>
      <c r="DH30" s="147"/>
      <c r="DI30" s="147"/>
      <c r="DJ30" s="147"/>
      <c r="DK30" s="147"/>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v>232483.45</v>
      </c>
      <c r="HK30" s="143">
        <v>215926.77</v>
      </c>
      <c r="HL30" s="143">
        <v>217658.04</v>
      </c>
      <c r="HM30" s="143">
        <v>210993.19</v>
      </c>
      <c r="HN30" s="143">
        <v>196924</v>
      </c>
      <c r="HO30" s="143">
        <v>185797.22</v>
      </c>
      <c r="HP30" s="143">
        <v>158796.91</v>
      </c>
      <c r="HQ30" s="143">
        <v>135521.98000000001</v>
      </c>
      <c r="HR30" s="143">
        <v>94801.33</v>
      </c>
      <c r="HS30" s="143">
        <v>63171.49</v>
      </c>
      <c r="HT30" s="143">
        <v>40372.49</v>
      </c>
      <c r="HU30" s="143">
        <v>19040.09</v>
      </c>
      <c r="HV30" s="143">
        <v>-182709</v>
      </c>
      <c r="HW30" s="143">
        <v>0</v>
      </c>
      <c r="HX30" s="143">
        <v>0</v>
      </c>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c r="IU30" s="143"/>
      <c r="IV30" s="143"/>
      <c r="IW30" s="143"/>
      <c r="IX30" s="143"/>
      <c r="IY30" s="143"/>
      <c r="IZ30" s="143"/>
      <c r="JA30" s="143"/>
      <c r="JB30" s="143"/>
      <c r="JC30" s="143"/>
      <c r="JD30" s="143"/>
      <c r="JE30" s="143"/>
      <c r="JF30" s="143"/>
      <c r="JG30" s="143"/>
      <c r="JH30" s="143"/>
      <c r="JI30" s="143"/>
      <c r="JJ30" s="370"/>
      <c r="JK30" s="370"/>
      <c r="JL30" s="370"/>
      <c r="JM30" s="370"/>
      <c r="JN30" s="370"/>
      <c r="JO30" s="370"/>
      <c r="JP30" s="370"/>
      <c r="JQ30" s="370"/>
      <c r="JR30" s="370"/>
      <c r="JS30" s="370"/>
      <c r="JT30" s="370"/>
      <c r="JU30" s="370"/>
      <c r="JV30" s="634"/>
      <c r="JW30" s="413"/>
      <c r="JX30" s="413"/>
      <c r="JY30" s="413"/>
      <c r="JZ30" s="413"/>
      <c r="KA30" s="413"/>
      <c r="KB30" s="413"/>
      <c r="KC30" s="413"/>
      <c r="KD30" s="413"/>
      <c r="KE30" s="413"/>
      <c r="KF30" s="413"/>
      <c r="KG30" s="413"/>
      <c r="KH30" s="413"/>
      <c r="KI30" s="635"/>
    </row>
    <row r="31" spans="1:295" s="73" customFormat="1" x14ac:dyDescent="0.2">
      <c r="B31" s="73" t="s">
        <v>108</v>
      </c>
      <c r="D31" s="154">
        <f>SUM(D25:D30)</f>
        <v>-20585607.530000001</v>
      </c>
      <c r="E31" s="154">
        <f t="shared" ref="E31:BP31" si="65">SUM(E25:E30)</f>
        <v>20585607.530000001</v>
      </c>
      <c r="F31" s="154">
        <f t="shared" si="65"/>
        <v>0</v>
      </c>
      <c r="G31" s="154">
        <f t="shared" si="65"/>
        <v>0</v>
      </c>
      <c r="H31" s="154">
        <f t="shared" si="65"/>
        <v>0</v>
      </c>
      <c r="I31" s="154">
        <f t="shared" si="65"/>
        <v>0</v>
      </c>
      <c r="J31" s="154">
        <f t="shared" si="65"/>
        <v>0</v>
      </c>
      <c r="K31" s="154">
        <f t="shared" si="65"/>
        <v>0</v>
      </c>
      <c r="L31" s="154">
        <f t="shared" si="65"/>
        <v>0</v>
      </c>
      <c r="M31" s="154">
        <f t="shared" si="65"/>
        <v>0</v>
      </c>
      <c r="N31" s="154">
        <f t="shared" si="65"/>
        <v>0</v>
      </c>
      <c r="O31" s="154">
        <f t="shared" si="65"/>
        <v>0</v>
      </c>
      <c r="P31" s="154">
        <f t="shared" si="65"/>
        <v>0</v>
      </c>
      <c r="Q31" s="154">
        <f t="shared" si="65"/>
        <v>0</v>
      </c>
      <c r="R31" s="154">
        <f t="shared" si="65"/>
        <v>0</v>
      </c>
      <c r="S31" s="154">
        <f t="shared" si="65"/>
        <v>0</v>
      </c>
      <c r="T31" s="154">
        <f t="shared" si="65"/>
        <v>0</v>
      </c>
      <c r="U31" s="154">
        <f t="shared" si="65"/>
        <v>0</v>
      </c>
      <c r="V31" s="154">
        <f t="shared" si="65"/>
        <v>0</v>
      </c>
      <c r="W31" s="154">
        <f t="shared" si="65"/>
        <v>0</v>
      </c>
      <c r="X31" s="154">
        <f t="shared" si="65"/>
        <v>0</v>
      </c>
      <c r="Y31" s="154">
        <f t="shared" si="65"/>
        <v>0</v>
      </c>
      <c r="Z31" s="154">
        <f t="shared" si="65"/>
        <v>0</v>
      </c>
      <c r="AA31" s="154">
        <f t="shared" si="65"/>
        <v>0</v>
      </c>
      <c r="AB31" s="154">
        <f t="shared" si="65"/>
        <v>0</v>
      </c>
      <c r="AC31" s="154">
        <f t="shared" si="65"/>
        <v>0</v>
      </c>
      <c r="AD31" s="154">
        <f t="shared" si="65"/>
        <v>0</v>
      </c>
      <c r="AE31" s="154">
        <f t="shared" si="65"/>
        <v>0</v>
      </c>
      <c r="AF31" s="154">
        <f t="shared" si="65"/>
        <v>0</v>
      </c>
      <c r="AG31" s="154">
        <f t="shared" si="65"/>
        <v>0</v>
      </c>
      <c r="AH31" s="154">
        <f t="shared" si="65"/>
        <v>0</v>
      </c>
      <c r="AI31" s="154">
        <f t="shared" si="65"/>
        <v>0</v>
      </c>
      <c r="AJ31" s="154">
        <f t="shared" si="65"/>
        <v>0</v>
      </c>
      <c r="AK31" s="154">
        <f t="shared" si="65"/>
        <v>0</v>
      </c>
      <c r="AL31" s="154">
        <f t="shared" si="65"/>
        <v>0</v>
      </c>
      <c r="AM31" s="154">
        <f t="shared" si="65"/>
        <v>0</v>
      </c>
      <c r="AN31" s="154">
        <f t="shared" si="65"/>
        <v>0</v>
      </c>
      <c r="AO31" s="154">
        <f t="shared" si="65"/>
        <v>0</v>
      </c>
      <c r="AP31" s="154">
        <f t="shared" si="65"/>
        <v>0</v>
      </c>
      <c r="AQ31" s="154">
        <f t="shared" si="65"/>
        <v>0</v>
      </c>
      <c r="AR31" s="154">
        <f t="shared" si="65"/>
        <v>0</v>
      </c>
      <c r="AS31" s="154">
        <f t="shared" si="65"/>
        <v>0</v>
      </c>
      <c r="AT31" s="154">
        <f t="shared" si="65"/>
        <v>0</v>
      </c>
      <c r="AU31" s="154">
        <f t="shared" si="65"/>
        <v>0</v>
      </c>
      <c r="AV31" s="154">
        <f t="shared" si="65"/>
        <v>0</v>
      </c>
      <c r="AW31" s="154">
        <f t="shared" si="65"/>
        <v>0</v>
      </c>
      <c r="AX31" s="154">
        <f t="shared" si="65"/>
        <v>0</v>
      </c>
      <c r="AY31" s="154">
        <f t="shared" si="65"/>
        <v>0</v>
      </c>
      <c r="AZ31" s="154">
        <f t="shared" si="65"/>
        <v>0</v>
      </c>
      <c r="BA31" s="154">
        <f t="shared" si="65"/>
        <v>0</v>
      </c>
      <c r="BB31" s="154">
        <f t="shared" si="65"/>
        <v>0</v>
      </c>
      <c r="BC31" s="154">
        <f t="shared" si="65"/>
        <v>0</v>
      </c>
      <c r="BD31" s="154">
        <f t="shared" si="65"/>
        <v>0</v>
      </c>
      <c r="BE31" s="154">
        <f t="shared" si="65"/>
        <v>0</v>
      </c>
      <c r="BF31" s="154">
        <f t="shared" si="65"/>
        <v>0</v>
      </c>
      <c r="BG31" s="154">
        <f t="shared" si="65"/>
        <v>0</v>
      </c>
      <c r="BH31" s="154">
        <f t="shared" si="65"/>
        <v>0</v>
      </c>
      <c r="BI31" s="154">
        <f t="shared" si="65"/>
        <v>0</v>
      </c>
      <c r="BJ31" s="154">
        <f t="shared" si="65"/>
        <v>0</v>
      </c>
      <c r="BK31" s="154">
        <f t="shared" si="65"/>
        <v>0</v>
      </c>
      <c r="BL31" s="154">
        <f t="shared" si="65"/>
        <v>0</v>
      </c>
      <c r="BM31" s="154">
        <f t="shared" si="65"/>
        <v>0</v>
      </c>
      <c r="BN31" s="154">
        <f t="shared" si="65"/>
        <v>0</v>
      </c>
      <c r="BO31" s="154">
        <f t="shared" si="65"/>
        <v>0</v>
      </c>
      <c r="BP31" s="154">
        <f t="shared" si="65"/>
        <v>0</v>
      </c>
      <c r="BQ31" s="154">
        <f t="shared" ref="BQ31" si="66">SUM(BQ25:BQ30)</f>
        <v>0</v>
      </c>
      <c r="BR31" s="154">
        <f>ROUND(SUM(BR25:BR30),2)</f>
        <v>0</v>
      </c>
      <c r="BS31" s="154">
        <f t="shared" ref="BS31:ED31" si="67">ROUND(SUM(BS25:BS30),2)</f>
        <v>0</v>
      </c>
      <c r="BT31" s="154">
        <f t="shared" si="67"/>
        <v>0</v>
      </c>
      <c r="BU31" s="154">
        <f t="shared" si="67"/>
        <v>0</v>
      </c>
      <c r="BV31" s="154">
        <f t="shared" si="67"/>
        <v>0</v>
      </c>
      <c r="BW31" s="154">
        <f t="shared" si="67"/>
        <v>0</v>
      </c>
      <c r="BX31" s="154">
        <f t="shared" si="67"/>
        <v>0</v>
      </c>
      <c r="BY31" s="154">
        <f t="shared" si="67"/>
        <v>0</v>
      </c>
      <c r="BZ31" s="154">
        <f t="shared" si="67"/>
        <v>0</v>
      </c>
      <c r="CA31" s="154">
        <f t="shared" si="67"/>
        <v>0</v>
      </c>
      <c r="CB31" s="154">
        <f t="shared" si="67"/>
        <v>0</v>
      </c>
      <c r="CC31" s="154">
        <f t="shared" si="67"/>
        <v>0</v>
      </c>
      <c r="CD31" s="154">
        <f t="shared" si="67"/>
        <v>0</v>
      </c>
      <c r="CE31" s="154">
        <f t="shared" si="67"/>
        <v>0</v>
      </c>
      <c r="CF31" s="154">
        <f t="shared" si="67"/>
        <v>0</v>
      </c>
      <c r="CG31" s="154">
        <f t="shared" si="67"/>
        <v>0</v>
      </c>
      <c r="CH31" s="154">
        <f t="shared" si="67"/>
        <v>0</v>
      </c>
      <c r="CI31" s="154">
        <f t="shared" si="67"/>
        <v>0</v>
      </c>
      <c r="CJ31" s="154">
        <f t="shared" si="67"/>
        <v>0</v>
      </c>
      <c r="CK31" s="154">
        <f t="shared" si="67"/>
        <v>0</v>
      </c>
      <c r="CL31" s="154">
        <f t="shared" si="67"/>
        <v>0</v>
      </c>
      <c r="CM31" s="154">
        <f t="shared" si="67"/>
        <v>0</v>
      </c>
      <c r="CN31" s="154">
        <f t="shared" si="67"/>
        <v>0</v>
      </c>
      <c r="CO31" s="154">
        <f t="shared" si="67"/>
        <v>0</v>
      </c>
      <c r="CP31" s="154">
        <f t="shared" si="67"/>
        <v>0</v>
      </c>
      <c r="CQ31" s="154">
        <f t="shared" si="67"/>
        <v>0</v>
      </c>
      <c r="CR31" s="154">
        <f t="shared" si="67"/>
        <v>0</v>
      </c>
      <c r="CS31" s="154">
        <f t="shared" si="67"/>
        <v>0</v>
      </c>
      <c r="CT31" s="154">
        <f t="shared" si="67"/>
        <v>0</v>
      </c>
      <c r="CU31" s="154">
        <f t="shared" si="67"/>
        <v>-20701303.469999999</v>
      </c>
      <c r="CV31" s="154">
        <f t="shared" si="67"/>
        <v>508437.77</v>
      </c>
      <c r="CW31" s="154">
        <f t="shared" si="67"/>
        <v>664184.06000000006</v>
      </c>
      <c r="CX31" s="154">
        <f t="shared" si="67"/>
        <v>635475.71</v>
      </c>
      <c r="CY31" s="154">
        <f t="shared" si="67"/>
        <v>1436732.52</v>
      </c>
      <c r="CZ31" s="154">
        <f t="shared" si="67"/>
        <v>2120089.36</v>
      </c>
      <c r="DA31" s="154">
        <f t="shared" si="67"/>
        <v>3392156.65</v>
      </c>
      <c r="DB31" s="154">
        <f t="shared" si="67"/>
        <v>2333716.67</v>
      </c>
      <c r="DC31" s="154">
        <f t="shared" si="67"/>
        <v>2029848.74</v>
      </c>
      <c r="DD31" s="154">
        <f t="shared" si="67"/>
        <v>2088220.5</v>
      </c>
      <c r="DE31" s="154">
        <f t="shared" si="67"/>
        <v>1705904.6</v>
      </c>
      <c r="DF31" s="154">
        <f t="shared" si="67"/>
        <v>1312549.44</v>
      </c>
      <c r="DG31" s="156">
        <f t="shared" si="67"/>
        <v>2473987.4500000002</v>
      </c>
      <c r="DH31" s="154">
        <f t="shared" si="67"/>
        <v>0</v>
      </c>
      <c r="DI31" s="154">
        <f t="shared" si="67"/>
        <v>0</v>
      </c>
      <c r="DJ31" s="154">
        <f t="shared" si="67"/>
        <v>0</v>
      </c>
      <c r="DK31" s="154">
        <f t="shared" si="67"/>
        <v>0</v>
      </c>
      <c r="DL31" s="154">
        <f t="shared" si="67"/>
        <v>0</v>
      </c>
      <c r="DM31" s="154">
        <f t="shared" si="67"/>
        <v>0</v>
      </c>
      <c r="DN31" s="154">
        <f t="shared" si="67"/>
        <v>0</v>
      </c>
      <c r="DO31" s="154">
        <f t="shared" si="67"/>
        <v>0</v>
      </c>
      <c r="DP31" s="154">
        <f t="shared" si="67"/>
        <v>0</v>
      </c>
      <c r="DQ31" s="154">
        <f t="shared" si="67"/>
        <v>0</v>
      </c>
      <c r="DR31" s="172">
        <f t="shared" si="67"/>
        <v>0</v>
      </c>
      <c r="DS31" s="172">
        <f t="shared" si="67"/>
        <v>0</v>
      </c>
      <c r="DT31" s="172">
        <f t="shared" si="67"/>
        <v>0</v>
      </c>
      <c r="DU31" s="172">
        <f t="shared" si="67"/>
        <v>0</v>
      </c>
      <c r="DV31" s="172">
        <f t="shared" si="67"/>
        <v>0</v>
      </c>
      <c r="DW31" s="172">
        <f t="shared" si="67"/>
        <v>0</v>
      </c>
      <c r="DX31" s="172">
        <f t="shared" si="67"/>
        <v>0</v>
      </c>
      <c r="DY31" s="172">
        <f t="shared" si="67"/>
        <v>0</v>
      </c>
      <c r="DZ31" s="172">
        <f t="shared" si="67"/>
        <v>0</v>
      </c>
      <c r="EA31" s="172">
        <f t="shared" si="67"/>
        <v>0</v>
      </c>
      <c r="EB31" s="172">
        <f t="shared" si="67"/>
        <v>0</v>
      </c>
      <c r="EC31" s="172">
        <f t="shared" si="67"/>
        <v>0</v>
      </c>
      <c r="ED31" s="172">
        <f t="shared" si="67"/>
        <v>0</v>
      </c>
      <c r="EE31" s="172">
        <f t="shared" ref="EE31:GP31" si="68">ROUND(SUM(EE25:EE30),2)</f>
        <v>0</v>
      </c>
      <c r="EF31" s="172">
        <f t="shared" si="68"/>
        <v>0</v>
      </c>
      <c r="EG31" s="172">
        <f t="shared" si="68"/>
        <v>0</v>
      </c>
      <c r="EH31" s="172">
        <f t="shared" si="68"/>
        <v>0</v>
      </c>
      <c r="EI31" s="172">
        <f t="shared" si="68"/>
        <v>0</v>
      </c>
      <c r="EJ31" s="172">
        <f t="shared" si="68"/>
        <v>0</v>
      </c>
      <c r="EK31" s="172">
        <f t="shared" si="68"/>
        <v>0</v>
      </c>
      <c r="EL31" s="172">
        <f t="shared" si="68"/>
        <v>0</v>
      </c>
      <c r="EM31" s="172">
        <f t="shared" si="68"/>
        <v>0</v>
      </c>
      <c r="EN31" s="172">
        <f t="shared" si="68"/>
        <v>0</v>
      </c>
      <c r="EO31" s="172">
        <f t="shared" si="68"/>
        <v>0</v>
      </c>
      <c r="EP31" s="172">
        <f t="shared" si="68"/>
        <v>0</v>
      </c>
      <c r="EQ31" s="172">
        <f t="shared" si="68"/>
        <v>0</v>
      </c>
      <c r="ER31" s="172">
        <f t="shared" si="68"/>
        <v>0</v>
      </c>
      <c r="ES31" s="172">
        <f t="shared" si="68"/>
        <v>0</v>
      </c>
      <c r="ET31" s="172">
        <f t="shared" si="68"/>
        <v>0</v>
      </c>
      <c r="EU31" s="172">
        <f t="shared" si="68"/>
        <v>0</v>
      </c>
      <c r="EV31" s="172">
        <f t="shared" si="68"/>
        <v>0</v>
      </c>
      <c r="EW31" s="172">
        <f t="shared" si="68"/>
        <v>0</v>
      </c>
      <c r="EX31" s="172">
        <f t="shared" si="68"/>
        <v>0</v>
      </c>
      <c r="EY31" s="172">
        <f t="shared" si="68"/>
        <v>0</v>
      </c>
      <c r="EZ31" s="172">
        <f t="shared" si="68"/>
        <v>0</v>
      </c>
      <c r="FA31" s="172">
        <f t="shared" si="68"/>
        <v>0</v>
      </c>
      <c r="FB31" s="172">
        <f t="shared" si="68"/>
        <v>0</v>
      </c>
      <c r="FC31" s="172">
        <f t="shared" si="68"/>
        <v>0</v>
      </c>
      <c r="FD31" s="172">
        <f t="shared" si="68"/>
        <v>0</v>
      </c>
      <c r="FE31" s="172">
        <f t="shared" si="68"/>
        <v>0</v>
      </c>
      <c r="FF31" s="172">
        <f t="shared" si="68"/>
        <v>0</v>
      </c>
      <c r="FG31" s="172">
        <f t="shared" si="68"/>
        <v>0</v>
      </c>
      <c r="FH31" s="172">
        <f t="shared" si="68"/>
        <v>0</v>
      </c>
      <c r="FI31" s="172">
        <f t="shared" si="68"/>
        <v>0</v>
      </c>
      <c r="FJ31" s="172">
        <f t="shared" si="68"/>
        <v>0</v>
      </c>
      <c r="FK31" s="172">
        <f t="shared" si="68"/>
        <v>0</v>
      </c>
      <c r="FL31" s="172">
        <f t="shared" si="68"/>
        <v>0</v>
      </c>
      <c r="FM31" s="172">
        <f t="shared" si="68"/>
        <v>0</v>
      </c>
      <c r="FN31" s="172">
        <f t="shared" si="68"/>
        <v>0</v>
      </c>
      <c r="FO31" s="172">
        <f t="shared" si="68"/>
        <v>0</v>
      </c>
      <c r="FP31" s="172">
        <f t="shared" si="68"/>
        <v>0</v>
      </c>
      <c r="FQ31" s="172">
        <f t="shared" si="68"/>
        <v>0</v>
      </c>
      <c r="FR31" s="172">
        <f t="shared" si="68"/>
        <v>0</v>
      </c>
      <c r="FS31" s="172">
        <f t="shared" si="68"/>
        <v>0</v>
      </c>
      <c r="FT31" s="172">
        <f t="shared" si="68"/>
        <v>0</v>
      </c>
      <c r="FU31" s="172">
        <f t="shared" si="68"/>
        <v>0</v>
      </c>
      <c r="FV31" s="172">
        <f t="shared" si="68"/>
        <v>0</v>
      </c>
      <c r="FW31" s="172">
        <f t="shared" si="68"/>
        <v>0</v>
      </c>
      <c r="FX31" s="172">
        <f t="shared" si="68"/>
        <v>0</v>
      </c>
      <c r="FY31" s="172">
        <f t="shared" si="68"/>
        <v>0</v>
      </c>
      <c r="FZ31" s="172">
        <f t="shared" si="68"/>
        <v>0</v>
      </c>
      <c r="GA31" s="172">
        <f t="shared" si="68"/>
        <v>0</v>
      </c>
      <c r="GB31" s="172">
        <f t="shared" si="68"/>
        <v>0</v>
      </c>
      <c r="GC31" s="172">
        <f t="shared" si="68"/>
        <v>0</v>
      </c>
      <c r="GD31" s="172">
        <f t="shared" si="68"/>
        <v>0</v>
      </c>
      <c r="GE31" s="172">
        <f t="shared" si="68"/>
        <v>0</v>
      </c>
      <c r="GF31" s="172">
        <f t="shared" si="68"/>
        <v>0</v>
      </c>
      <c r="GG31" s="172">
        <f t="shared" si="68"/>
        <v>0</v>
      </c>
      <c r="GH31" s="172">
        <f t="shared" si="68"/>
        <v>0</v>
      </c>
      <c r="GI31" s="172">
        <f t="shared" si="68"/>
        <v>0</v>
      </c>
      <c r="GJ31" s="172">
        <f t="shared" si="68"/>
        <v>0</v>
      </c>
      <c r="GK31" s="172">
        <f t="shared" si="68"/>
        <v>0</v>
      </c>
      <c r="GL31" s="172">
        <f t="shared" si="68"/>
        <v>0</v>
      </c>
      <c r="GM31" s="172">
        <f t="shared" si="68"/>
        <v>0</v>
      </c>
      <c r="GN31" s="172">
        <f t="shared" si="68"/>
        <v>0</v>
      </c>
      <c r="GO31" s="156">
        <f t="shared" si="68"/>
        <v>0</v>
      </c>
      <c r="GP31" s="156">
        <f t="shared" si="68"/>
        <v>0</v>
      </c>
      <c r="GQ31" s="156">
        <f t="shared" ref="GQ31:JN31" si="69">ROUND(SUM(GQ25:GQ30),2)</f>
        <v>0</v>
      </c>
      <c r="GR31" s="156">
        <f t="shared" si="69"/>
        <v>0</v>
      </c>
      <c r="GS31" s="156">
        <f t="shared" si="69"/>
        <v>0</v>
      </c>
      <c r="GT31" s="156">
        <f t="shared" si="69"/>
        <v>0</v>
      </c>
      <c r="GU31" s="156">
        <f t="shared" si="69"/>
        <v>0</v>
      </c>
      <c r="GV31" s="156">
        <f t="shared" si="69"/>
        <v>0</v>
      </c>
      <c r="GW31" s="156">
        <f t="shared" si="69"/>
        <v>0</v>
      </c>
      <c r="GX31" s="156">
        <f t="shared" si="69"/>
        <v>0</v>
      </c>
      <c r="GY31" s="156">
        <f t="shared" si="69"/>
        <v>0</v>
      </c>
      <c r="GZ31" s="156">
        <f t="shared" si="69"/>
        <v>0</v>
      </c>
      <c r="HA31" s="156">
        <f t="shared" si="69"/>
        <v>0</v>
      </c>
      <c r="HB31" s="156">
        <f t="shared" si="69"/>
        <v>0</v>
      </c>
      <c r="HC31" s="156">
        <f t="shared" si="69"/>
        <v>0</v>
      </c>
      <c r="HD31" s="156">
        <f t="shared" si="69"/>
        <v>0</v>
      </c>
      <c r="HE31" s="156">
        <f t="shared" si="69"/>
        <v>0</v>
      </c>
      <c r="HF31" s="156">
        <f t="shared" si="69"/>
        <v>0</v>
      </c>
      <c r="HG31" s="156">
        <f t="shared" si="69"/>
        <v>0</v>
      </c>
      <c r="HH31" s="156">
        <f t="shared" si="69"/>
        <v>0</v>
      </c>
      <c r="HI31" s="156">
        <f t="shared" si="69"/>
        <v>0</v>
      </c>
      <c r="HJ31" s="156">
        <f t="shared" si="69"/>
        <v>49363062.649999999</v>
      </c>
      <c r="HK31" s="156">
        <f t="shared" si="69"/>
        <v>-1521719.23</v>
      </c>
      <c r="HL31" s="156">
        <f t="shared" si="69"/>
        <v>-1236635.96</v>
      </c>
      <c r="HM31" s="156">
        <f t="shared" si="69"/>
        <v>-1193141.81</v>
      </c>
      <c r="HN31" s="156">
        <f t="shared" si="69"/>
        <v>-1626567</v>
      </c>
      <c r="HO31" s="156">
        <f t="shared" si="69"/>
        <v>-4097966.78</v>
      </c>
      <c r="HP31" s="156">
        <f t="shared" si="69"/>
        <v>-5055495.09</v>
      </c>
      <c r="HQ31" s="156">
        <f t="shared" si="69"/>
        <v>-6744106.0199999996</v>
      </c>
      <c r="HR31" s="156">
        <f t="shared" si="69"/>
        <v>-6887695.6699999999</v>
      </c>
      <c r="HS31" s="156">
        <f t="shared" si="69"/>
        <v>-6357046.5099999998</v>
      </c>
      <c r="HT31" s="156">
        <f t="shared" si="69"/>
        <v>-6062749.5099999998</v>
      </c>
      <c r="HU31" s="156">
        <f t="shared" si="69"/>
        <v>-3638251.91</v>
      </c>
      <c r="HV31" s="156">
        <f t="shared" si="69"/>
        <v>-4941687.16</v>
      </c>
      <c r="HW31" s="156">
        <f t="shared" si="69"/>
        <v>0</v>
      </c>
      <c r="HX31" s="156">
        <f t="shared" si="69"/>
        <v>0</v>
      </c>
      <c r="HY31" s="156">
        <f t="shared" si="69"/>
        <v>0</v>
      </c>
      <c r="HZ31" s="156">
        <f t="shared" si="69"/>
        <v>0</v>
      </c>
      <c r="IA31" s="156">
        <f t="shared" si="69"/>
        <v>0</v>
      </c>
      <c r="IB31" s="156">
        <f t="shared" si="69"/>
        <v>0</v>
      </c>
      <c r="IC31" s="156">
        <f t="shared" si="69"/>
        <v>0</v>
      </c>
      <c r="ID31" s="156">
        <f t="shared" si="69"/>
        <v>0</v>
      </c>
      <c r="IE31" s="156">
        <f t="shared" si="69"/>
        <v>0</v>
      </c>
      <c r="IF31" s="156">
        <f t="shared" si="69"/>
        <v>0</v>
      </c>
      <c r="IG31" s="156">
        <f t="shared" si="69"/>
        <v>0</v>
      </c>
      <c r="IH31" s="156">
        <f t="shared" si="69"/>
        <v>0</v>
      </c>
      <c r="II31" s="156">
        <f t="shared" si="69"/>
        <v>0</v>
      </c>
      <c r="IJ31" s="156">
        <f t="shared" si="69"/>
        <v>0</v>
      </c>
      <c r="IK31" s="156">
        <f t="shared" si="69"/>
        <v>0</v>
      </c>
      <c r="IL31" s="156">
        <f t="shared" si="69"/>
        <v>0</v>
      </c>
      <c r="IM31" s="156">
        <f t="shared" si="69"/>
        <v>0</v>
      </c>
      <c r="IN31" s="156">
        <f t="shared" si="69"/>
        <v>0</v>
      </c>
      <c r="IO31" s="156">
        <f t="shared" si="69"/>
        <v>0</v>
      </c>
      <c r="IP31" s="156">
        <f t="shared" si="69"/>
        <v>0</v>
      </c>
      <c r="IQ31" s="156">
        <f t="shared" si="69"/>
        <v>0</v>
      </c>
      <c r="IR31" s="156">
        <f t="shared" si="69"/>
        <v>0</v>
      </c>
      <c r="IS31" s="156">
        <f t="shared" si="69"/>
        <v>0</v>
      </c>
      <c r="IT31" s="156">
        <f t="shared" si="69"/>
        <v>0</v>
      </c>
      <c r="IU31" s="156">
        <f t="shared" si="69"/>
        <v>0</v>
      </c>
      <c r="IV31" s="156">
        <f t="shared" si="69"/>
        <v>0</v>
      </c>
      <c r="IW31" s="156">
        <f t="shared" si="69"/>
        <v>0</v>
      </c>
      <c r="IX31" s="156">
        <f t="shared" si="69"/>
        <v>0</v>
      </c>
      <c r="IY31" s="156">
        <f t="shared" ref="IY31:JJ31" si="70">ROUND(SUM(IY25:IY30),2)</f>
        <v>0</v>
      </c>
      <c r="IZ31" s="156">
        <f t="shared" si="70"/>
        <v>0</v>
      </c>
      <c r="JA31" s="156">
        <f t="shared" si="70"/>
        <v>0</v>
      </c>
      <c r="JB31" s="156">
        <f t="shared" si="70"/>
        <v>0</v>
      </c>
      <c r="JC31" s="156">
        <f t="shared" si="70"/>
        <v>0</v>
      </c>
      <c r="JD31" s="156">
        <f t="shared" si="70"/>
        <v>0</v>
      </c>
      <c r="JE31" s="156">
        <f t="shared" si="70"/>
        <v>0</v>
      </c>
      <c r="JF31" s="156">
        <f t="shared" si="70"/>
        <v>0</v>
      </c>
      <c r="JG31" s="156">
        <f t="shared" si="70"/>
        <v>0</v>
      </c>
      <c r="JH31" s="156">
        <f t="shared" si="70"/>
        <v>0</v>
      </c>
      <c r="JI31" s="156">
        <f t="shared" si="70"/>
        <v>0</v>
      </c>
      <c r="JJ31" s="156">
        <f t="shared" si="70"/>
        <v>0</v>
      </c>
      <c r="JK31" s="156">
        <f t="shared" si="69"/>
        <v>0</v>
      </c>
      <c r="JL31" s="156">
        <f t="shared" si="69"/>
        <v>0</v>
      </c>
      <c r="JM31" s="156">
        <f t="shared" si="69"/>
        <v>0</v>
      </c>
      <c r="JN31" s="156">
        <f t="shared" si="69"/>
        <v>0</v>
      </c>
      <c r="JO31" s="156">
        <f t="shared" ref="JO31:JU31" si="71">ROUND(SUM(JO25:JO30),2)</f>
        <v>0</v>
      </c>
      <c r="JP31" s="156">
        <f t="shared" si="71"/>
        <v>0</v>
      </c>
      <c r="JQ31" s="156">
        <f t="shared" si="71"/>
        <v>0</v>
      </c>
      <c r="JR31" s="156">
        <f t="shared" si="71"/>
        <v>0</v>
      </c>
      <c r="JS31" s="156">
        <f t="shared" si="71"/>
        <v>0</v>
      </c>
      <c r="JT31" s="156">
        <f t="shared" si="71"/>
        <v>0</v>
      </c>
      <c r="JU31" s="156">
        <f t="shared" si="71"/>
        <v>0</v>
      </c>
      <c r="JV31" s="638"/>
      <c r="JW31" s="626"/>
      <c r="JX31" s="626"/>
      <c r="JY31" s="626"/>
      <c r="JZ31" s="626"/>
      <c r="KA31" s="626"/>
      <c r="KB31" s="626"/>
      <c r="KC31" s="626"/>
      <c r="KD31" s="626"/>
      <c r="KE31" s="626"/>
      <c r="KF31" s="626"/>
      <c r="KG31" s="626"/>
      <c r="KH31" s="626"/>
      <c r="KI31" s="639"/>
    </row>
    <row r="32" spans="1:295" x14ac:dyDescent="0.2">
      <c r="B32" s="24" t="s">
        <v>109</v>
      </c>
      <c r="D32" s="50">
        <f>+D24+D31</f>
        <v>-20585607.530000001</v>
      </c>
      <c r="E32" s="50">
        <f>+E24+E31</f>
        <v>0</v>
      </c>
      <c r="F32" s="50">
        <f t="shared" ref="F32:BQ32" si="72">+F24+F31</f>
        <v>0</v>
      </c>
      <c r="G32" s="50">
        <f t="shared" si="72"/>
        <v>0</v>
      </c>
      <c r="H32" s="50">
        <f t="shared" si="72"/>
        <v>0</v>
      </c>
      <c r="I32" s="50">
        <f t="shared" si="72"/>
        <v>0</v>
      </c>
      <c r="J32" s="50">
        <f t="shared" si="72"/>
        <v>0</v>
      </c>
      <c r="K32" s="50">
        <f t="shared" si="72"/>
        <v>0</v>
      </c>
      <c r="L32" s="50">
        <f t="shared" si="72"/>
        <v>0</v>
      </c>
      <c r="M32" s="50">
        <f t="shared" si="72"/>
        <v>0</v>
      </c>
      <c r="N32" s="50">
        <f t="shared" si="72"/>
        <v>0</v>
      </c>
      <c r="O32" s="50">
        <f t="shared" si="72"/>
        <v>0</v>
      </c>
      <c r="P32" s="50">
        <f t="shared" si="72"/>
        <v>0</v>
      </c>
      <c r="Q32" s="50">
        <f t="shared" si="72"/>
        <v>0</v>
      </c>
      <c r="R32" s="50">
        <f t="shared" si="72"/>
        <v>0</v>
      </c>
      <c r="S32" s="50">
        <f t="shared" si="72"/>
        <v>0</v>
      </c>
      <c r="T32" s="50">
        <f t="shared" si="72"/>
        <v>0</v>
      </c>
      <c r="U32" s="50">
        <f t="shared" si="72"/>
        <v>0</v>
      </c>
      <c r="V32" s="50">
        <f t="shared" si="72"/>
        <v>0</v>
      </c>
      <c r="W32" s="50">
        <f t="shared" si="72"/>
        <v>0</v>
      </c>
      <c r="X32" s="50">
        <f t="shared" si="72"/>
        <v>0</v>
      </c>
      <c r="Y32" s="50">
        <f t="shared" si="72"/>
        <v>0</v>
      </c>
      <c r="Z32" s="50">
        <f t="shared" si="72"/>
        <v>0</v>
      </c>
      <c r="AA32" s="50">
        <f t="shared" si="72"/>
        <v>0</v>
      </c>
      <c r="AB32" s="50">
        <f t="shared" si="72"/>
        <v>0</v>
      </c>
      <c r="AC32" s="50">
        <f t="shared" si="72"/>
        <v>0</v>
      </c>
      <c r="AD32" s="50">
        <f t="shared" si="72"/>
        <v>0</v>
      </c>
      <c r="AE32" s="50">
        <f t="shared" si="72"/>
        <v>0</v>
      </c>
      <c r="AF32" s="50">
        <f t="shared" si="72"/>
        <v>0</v>
      </c>
      <c r="AG32" s="50">
        <f t="shared" si="72"/>
        <v>0</v>
      </c>
      <c r="AH32" s="50">
        <f t="shared" si="72"/>
        <v>0</v>
      </c>
      <c r="AI32" s="50">
        <f t="shared" si="72"/>
        <v>0</v>
      </c>
      <c r="AJ32" s="50">
        <f t="shared" si="72"/>
        <v>0</v>
      </c>
      <c r="AK32" s="50">
        <f t="shared" si="72"/>
        <v>0</v>
      </c>
      <c r="AL32" s="50">
        <f t="shared" si="72"/>
        <v>0</v>
      </c>
      <c r="AM32" s="50">
        <f t="shared" si="72"/>
        <v>0</v>
      </c>
      <c r="AN32" s="50">
        <f t="shared" si="72"/>
        <v>0</v>
      </c>
      <c r="AO32" s="50">
        <f t="shared" si="72"/>
        <v>0</v>
      </c>
      <c r="AP32" s="50">
        <f t="shared" si="72"/>
        <v>0</v>
      </c>
      <c r="AQ32" s="50">
        <f t="shared" si="72"/>
        <v>0</v>
      </c>
      <c r="AR32" s="50">
        <f t="shared" si="72"/>
        <v>0</v>
      </c>
      <c r="AS32" s="50">
        <f t="shared" si="72"/>
        <v>0</v>
      </c>
      <c r="AT32" s="50">
        <f t="shared" si="72"/>
        <v>0</v>
      </c>
      <c r="AU32" s="50">
        <f t="shared" si="72"/>
        <v>0</v>
      </c>
      <c r="AV32" s="50">
        <f t="shared" si="72"/>
        <v>0</v>
      </c>
      <c r="AW32" s="50">
        <f t="shared" si="72"/>
        <v>0</v>
      </c>
      <c r="AX32" s="50">
        <f t="shared" si="72"/>
        <v>0</v>
      </c>
      <c r="AY32" s="50">
        <f t="shared" si="72"/>
        <v>0</v>
      </c>
      <c r="AZ32" s="127">
        <f t="shared" si="72"/>
        <v>0</v>
      </c>
      <c r="BA32" s="127">
        <f t="shared" si="72"/>
        <v>0</v>
      </c>
      <c r="BB32" s="127">
        <f t="shared" si="72"/>
        <v>0</v>
      </c>
      <c r="BC32" s="127">
        <f t="shared" si="72"/>
        <v>0</v>
      </c>
      <c r="BD32" s="127">
        <f t="shared" si="72"/>
        <v>0</v>
      </c>
      <c r="BE32" s="127">
        <f t="shared" si="72"/>
        <v>0</v>
      </c>
      <c r="BF32" s="127">
        <f t="shared" si="72"/>
        <v>0</v>
      </c>
      <c r="BG32" s="127">
        <f t="shared" si="72"/>
        <v>0</v>
      </c>
      <c r="BH32" s="127">
        <f t="shared" si="72"/>
        <v>0</v>
      </c>
      <c r="BI32" s="127">
        <f t="shared" si="72"/>
        <v>0</v>
      </c>
      <c r="BJ32" s="127">
        <f t="shared" si="72"/>
        <v>0</v>
      </c>
      <c r="BK32" s="127">
        <f t="shared" si="72"/>
        <v>0</v>
      </c>
      <c r="BL32" s="127">
        <f t="shared" si="72"/>
        <v>0</v>
      </c>
      <c r="BM32" s="127">
        <f t="shared" si="72"/>
        <v>0</v>
      </c>
      <c r="BN32" s="127">
        <f t="shared" si="72"/>
        <v>0</v>
      </c>
      <c r="BO32" s="127">
        <f t="shared" si="72"/>
        <v>0</v>
      </c>
      <c r="BP32" s="127">
        <f t="shared" si="72"/>
        <v>0</v>
      </c>
      <c r="BQ32" s="127">
        <f t="shared" si="72"/>
        <v>0</v>
      </c>
      <c r="BR32" s="127">
        <f>ROUND(+BR24+BR31,2)</f>
        <v>0</v>
      </c>
      <c r="BS32" s="127">
        <f t="shared" ref="BS32:ED32" si="73">ROUND(+BS24+BS31,2)</f>
        <v>0</v>
      </c>
      <c r="BT32" s="127">
        <f t="shared" si="73"/>
        <v>0</v>
      </c>
      <c r="BU32" s="127">
        <f t="shared" si="73"/>
        <v>0</v>
      </c>
      <c r="BV32" s="127">
        <f t="shared" si="73"/>
        <v>0</v>
      </c>
      <c r="BW32" s="127">
        <f t="shared" si="73"/>
        <v>0</v>
      </c>
      <c r="BX32" s="127">
        <f t="shared" si="73"/>
        <v>0</v>
      </c>
      <c r="BY32" s="127">
        <f t="shared" si="73"/>
        <v>0</v>
      </c>
      <c r="BZ32" s="127">
        <f t="shared" si="73"/>
        <v>0</v>
      </c>
      <c r="CA32" s="127">
        <f t="shared" si="73"/>
        <v>0</v>
      </c>
      <c r="CB32" s="127">
        <f t="shared" si="73"/>
        <v>0</v>
      </c>
      <c r="CC32" s="127">
        <f t="shared" si="73"/>
        <v>0</v>
      </c>
      <c r="CD32" s="127">
        <f t="shared" si="73"/>
        <v>0</v>
      </c>
      <c r="CE32" s="127">
        <f t="shared" si="73"/>
        <v>0</v>
      </c>
      <c r="CF32" s="127">
        <f t="shared" si="73"/>
        <v>0</v>
      </c>
      <c r="CG32" s="127">
        <f t="shared" si="73"/>
        <v>0</v>
      </c>
      <c r="CH32" s="127">
        <f t="shared" si="73"/>
        <v>0</v>
      </c>
      <c r="CI32" s="157">
        <f t="shared" si="73"/>
        <v>0</v>
      </c>
      <c r="CJ32" s="127">
        <f t="shared" si="73"/>
        <v>0</v>
      </c>
      <c r="CK32" s="127">
        <f t="shared" si="73"/>
        <v>0</v>
      </c>
      <c r="CL32" s="127">
        <f t="shared" si="73"/>
        <v>0</v>
      </c>
      <c r="CM32" s="127">
        <f t="shared" si="73"/>
        <v>0</v>
      </c>
      <c r="CN32" s="127">
        <f t="shared" si="73"/>
        <v>0</v>
      </c>
      <c r="CO32" s="127">
        <f t="shared" si="73"/>
        <v>0</v>
      </c>
      <c r="CP32" s="127">
        <f t="shared" si="73"/>
        <v>0</v>
      </c>
      <c r="CQ32" s="127">
        <f t="shared" si="73"/>
        <v>0</v>
      </c>
      <c r="CR32" s="127">
        <f t="shared" si="73"/>
        <v>0</v>
      </c>
      <c r="CS32" s="127">
        <f t="shared" si="73"/>
        <v>0</v>
      </c>
      <c r="CT32" s="127">
        <f t="shared" si="73"/>
        <v>0</v>
      </c>
      <c r="CU32" s="127">
        <f t="shared" si="73"/>
        <v>-20701303.469999999</v>
      </c>
      <c r="CV32" s="127">
        <f t="shared" si="73"/>
        <v>-20192865.699999999</v>
      </c>
      <c r="CW32" s="127">
        <f t="shared" si="73"/>
        <v>-19528681.640000001</v>
      </c>
      <c r="CX32" s="127">
        <f t="shared" si="73"/>
        <v>-18893205.93</v>
      </c>
      <c r="CY32" s="127">
        <f t="shared" si="73"/>
        <v>-17456473.41</v>
      </c>
      <c r="CZ32" s="127">
        <f t="shared" si="73"/>
        <v>-15336384.050000001</v>
      </c>
      <c r="DA32" s="127">
        <f t="shared" si="73"/>
        <v>-11944227.4</v>
      </c>
      <c r="DB32" s="127">
        <f t="shared" si="73"/>
        <v>-9610510.7300000004</v>
      </c>
      <c r="DC32" s="127">
        <f t="shared" si="73"/>
        <v>-7580661.9900000002</v>
      </c>
      <c r="DD32" s="127">
        <f t="shared" si="73"/>
        <v>-5492441.4900000002</v>
      </c>
      <c r="DE32" s="127">
        <f t="shared" si="73"/>
        <v>-3786536.89</v>
      </c>
      <c r="DF32" s="127">
        <f t="shared" si="73"/>
        <v>-2473987.4500000002</v>
      </c>
      <c r="DG32" s="127">
        <f t="shared" si="73"/>
        <v>0</v>
      </c>
      <c r="DH32" s="127">
        <f t="shared" si="73"/>
        <v>0</v>
      </c>
      <c r="DI32" s="127">
        <f t="shared" si="73"/>
        <v>0</v>
      </c>
      <c r="DJ32" s="127">
        <f t="shared" si="73"/>
        <v>0</v>
      </c>
      <c r="DK32" s="127">
        <f t="shared" si="73"/>
        <v>0</v>
      </c>
      <c r="DL32" s="139">
        <f t="shared" si="73"/>
        <v>0</v>
      </c>
      <c r="DM32" s="139">
        <f t="shared" si="73"/>
        <v>0</v>
      </c>
      <c r="DN32" s="139">
        <f t="shared" si="73"/>
        <v>0</v>
      </c>
      <c r="DO32" s="139">
        <f t="shared" si="73"/>
        <v>0</v>
      </c>
      <c r="DP32" s="139">
        <f t="shared" si="73"/>
        <v>0</v>
      </c>
      <c r="DQ32" s="139">
        <f t="shared" si="73"/>
        <v>0</v>
      </c>
      <c r="DR32" s="139">
        <f t="shared" si="73"/>
        <v>0</v>
      </c>
      <c r="DS32" s="139">
        <f t="shared" si="73"/>
        <v>0</v>
      </c>
      <c r="DT32" s="139">
        <f t="shared" si="73"/>
        <v>0</v>
      </c>
      <c r="DU32" s="139">
        <f t="shared" si="73"/>
        <v>0</v>
      </c>
      <c r="DV32" s="139">
        <f t="shared" si="73"/>
        <v>0</v>
      </c>
      <c r="DW32" s="139">
        <f t="shared" si="73"/>
        <v>0</v>
      </c>
      <c r="DX32" s="139">
        <f t="shared" si="73"/>
        <v>0</v>
      </c>
      <c r="DY32" s="139">
        <f t="shared" si="73"/>
        <v>0</v>
      </c>
      <c r="DZ32" s="139">
        <f t="shared" si="73"/>
        <v>0</v>
      </c>
      <c r="EA32" s="139">
        <f t="shared" si="73"/>
        <v>0</v>
      </c>
      <c r="EB32" s="139">
        <f t="shared" si="73"/>
        <v>0</v>
      </c>
      <c r="EC32" s="139">
        <f t="shared" si="73"/>
        <v>0</v>
      </c>
      <c r="ED32" s="139">
        <f t="shared" si="73"/>
        <v>0</v>
      </c>
      <c r="EE32" s="139">
        <f t="shared" ref="EE32:GP32" si="74">ROUND(+EE24+EE31,2)</f>
        <v>0</v>
      </c>
      <c r="EF32" s="139">
        <f t="shared" si="74"/>
        <v>0</v>
      </c>
      <c r="EG32" s="139">
        <f t="shared" si="74"/>
        <v>0</v>
      </c>
      <c r="EH32" s="139">
        <f t="shared" si="74"/>
        <v>0</v>
      </c>
      <c r="EI32" s="139">
        <f t="shared" si="74"/>
        <v>0</v>
      </c>
      <c r="EJ32" s="139">
        <f t="shared" si="74"/>
        <v>0</v>
      </c>
      <c r="EK32" s="139">
        <f t="shared" si="74"/>
        <v>0</v>
      </c>
      <c r="EL32" s="139">
        <f t="shared" si="74"/>
        <v>0</v>
      </c>
      <c r="EM32" s="139">
        <f t="shared" si="74"/>
        <v>0</v>
      </c>
      <c r="EN32" s="139">
        <f t="shared" si="74"/>
        <v>0</v>
      </c>
      <c r="EO32" s="139">
        <f t="shared" si="74"/>
        <v>0</v>
      </c>
      <c r="EP32" s="139">
        <f t="shared" si="74"/>
        <v>0</v>
      </c>
      <c r="EQ32" s="139">
        <f t="shared" si="74"/>
        <v>0</v>
      </c>
      <c r="ER32" s="139">
        <f t="shared" si="74"/>
        <v>0</v>
      </c>
      <c r="ES32" s="139">
        <f t="shared" si="74"/>
        <v>0</v>
      </c>
      <c r="ET32" s="139">
        <f t="shared" si="74"/>
        <v>0</v>
      </c>
      <c r="EU32" s="139">
        <f t="shared" si="74"/>
        <v>0</v>
      </c>
      <c r="EV32" s="139">
        <f t="shared" si="74"/>
        <v>0</v>
      </c>
      <c r="EW32" s="139">
        <f t="shared" si="74"/>
        <v>0</v>
      </c>
      <c r="EX32" s="139">
        <f t="shared" si="74"/>
        <v>0</v>
      </c>
      <c r="EY32" s="139">
        <f t="shared" si="74"/>
        <v>0</v>
      </c>
      <c r="EZ32" s="139">
        <f t="shared" si="74"/>
        <v>0</v>
      </c>
      <c r="FA32" s="139">
        <f t="shared" si="74"/>
        <v>0</v>
      </c>
      <c r="FB32" s="139">
        <f t="shared" si="74"/>
        <v>0</v>
      </c>
      <c r="FC32" s="139">
        <f t="shared" si="74"/>
        <v>0</v>
      </c>
      <c r="FD32" s="139">
        <f t="shared" si="74"/>
        <v>0</v>
      </c>
      <c r="FE32" s="139">
        <f t="shared" si="74"/>
        <v>0</v>
      </c>
      <c r="FF32" s="139">
        <f t="shared" si="74"/>
        <v>0</v>
      </c>
      <c r="FG32" s="139">
        <f t="shared" si="74"/>
        <v>0</v>
      </c>
      <c r="FH32" s="139">
        <f t="shared" si="74"/>
        <v>0</v>
      </c>
      <c r="FI32" s="139">
        <f t="shared" si="74"/>
        <v>0</v>
      </c>
      <c r="FJ32" s="139">
        <f t="shared" si="74"/>
        <v>0</v>
      </c>
      <c r="FK32" s="139">
        <f t="shared" si="74"/>
        <v>0</v>
      </c>
      <c r="FL32" s="139">
        <f t="shared" si="74"/>
        <v>0</v>
      </c>
      <c r="FM32" s="139">
        <f t="shared" si="74"/>
        <v>0</v>
      </c>
      <c r="FN32" s="139">
        <f t="shared" si="74"/>
        <v>0</v>
      </c>
      <c r="FO32" s="139">
        <f t="shared" si="74"/>
        <v>0</v>
      </c>
      <c r="FP32" s="139">
        <f t="shared" si="74"/>
        <v>0</v>
      </c>
      <c r="FQ32" s="139">
        <f t="shared" si="74"/>
        <v>0</v>
      </c>
      <c r="FR32" s="139">
        <f t="shared" si="74"/>
        <v>0</v>
      </c>
      <c r="FS32" s="139">
        <f t="shared" si="74"/>
        <v>0</v>
      </c>
      <c r="FT32" s="139">
        <f t="shared" si="74"/>
        <v>0</v>
      </c>
      <c r="FU32" s="139">
        <f t="shared" si="74"/>
        <v>0</v>
      </c>
      <c r="FV32" s="139">
        <f t="shared" si="74"/>
        <v>0</v>
      </c>
      <c r="FW32" s="139">
        <f t="shared" si="74"/>
        <v>0</v>
      </c>
      <c r="FX32" s="139">
        <f t="shared" si="74"/>
        <v>0</v>
      </c>
      <c r="FY32" s="139">
        <f t="shared" si="74"/>
        <v>0</v>
      </c>
      <c r="FZ32" s="139">
        <f t="shared" si="74"/>
        <v>0</v>
      </c>
      <c r="GA32" s="139">
        <f t="shared" si="74"/>
        <v>0</v>
      </c>
      <c r="GB32" s="139">
        <f t="shared" si="74"/>
        <v>0</v>
      </c>
      <c r="GC32" s="139">
        <f t="shared" si="74"/>
        <v>0</v>
      </c>
      <c r="GD32" s="139">
        <f t="shared" si="74"/>
        <v>0</v>
      </c>
      <c r="GE32" s="139">
        <f t="shared" si="74"/>
        <v>0</v>
      </c>
      <c r="GF32" s="139">
        <f t="shared" si="74"/>
        <v>0</v>
      </c>
      <c r="GG32" s="139">
        <f t="shared" si="74"/>
        <v>0</v>
      </c>
      <c r="GH32" s="139">
        <f t="shared" si="74"/>
        <v>0</v>
      </c>
      <c r="GI32" s="139">
        <f t="shared" si="74"/>
        <v>0</v>
      </c>
      <c r="GJ32" s="139">
        <f t="shared" si="74"/>
        <v>0</v>
      </c>
      <c r="GK32" s="139">
        <f t="shared" si="74"/>
        <v>0</v>
      </c>
      <c r="GL32" s="139">
        <f t="shared" si="74"/>
        <v>0</v>
      </c>
      <c r="GM32" s="139">
        <f t="shared" si="74"/>
        <v>0</v>
      </c>
      <c r="GN32" s="139">
        <f t="shared" si="74"/>
        <v>0</v>
      </c>
      <c r="GO32" s="139">
        <f t="shared" si="74"/>
        <v>0</v>
      </c>
      <c r="GP32" s="139">
        <f t="shared" si="74"/>
        <v>0</v>
      </c>
      <c r="GQ32" s="139">
        <f t="shared" ref="GQ32:JN32" si="75">ROUND(+GQ24+GQ31,2)</f>
        <v>0</v>
      </c>
      <c r="GR32" s="139">
        <f t="shared" si="75"/>
        <v>0</v>
      </c>
      <c r="GS32" s="139">
        <f t="shared" si="75"/>
        <v>0</v>
      </c>
      <c r="GT32" s="139">
        <f t="shared" si="75"/>
        <v>0</v>
      </c>
      <c r="GU32" s="139">
        <f t="shared" si="75"/>
        <v>0</v>
      </c>
      <c r="GV32" s="139">
        <f t="shared" si="75"/>
        <v>0</v>
      </c>
      <c r="GW32" s="139">
        <f t="shared" si="75"/>
        <v>0</v>
      </c>
      <c r="GX32" s="139">
        <f t="shared" si="75"/>
        <v>0</v>
      </c>
      <c r="GY32" s="139">
        <f t="shared" si="75"/>
        <v>0</v>
      </c>
      <c r="GZ32" s="139">
        <f t="shared" si="75"/>
        <v>0</v>
      </c>
      <c r="HA32" s="139">
        <f t="shared" si="75"/>
        <v>0</v>
      </c>
      <c r="HB32" s="139">
        <f t="shared" si="75"/>
        <v>0</v>
      </c>
      <c r="HC32" s="139">
        <f t="shared" si="75"/>
        <v>0</v>
      </c>
      <c r="HD32" s="139">
        <f t="shared" si="75"/>
        <v>0</v>
      </c>
      <c r="HE32" s="139">
        <f t="shared" si="75"/>
        <v>0</v>
      </c>
      <c r="HF32" s="139">
        <f t="shared" si="75"/>
        <v>0</v>
      </c>
      <c r="HG32" s="139">
        <f t="shared" si="75"/>
        <v>0</v>
      </c>
      <c r="HH32" s="139">
        <f t="shared" si="75"/>
        <v>0</v>
      </c>
      <c r="HI32" s="139">
        <f t="shared" si="75"/>
        <v>0</v>
      </c>
      <c r="HJ32" s="139">
        <f t="shared" si="75"/>
        <v>49363062.649999999</v>
      </c>
      <c r="HK32" s="139">
        <f t="shared" si="75"/>
        <v>47841343.420000002</v>
      </c>
      <c r="HL32" s="139">
        <f t="shared" si="75"/>
        <v>46604707.460000001</v>
      </c>
      <c r="HM32" s="139">
        <f t="shared" si="75"/>
        <v>45411565.649999999</v>
      </c>
      <c r="HN32" s="139">
        <f t="shared" si="75"/>
        <v>43784998.649999999</v>
      </c>
      <c r="HO32" s="139">
        <f t="shared" si="75"/>
        <v>39687031.869999997</v>
      </c>
      <c r="HP32" s="139">
        <f t="shared" si="75"/>
        <v>34631536.780000001</v>
      </c>
      <c r="HQ32" s="139">
        <f t="shared" si="75"/>
        <v>27887430.760000002</v>
      </c>
      <c r="HR32" s="139">
        <f t="shared" si="75"/>
        <v>20999735.09</v>
      </c>
      <c r="HS32" s="139">
        <f t="shared" si="75"/>
        <v>14642688.58</v>
      </c>
      <c r="HT32" s="139">
        <f t="shared" si="75"/>
        <v>8579939.0700000003</v>
      </c>
      <c r="HU32" s="139">
        <f t="shared" si="75"/>
        <v>4941687.16</v>
      </c>
      <c r="HV32" s="139">
        <f t="shared" si="75"/>
        <v>0</v>
      </c>
      <c r="HW32" s="139">
        <f t="shared" si="75"/>
        <v>0</v>
      </c>
      <c r="HX32" s="139">
        <f t="shared" si="75"/>
        <v>0</v>
      </c>
      <c r="HY32" s="139">
        <f t="shared" si="75"/>
        <v>0</v>
      </c>
      <c r="HZ32" s="139">
        <f t="shared" si="75"/>
        <v>0</v>
      </c>
      <c r="IA32" s="139">
        <f t="shared" si="75"/>
        <v>0</v>
      </c>
      <c r="IB32" s="139">
        <f t="shared" si="75"/>
        <v>0</v>
      </c>
      <c r="IC32" s="139">
        <f t="shared" si="75"/>
        <v>0</v>
      </c>
      <c r="ID32" s="139">
        <f t="shared" si="75"/>
        <v>0</v>
      </c>
      <c r="IE32" s="139">
        <f t="shared" si="75"/>
        <v>0</v>
      </c>
      <c r="IF32" s="139">
        <f t="shared" si="75"/>
        <v>0</v>
      </c>
      <c r="IG32" s="139">
        <f t="shared" si="75"/>
        <v>0</v>
      </c>
      <c r="IH32" s="139">
        <f t="shared" si="75"/>
        <v>0</v>
      </c>
      <c r="II32" s="139">
        <f t="shared" si="75"/>
        <v>0</v>
      </c>
      <c r="IJ32" s="139">
        <f t="shared" si="75"/>
        <v>0</v>
      </c>
      <c r="IK32" s="139">
        <f t="shared" si="75"/>
        <v>0</v>
      </c>
      <c r="IL32" s="139">
        <f t="shared" si="75"/>
        <v>0</v>
      </c>
      <c r="IM32" s="139">
        <f t="shared" si="75"/>
        <v>0</v>
      </c>
      <c r="IN32" s="139">
        <f t="shared" si="75"/>
        <v>0</v>
      </c>
      <c r="IO32" s="139">
        <f t="shared" si="75"/>
        <v>0</v>
      </c>
      <c r="IP32" s="139">
        <f t="shared" si="75"/>
        <v>0</v>
      </c>
      <c r="IQ32" s="139">
        <f t="shared" si="75"/>
        <v>0</v>
      </c>
      <c r="IR32" s="139">
        <f t="shared" si="75"/>
        <v>0</v>
      </c>
      <c r="IS32" s="139">
        <f t="shared" si="75"/>
        <v>0</v>
      </c>
      <c r="IT32" s="139">
        <f t="shared" si="75"/>
        <v>0</v>
      </c>
      <c r="IU32" s="139">
        <f t="shared" si="75"/>
        <v>0</v>
      </c>
      <c r="IV32" s="139">
        <f t="shared" si="75"/>
        <v>0</v>
      </c>
      <c r="IW32" s="139">
        <f t="shared" si="75"/>
        <v>0</v>
      </c>
      <c r="IX32" s="139">
        <f t="shared" si="75"/>
        <v>0</v>
      </c>
      <c r="IY32" s="139">
        <f t="shared" ref="IY32:JJ32" si="76">ROUND(+IY24+IY31,2)</f>
        <v>0</v>
      </c>
      <c r="IZ32" s="139">
        <f t="shared" si="76"/>
        <v>0</v>
      </c>
      <c r="JA32" s="139">
        <f t="shared" si="76"/>
        <v>0</v>
      </c>
      <c r="JB32" s="139">
        <f t="shared" si="76"/>
        <v>0</v>
      </c>
      <c r="JC32" s="139">
        <f t="shared" si="76"/>
        <v>0</v>
      </c>
      <c r="JD32" s="139">
        <f t="shared" si="76"/>
        <v>0</v>
      </c>
      <c r="JE32" s="139">
        <f t="shared" si="76"/>
        <v>0</v>
      </c>
      <c r="JF32" s="139">
        <f t="shared" si="76"/>
        <v>0</v>
      </c>
      <c r="JG32" s="139">
        <f t="shared" si="76"/>
        <v>0</v>
      </c>
      <c r="JH32" s="139">
        <f t="shared" si="76"/>
        <v>0</v>
      </c>
      <c r="JI32" s="139">
        <f t="shared" si="76"/>
        <v>0</v>
      </c>
      <c r="JJ32" s="139">
        <f t="shared" si="76"/>
        <v>0</v>
      </c>
      <c r="JK32" s="139">
        <f t="shared" si="75"/>
        <v>0</v>
      </c>
      <c r="JL32" s="139">
        <f t="shared" si="75"/>
        <v>0</v>
      </c>
      <c r="JM32" s="139">
        <f t="shared" si="75"/>
        <v>0</v>
      </c>
      <c r="JN32" s="139">
        <f t="shared" si="75"/>
        <v>0</v>
      </c>
      <c r="JO32" s="139">
        <f t="shared" ref="JO32:JU32" si="77">ROUND(+JO24+JO31,2)</f>
        <v>0</v>
      </c>
      <c r="JP32" s="139">
        <f t="shared" si="77"/>
        <v>0</v>
      </c>
      <c r="JQ32" s="139">
        <f t="shared" si="77"/>
        <v>0</v>
      </c>
      <c r="JR32" s="139">
        <f t="shared" si="77"/>
        <v>0</v>
      </c>
      <c r="JS32" s="139">
        <f t="shared" si="77"/>
        <v>0</v>
      </c>
      <c r="JT32" s="139">
        <f t="shared" si="77"/>
        <v>0</v>
      </c>
      <c r="JU32" s="139">
        <f t="shared" si="77"/>
        <v>0</v>
      </c>
      <c r="JV32" s="632"/>
      <c r="JW32" s="414"/>
      <c r="JX32" s="414"/>
      <c r="JY32" s="414"/>
      <c r="JZ32" s="414"/>
      <c r="KA32" s="414"/>
      <c r="KB32" s="414"/>
      <c r="KC32" s="414"/>
      <c r="KD32" s="414"/>
      <c r="KE32" s="414"/>
      <c r="KF32" s="414"/>
      <c r="KG32" s="414"/>
      <c r="KH32" s="414"/>
      <c r="KI32" s="633"/>
    </row>
    <row r="33" spans="1:295" s="73" customFormat="1" x14ac:dyDescent="0.2">
      <c r="D33" s="173"/>
      <c r="F33" s="164"/>
      <c r="G33" s="14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27"/>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27"/>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c r="IW33" s="139"/>
      <c r="IX33" s="139"/>
      <c r="IY33" s="139"/>
      <c r="IZ33" s="139"/>
      <c r="JA33" s="139"/>
      <c r="JB33" s="139"/>
      <c r="JC33" s="139"/>
      <c r="JD33" s="139"/>
      <c r="JE33" s="139"/>
      <c r="JF33" s="139"/>
      <c r="JG33" s="139"/>
      <c r="JH33" s="139"/>
      <c r="JI33" s="139"/>
      <c r="JJ33" s="139"/>
      <c r="JK33" s="139"/>
      <c r="JL33" s="139"/>
      <c r="JM33" s="139"/>
      <c r="JN33" s="139"/>
      <c r="JO33" s="139"/>
      <c r="JP33" s="139"/>
      <c r="JQ33" s="139"/>
      <c r="JR33" s="139"/>
      <c r="JS33" s="139"/>
      <c r="JT33" s="139"/>
      <c r="JU33" s="139"/>
      <c r="JV33" s="632"/>
      <c r="JW33" s="414"/>
      <c r="JX33" s="414"/>
      <c r="JY33" s="414"/>
      <c r="JZ33" s="414"/>
      <c r="KA33" s="414"/>
      <c r="KB33" s="414"/>
      <c r="KC33" s="414"/>
      <c r="KD33" s="414"/>
      <c r="KE33" s="414"/>
      <c r="KF33" s="414"/>
      <c r="KG33" s="414"/>
      <c r="KH33" s="414"/>
      <c r="KI33" s="633"/>
    </row>
    <row r="34" spans="1:295" s="73" customFormat="1" x14ac:dyDescent="0.2">
      <c r="A34" s="23" t="s">
        <v>268</v>
      </c>
      <c r="C34" s="174" t="s">
        <v>115</v>
      </c>
      <c r="D34" s="173"/>
      <c r="F34" s="164"/>
      <c r="G34" s="14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27"/>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27"/>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c r="IW34" s="139"/>
      <c r="IX34" s="139"/>
      <c r="IY34" s="139"/>
      <c r="IZ34" s="139"/>
      <c r="JA34" s="139"/>
      <c r="JB34" s="139"/>
      <c r="JC34" s="139"/>
      <c r="JD34" s="139"/>
      <c r="JE34" s="139"/>
      <c r="JF34" s="139"/>
      <c r="JG34" s="139"/>
      <c r="JH34" s="139"/>
      <c r="JI34" s="139"/>
      <c r="JJ34" s="139"/>
      <c r="JK34" s="139"/>
      <c r="JL34" s="139"/>
      <c r="JM34" s="139"/>
      <c r="JN34" s="139"/>
      <c r="JO34" s="139"/>
      <c r="JP34" s="139"/>
      <c r="JQ34" s="139"/>
      <c r="JR34" s="139"/>
      <c r="JS34" s="139"/>
      <c r="JT34" s="139"/>
      <c r="JU34" s="139"/>
      <c r="JV34" s="632"/>
      <c r="JW34" s="414"/>
      <c r="JX34" s="414"/>
      <c r="JY34" s="414"/>
      <c r="JZ34" s="414"/>
      <c r="KA34" s="414"/>
      <c r="KB34" s="414"/>
      <c r="KC34" s="414"/>
      <c r="KD34" s="414"/>
      <c r="KE34" s="414"/>
      <c r="KF34" s="414"/>
      <c r="KG34" s="414"/>
      <c r="KH34" s="414"/>
      <c r="KI34" s="633"/>
    </row>
    <row r="35" spans="1:295" s="73" customFormat="1" x14ac:dyDescent="0.2">
      <c r="B35" s="73" t="s">
        <v>104</v>
      </c>
      <c r="C35" s="174">
        <v>19100202</v>
      </c>
      <c r="D35" s="139">
        <v>0</v>
      </c>
      <c r="E35" s="139">
        <f t="shared" ref="E35:BP35" si="78">D43</f>
        <v>0</v>
      </c>
      <c r="F35" s="139">
        <f t="shared" si="78"/>
        <v>0</v>
      </c>
      <c r="G35" s="139">
        <f t="shared" si="78"/>
        <v>0</v>
      </c>
      <c r="H35" s="139">
        <f t="shared" si="78"/>
        <v>0</v>
      </c>
      <c r="I35" s="139">
        <f t="shared" si="78"/>
        <v>0</v>
      </c>
      <c r="J35" s="139">
        <f t="shared" si="78"/>
        <v>0</v>
      </c>
      <c r="K35" s="139">
        <f t="shared" si="78"/>
        <v>0</v>
      </c>
      <c r="L35" s="139">
        <f t="shared" si="78"/>
        <v>0</v>
      </c>
      <c r="M35" s="139">
        <f t="shared" si="78"/>
        <v>0</v>
      </c>
      <c r="N35" s="139">
        <f t="shared" si="78"/>
        <v>0</v>
      </c>
      <c r="O35" s="139">
        <f t="shared" si="78"/>
        <v>0</v>
      </c>
      <c r="P35" s="139">
        <f t="shared" si="78"/>
        <v>0</v>
      </c>
      <c r="Q35" s="139">
        <f t="shared" si="78"/>
        <v>0</v>
      </c>
      <c r="R35" s="139">
        <f t="shared" si="78"/>
        <v>0</v>
      </c>
      <c r="S35" s="139">
        <f t="shared" si="78"/>
        <v>0</v>
      </c>
      <c r="T35" s="139">
        <f t="shared" si="78"/>
        <v>0</v>
      </c>
      <c r="U35" s="139">
        <f t="shared" si="78"/>
        <v>0</v>
      </c>
      <c r="V35" s="139">
        <f t="shared" si="78"/>
        <v>0</v>
      </c>
      <c r="W35" s="139">
        <f t="shared" si="78"/>
        <v>0</v>
      </c>
      <c r="X35" s="139">
        <f t="shared" si="78"/>
        <v>0</v>
      </c>
      <c r="Y35" s="139">
        <f t="shared" si="78"/>
        <v>0</v>
      </c>
      <c r="Z35" s="139">
        <f t="shared" si="78"/>
        <v>0</v>
      </c>
      <c r="AA35" s="139">
        <f t="shared" si="78"/>
        <v>0</v>
      </c>
      <c r="AB35" s="139">
        <f t="shared" si="78"/>
        <v>0</v>
      </c>
      <c r="AC35" s="139">
        <f t="shared" si="78"/>
        <v>0</v>
      </c>
      <c r="AD35" s="139">
        <f t="shared" si="78"/>
        <v>0</v>
      </c>
      <c r="AE35" s="139">
        <f t="shared" si="78"/>
        <v>0</v>
      </c>
      <c r="AF35" s="139">
        <f t="shared" si="78"/>
        <v>0</v>
      </c>
      <c r="AG35" s="139">
        <f t="shared" si="78"/>
        <v>0</v>
      </c>
      <c r="AH35" s="139">
        <f t="shared" si="78"/>
        <v>0</v>
      </c>
      <c r="AI35" s="139">
        <f t="shared" si="78"/>
        <v>0</v>
      </c>
      <c r="AJ35" s="139">
        <f t="shared" si="78"/>
        <v>0</v>
      </c>
      <c r="AK35" s="139">
        <f t="shared" si="78"/>
        <v>0</v>
      </c>
      <c r="AL35" s="139">
        <f t="shared" si="78"/>
        <v>0</v>
      </c>
      <c r="AM35" s="139">
        <f t="shared" si="78"/>
        <v>0</v>
      </c>
      <c r="AN35" s="139">
        <f t="shared" si="78"/>
        <v>0</v>
      </c>
      <c r="AO35" s="139">
        <f t="shared" si="78"/>
        <v>0</v>
      </c>
      <c r="AP35" s="139">
        <f t="shared" si="78"/>
        <v>0</v>
      </c>
      <c r="AQ35" s="139">
        <f t="shared" si="78"/>
        <v>0</v>
      </c>
      <c r="AR35" s="139">
        <f t="shared" si="78"/>
        <v>0</v>
      </c>
      <c r="AS35" s="139">
        <f t="shared" si="78"/>
        <v>0</v>
      </c>
      <c r="AT35" s="139">
        <f t="shared" si="78"/>
        <v>0</v>
      </c>
      <c r="AU35" s="139">
        <f t="shared" si="78"/>
        <v>0</v>
      </c>
      <c r="AV35" s="139">
        <f t="shared" si="78"/>
        <v>0</v>
      </c>
      <c r="AW35" s="139">
        <f t="shared" si="78"/>
        <v>0</v>
      </c>
      <c r="AX35" s="139">
        <f t="shared" si="78"/>
        <v>0</v>
      </c>
      <c r="AY35" s="139">
        <f t="shared" si="78"/>
        <v>0</v>
      </c>
      <c r="AZ35" s="139">
        <f t="shared" si="78"/>
        <v>0</v>
      </c>
      <c r="BA35" s="139">
        <f t="shared" si="78"/>
        <v>0</v>
      </c>
      <c r="BB35" s="139">
        <f t="shared" si="78"/>
        <v>0</v>
      </c>
      <c r="BC35" s="139">
        <f t="shared" si="78"/>
        <v>0</v>
      </c>
      <c r="BD35" s="139">
        <f t="shared" si="78"/>
        <v>0</v>
      </c>
      <c r="BE35" s="139">
        <f t="shared" si="78"/>
        <v>0</v>
      </c>
      <c r="BF35" s="139">
        <f t="shared" si="78"/>
        <v>0</v>
      </c>
      <c r="BG35" s="139">
        <f t="shared" si="78"/>
        <v>0</v>
      </c>
      <c r="BH35" s="139">
        <f t="shared" si="78"/>
        <v>0</v>
      </c>
      <c r="BI35" s="139">
        <f t="shared" si="78"/>
        <v>0</v>
      </c>
      <c r="BJ35" s="139">
        <f t="shared" si="78"/>
        <v>0</v>
      </c>
      <c r="BK35" s="139">
        <f t="shared" si="78"/>
        <v>0</v>
      </c>
      <c r="BL35" s="139">
        <f t="shared" si="78"/>
        <v>0</v>
      </c>
      <c r="BM35" s="139">
        <f t="shared" si="78"/>
        <v>0</v>
      </c>
      <c r="BN35" s="139">
        <f t="shared" si="78"/>
        <v>0</v>
      </c>
      <c r="BO35" s="139">
        <f t="shared" si="78"/>
        <v>0</v>
      </c>
      <c r="BP35" s="139">
        <f t="shared" si="78"/>
        <v>0</v>
      </c>
      <c r="BQ35" s="139">
        <f t="shared" ref="BQ35" si="79">BP43</f>
        <v>0</v>
      </c>
      <c r="BR35" s="127">
        <f>ROUND(BQ43,2)</f>
        <v>0</v>
      </c>
      <c r="BS35" s="139">
        <f t="shared" ref="BS35:ED35" si="80">ROUND(BR43,2)</f>
        <v>0</v>
      </c>
      <c r="BT35" s="139">
        <f t="shared" si="80"/>
        <v>0</v>
      </c>
      <c r="BU35" s="139">
        <f t="shared" si="80"/>
        <v>0</v>
      </c>
      <c r="BV35" s="139">
        <f t="shared" si="80"/>
        <v>0</v>
      </c>
      <c r="BW35" s="139">
        <f t="shared" si="80"/>
        <v>0</v>
      </c>
      <c r="BX35" s="139">
        <f t="shared" si="80"/>
        <v>0</v>
      </c>
      <c r="BY35" s="139">
        <f t="shared" si="80"/>
        <v>0</v>
      </c>
      <c r="BZ35" s="139">
        <f t="shared" si="80"/>
        <v>0</v>
      </c>
      <c r="CA35" s="139">
        <f t="shared" si="80"/>
        <v>0</v>
      </c>
      <c r="CB35" s="139">
        <f t="shared" si="80"/>
        <v>0</v>
      </c>
      <c r="CC35" s="139">
        <f t="shared" si="80"/>
        <v>0</v>
      </c>
      <c r="CD35" s="139">
        <f t="shared" si="80"/>
        <v>0</v>
      </c>
      <c r="CE35" s="139">
        <f t="shared" si="80"/>
        <v>0</v>
      </c>
      <c r="CF35" s="139">
        <f t="shared" si="80"/>
        <v>0</v>
      </c>
      <c r="CG35" s="139">
        <f t="shared" si="80"/>
        <v>0</v>
      </c>
      <c r="CH35" s="139">
        <f t="shared" si="80"/>
        <v>0</v>
      </c>
      <c r="CI35" s="139">
        <f t="shared" si="80"/>
        <v>0</v>
      </c>
      <c r="CJ35" s="139">
        <f t="shared" si="80"/>
        <v>0</v>
      </c>
      <c r="CK35" s="139">
        <f t="shared" si="80"/>
        <v>0</v>
      </c>
      <c r="CL35" s="139">
        <f t="shared" si="80"/>
        <v>0</v>
      </c>
      <c r="CM35" s="139">
        <f t="shared" si="80"/>
        <v>0</v>
      </c>
      <c r="CN35" s="139">
        <f t="shared" si="80"/>
        <v>0</v>
      </c>
      <c r="CO35" s="127">
        <f t="shared" si="80"/>
        <v>0</v>
      </c>
      <c r="CP35" s="139">
        <f t="shared" si="80"/>
        <v>0</v>
      </c>
      <c r="CQ35" s="139">
        <f t="shared" si="80"/>
        <v>0</v>
      </c>
      <c r="CR35" s="139">
        <f t="shared" si="80"/>
        <v>0</v>
      </c>
      <c r="CS35" s="139">
        <f t="shared" si="80"/>
        <v>0</v>
      </c>
      <c r="CT35" s="139">
        <f t="shared" si="80"/>
        <v>0</v>
      </c>
      <c r="CU35" s="139">
        <f t="shared" si="80"/>
        <v>0</v>
      </c>
      <c r="CV35" s="139">
        <f t="shared" si="80"/>
        <v>0</v>
      </c>
      <c r="CW35" s="139">
        <f t="shared" si="80"/>
        <v>0</v>
      </c>
      <c r="CX35" s="139">
        <f t="shared" si="80"/>
        <v>0</v>
      </c>
      <c r="CY35" s="139">
        <f t="shared" si="80"/>
        <v>0</v>
      </c>
      <c r="CZ35" s="139">
        <f t="shared" si="80"/>
        <v>0</v>
      </c>
      <c r="DA35" s="139">
        <f t="shared" si="80"/>
        <v>0</v>
      </c>
      <c r="DB35" s="139">
        <f t="shared" si="80"/>
        <v>0</v>
      </c>
      <c r="DC35" s="139">
        <f t="shared" si="80"/>
        <v>0</v>
      </c>
      <c r="DD35" s="139">
        <f t="shared" si="80"/>
        <v>0</v>
      </c>
      <c r="DE35" s="139">
        <f t="shared" si="80"/>
        <v>0</v>
      </c>
      <c r="DF35" s="139">
        <f t="shared" si="80"/>
        <v>0</v>
      </c>
      <c r="DG35" s="139">
        <f t="shared" si="80"/>
        <v>0</v>
      </c>
      <c r="DH35" s="139">
        <f t="shared" si="80"/>
        <v>0</v>
      </c>
      <c r="DI35" s="139">
        <f t="shared" si="80"/>
        <v>0</v>
      </c>
      <c r="DJ35" s="139">
        <f t="shared" si="80"/>
        <v>0</v>
      </c>
      <c r="DK35" s="139">
        <f t="shared" si="80"/>
        <v>0</v>
      </c>
      <c r="DL35" s="139">
        <f t="shared" si="80"/>
        <v>0</v>
      </c>
      <c r="DM35" s="139">
        <f t="shared" si="80"/>
        <v>0</v>
      </c>
      <c r="DN35" s="139">
        <f t="shared" si="80"/>
        <v>0</v>
      </c>
      <c r="DO35" s="139">
        <f t="shared" si="80"/>
        <v>0</v>
      </c>
      <c r="DP35" s="139">
        <f t="shared" si="80"/>
        <v>0</v>
      </c>
      <c r="DQ35" s="139">
        <f t="shared" si="80"/>
        <v>0</v>
      </c>
      <c r="DR35" s="139">
        <f t="shared" si="80"/>
        <v>0</v>
      </c>
      <c r="DS35" s="139">
        <f t="shared" si="80"/>
        <v>0</v>
      </c>
      <c r="DT35" s="139">
        <f t="shared" si="80"/>
        <v>0</v>
      </c>
      <c r="DU35" s="139">
        <f t="shared" si="80"/>
        <v>0</v>
      </c>
      <c r="DV35" s="139">
        <f t="shared" si="80"/>
        <v>0</v>
      </c>
      <c r="DW35" s="139">
        <f t="shared" si="80"/>
        <v>0</v>
      </c>
      <c r="DX35" s="139">
        <f t="shared" si="80"/>
        <v>0</v>
      </c>
      <c r="DY35" s="139">
        <f t="shared" si="80"/>
        <v>0</v>
      </c>
      <c r="DZ35" s="139">
        <f t="shared" si="80"/>
        <v>0</v>
      </c>
      <c r="EA35" s="139">
        <f t="shared" si="80"/>
        <v>0</v>
      </c>
      <c r="EB35" s="139">
        <f t="shared" si="80"/>
        <v>0</v>
      </c>
      <c r="EC35" s="139">
        <f t="shared" si="80"/>
        <v>0</v>
      </c>
      <c r="ED35" s="139">
        <f t="shared" si="80"/>
        <v>0</v>
      </c>
      <c r="EE35" s="139">
        <f t="shared" ref="EE35:GP35" si="81">ROUND(ED43,2)</f>
        <v>0</v>
      </c>
      <c r="EF35" s="139">
        <f t="shared" si="81"/>
        <v>0</v>
      </c>
      <c r="EG35" s="139">
        <f t="shared" si="81"/>
        <v>0</v>
      </c>
      <c r="EH35" s="139">
        <f t="shared" si="81"/>
        <v>0</v>
      </c>
      <c r="EI35" s="139">
        <f t="shared" si="81"/>
        <v>0</v>
      </c>
      <c r="EJ35" s="139">
        <f t="shared" si="81"/>
        <v>0</v>
      </c>
      <c r="EK35" s="139">
        <f t="shared" si="81"/>
        <v>0</v>
      </c>
      <c r="EL35" s="139">
        <f t="shared" si="81"/>
        <v>0</v>
      </c>
      <c r="EM35" s="139">
        <f t="shared" si="81"/>
        <v>0</v>
      </c>
      <c r="EN35" s="139">
        <f t="shared" si="81"/>
        <v>0</v>
      </c>
      <c r="EO35" s="139">
        <f t="shared" si="81"/>
        <v>0</v>
      </c>
      <c r="EP35" s="139">
        <f t="shared" si="81"/>
        <v>0</v>
      </c>
      <c r="EQ35" s="139">
        <f t="shared" si="81"/>
        <v>0</v>
      </c>
      <c r="ER35" s="139">
        <f t="shared" si="81"/>
        <v>0</v>
      </c>
      <c r="ES35" s="139">
        <f t="shared" si="81"/>
        <v>0</v>
      </c>
      <c r="ET35" s="139">
        <f t="shared" si="81"/>
        <v>0</v>
      </c>
      <c r="EU35" s="139">
        <f t="shared" si="81"/>
        <v>0</v>
      </c>
      <c r="EV35" s="139">
        <f t="shared" si="81"/>
        <v>0</v>
      </c>
      <c r="EW35" s="139">
        <f t="shared" si="81"/>
        <v>0</v>
      </c>
      <c r="EX35" s="139">
        <f t="shared" si="81"/>
        <v>0</v>
      </c>
      <c r="EY35" s="139">
        <f t="shared" si="81"/>
        <v>0</v>
      </c>
      <c r="EZ35" s="139">
        <f t="shared" si="81"/>
        <v>0</v>
      </c>
      <c r="FA35" s="139">
        <f t="shared" si="81"/>
        <v>0</v>
      </c>
      <c r="FB35" s="139">
        <f t="shared" si="81"/>
        <v>0</v>
      </c>
      <c r="FC35" s="139">
        <f t="shared" si="81"/>
        <v>0</v>
      </c>
      <c r="FD35" s="139">
        <f t="shared" si="81"/>
        <v>0</v>
      </c>
      <c r="FE35" s="139">
        <f t="shared" si="81"/>
        <v>0</v>
      </c>
      <c r="FF35" s="139">
        <f t="shared" si="81"/>
        <v>0</v>
      </c>
      <c r="FG35" s="139">
        <f t="shared" si="81"/>
        <v>0</v>
      </c>
      <c r="FH35" s="139">
        <f t="shared" si="81"/>
        <v>0</v>
      </c>
      <c r="FI35" s="139">
        <f t="shared" si="81"/>
        <v>0</v>
      </c>
      <c r="FJ35" s="139">
        <f t="shared" si="81"/>
        <v>0</v>
      </c>
      <c r="FK35" s="139">
        <f t="shared" si="81"/>
        <v>0</v>
      </c>
      <c r="FL35" s="139">
        <f t="shared" si="81"/>
        <v>0</v>
      </c>
      <c r="FM35" s="139">
        <f t="shared" si="81"/>
        <v>0</v>
      </c>
      <c r="FN35" s="139">
        <f t="shared" si="81"/>
        <v>0</v>
      </c>
      <c r="FO35" s="139">
        <f t="shared" si="81"/>
        <v>0</v>
      </c>
      <c r="FP35" s="139">
        <f t="shared" si="81"/>
        <v>0</v>
      </c>
      <c r="FQ35" s="139">
        <f t="shared" si="81"/>
        <v>0</v>
      </c>
      <c r="FR35" s="139">
        <f t="shared" si="81"/>
        <v>0</v>
      </c>
      <c r="FS35" s="139">
        <f t="shared" si="81"/>
        <v>0</v>
      </c>
      <c r="FT35" s="139">
        <f t="shared" si="81"/>
        <v>0</v>
      </c>
      <c r="FU35" s="139">
        <f t="shared" si="81"/>
        <v>0</v>
      </c>
      <c r="FV35" s="139">
        <f t="shared" si="81"/>
        <v>0</v>
      </c>
      <c r="FW35" s="139">
        <f t="shared" si="81"/>
        <v>0</v>
      </c>
      <c r="FX35" s="139">
        <f t="shared" si="81"/>
        <v>0</v>
      </c>
      <c r="FY35" s="139">
        <f t="shared" si="81"/>
        <v>0</v>
      </c>
      <c r="FZ35" s="139">
        <f t="shared" si="81"/>
        <v>0</v>
      </c>
      <c r="GA35" s="139">
        <f t="shared" si="81"/>
        <v>0</v>
      </c>
      <c r="GB35" s="139">
        <f t="shared" si="81"/>
        <v>0</v>
      </c>
      <c r="GC35" s="139">
        <f t="shared" si="81"/>
        <v>0</v>
      </c>
      <c r="GD35" s="139">
        <f t="shared" si="81"/>
        <v>0</v>
      </c>
      <c r="GE35" s="139">
        <f t="shared" si="81"/>
        <v>0</v>
      </c>
      <c r="GF35" s="139">
        <f t="shared" si="81"/>
        <v>0</v>
      </c>
      <c r="GG35" s="139">
        <f t="shared" si="81"/>
        <v>0</v>
      </c>
      <c r="GH35" s="139">
        <f t="shared" si="81"/>
        <v>0</v>
      </c>
      <c r="GI35" s="139">
        <f t="shared" si="81"/>
        <v>0</v>
      </c>
      <c r="GJ35" s="139">
        <f t="shared" si="81"/>
        <v>0</v>
      </c>
      <c r="GK35" s="139">
        <f t="shared" si="81"/>
        <v>0</v>
      </c>
      <c r="GL35" s="139">
        <f t="shared" si="81"/>
        <v>0</v>
      </c>
      <c r="GM35" s="139">
        <f t="shared" si="81"/>
        <v>0</v>
      </c>
      <c r="GN35" s="139">
        <f t="shared" si="81"/>
        <v>0</v>
      </c>
      <c r="GO35" s="139">
        <f t="shared" si="81"/>
        <v>0</v>
      </c>
      <c r="GP35" s="139">
        <f t="shared" si="81"/>
        <v>0</v>
      </c>
      <c r="GQ35" s="139">
        <f t="shared" ref="GQ35:JN35" si="82">ROUND(GP43,2)</f>
        <v>0</v>
      </c>
      <c r="GR35" s="139">
        <f t="shared" si="82"/>
        <v>0</v>
      </c>
      <c r="GS35" s="139">
        <f t="shared" si="82"/>
        <v>0</v>
      </c>
      <c r="GT35" s="139">
        <f t="shared" si="82"/>
        <v>0</v>
      </c>
      <c r="GU35" s="139">
        <f t="shared" si="82"/>
        <v>0</v>
      </c>
      <c r="GV35" s="139">
        <f t="shared" si="82"/>
        <v>0</v>
      </c>
      <c r="GW35" s="139">
        <f t="shared" si="82"/>
        <v>0</v>
      </c>
      <c r="GX35" s="139">
        <f t="shared" si="82"/>
        <v>0</v>
      </c>
      <c r="GY35" s="139">
        <f t="shared" si="82"/>
        <v>0</v>
      </c>
      <c r="GZ35" s="139">
        <f t="shared" si="82"/>
        <v>0</v>
      </c>
      <c r="HA35" s="139">
        <f t="shared" si="82"/>
        <v>0</v>
      </c>
      <c r="HB35" s="139">
        <f t="shared" si="82"/>
        <v>0</v>
      </c>
      <c r="HC35" s="139">
        <f t="shared" si="82"/>
        <v>0</v>
      </c>
      <c r="HD35" s="139">
        <f t="shared" si="82"/>
        <v>0</v>
      </c>
      <c r="HE35" s="139">
        <f t="shared" si="82"/>
        <v>0</v>
      </c>
      <c r="HF35" s="139">
        <f t="shared" si="82"/>
        <v>0</v>
      </c>
      <c r="HG35" s="139">
        <f t="shared" si="82"/>
        <v>0</v>
      </c>
      <c r="HH35" s="139">
        <f t="shared" si="82"/>
        <v>0</v>
      </c>
      <c r="HI35" s="139">
        <f t="shared" si="82"/>
        <v>0</v>
      </c>
      <c r="HJ35" s="139">
        <f t="shared" si="82"/>
        <v>0</v>
      </c>
      <c r="HK35" s="139">
        <f t="shared" si="82"/>
        <v>0</v>
      </c>
      <c r="HL35" s="139">
        <f t="shared" si="82"/>
        <v>0</v>
      </c>
      <c r="HM35" s="139">
        <f t="shared" si="82"/>
        <v>0</v>
      </c>
      <c r="HN35" s="139">
        <f t="shared" si="82"/>
        <v>0</v>
      </c>
      <c r="HO35" s="139">
        <f t="shared" si="82"/>
        <v>0</v>
      </c>
      <c r="HP35" s="139">
        <f t="shared" si="82"/>
        <v>0</v>
      </c>
      <c r="HQ35" s="139">
        <f t="shared" si="82"/>
        <v>108928627.33</v>
      </c>
      <c r="HR35" s="139">
        <f t="shared" si="82"/>
        <v>101576407.79000001</v>
      </c>
      <c r="HS35" s="139">
        <f t="shared" si="82"/>
        <v>94033135.959999993</v>
      </c>
      <c r="HT35" s="139">
        <f t="shared" si="82"/>
        <v>87074750.140000001</v>
      </c>
      <c r="HU35" s="139">
        <f t="shared" si="82"/>
        <v>80470575.859999999</v>
      </c>
      <c r="HV35" s="139">
        <f t="shared" si="82"/>
        <v>76604602.140000001</v>
      </c>
      <c r="HW35" s="139">
        <f t="shared" si="82"/>
        <v>74260229.439999998</v>
      </c>
      <c r="HX35" s="139">
        <f t="shared" si="82"/>
        <v>72194626.469999999</v>
      </c>
      <c r="HY35" s="139">
        <f t="shared" si="82"/>
        <v>70782032</v>
      </c>
      <c r="HZ35" s="139">
        <f t="shared" si="82"/>
        <v>69442289.890000001</v>
      </c>
      <c r="IA35" s="139">
        <f t="shared" si="82"/>
        <v>67842064.510000005</v>
      </c>
      <c r="IB35" s="139">
        <f t="shared" si="82"/>
        <v>66501318.399999999</v>
      </c>
      <c r="IC35" s="139">
        <f t="shared" si="82"/>
        <v>64071939.090000004</v>
      </c>
      <c r="ID35" s="139">
        <f t="shared" si="82"/>
        <v>61203582.020000003</v>
      </c>
      <c r="IE35" s="139">
        <f t="shared" si="82"/>
        <v>58284598.490000002</v>
      </c>
      <c r="IF35" s="139">
        <f t="shared" si="82"/>
        <v>55155571.630000003</v>
      </c>
      <c r="IG35" s="139">
        <f t="shared" si="82"/>
        <v>52459536.270000003</v>
      </c>
      <c r="IH35" s="139">
        <f t="shared" si="82"/>
        <v>50896852.969999999</v>
      </c>
      <c r="II35" s="139">
        <f t="shared" si="82"/>
        <v>49816644.350000001</v>
      </c>
      <c r="IJ35" s="139">
        <f t="shared" si="82"/>
        <v>49149520.340000004</v>
      </c>
      <c r="IK35" s="139">
        <f t="shared" si="82"/>
        <v>48678217.609999999</v>
      </c>
      <c r="IL35" s="139">
        <f t="shared" si="82"/>
        <v>48173243.189999998</v>
      </c>
      <c r="IM35" s="139">
        <f t="shared" si="82"/>
        <v>47435174.380000003</v>
      </c>
      <c r="IN35" s="139">
        <f t="shared" si="82"/>
        <v>45851110.719999999</v>
      </c>
      <c r="IO35" s="139">
        <f t="shared" si="82"/>
        <v>43519654.579999998</v>
      </c>
      <c r="IP35" s="139">
        <f t="shared" si="82"/>
        <v>40041201.520000003</v>
      </c>
      <c r="IQ35" s="139">
        <f t="shared" si="82"/>
        <v>36529949.719999999</v>
      </c>
      <c r="IR35" s="139">
        <f t="shared" si="82"/>
        <v>33654203.140000001</v>
      </c>
      <c r="IS35" s="139">
        <f t="shared" si="82"/>
        <v>31145068.280000001</v>
      </c>
      <c r="IT35" s="139">
        <f t="shared" si="82"/>
        <v>28980977.940000001</v>
      </c>
      <c r="IU35" s="139">
        <f t="shared" si="82"/>
        <v>27486921.670000002</v>
      </c>
      <c r="IV35" s="139">
        <f t="shared" si="82"/>
        <v>26565060.510000002</v>
      </c>
      <c r="IW35" s="139">
        <f t="shared" si="82"/>
        <v>25915236.030000001</v>
      </c>
      <c r="IX35" s="139">
        <f t="shared" si="82"/>
        <v>25410987.510000002</v>
      </c>
      <c r="IY35" s="139">
        <f t="shared" ref="IY35" si="83">ROUND(IX43,2)</f>
        <v>24801019.34</v>
      </c>
      <c r="IZ35" s="139">
        <f t="shared" ref="IZ35" si="84">ROUND(IY43,2)</f>
        <v>23645589.300000001</v>
      </c>
      <c r="JA35" s="139">
        <f t="shared" ref="JA35" si="85">ROUND(IZ43,2)</f>
        <v>20641557.600000001</v>
      </c>
      <c r="JB35" s="139">
        <f t="shared" ref="JB35" si="86">ROUND(JA43,2)</f>
        <v>17014598.239999998</v>
      </c>
      <c r="JC35" s="139">
        <f t="shared" ref="JC35" si="87">ROUND(JB43,2)</f>
        <v>13810711.529999999</v>
      </c>
      <c r="JD35" s="139">
        <f t="shared" ref="JD35" si="88">ROUND(JC43,2)</f>
        <v>10654182.99</v>
      </c>
      <c r="JE35" s="139">
        <f t="shared" ref="JE35" si="89">ROUND(JD43,2)</f>
        <v>7742084.5</v>
      </c>
      <c r="JF35" s="139">
        <f t="shared" ref="JF35" si="90">ROUND(JE43,2)</f>
        <v>5433807.0199999996</v>
      </c>
      <c r="JG35" s="139">
        <f t="shared" ref="JG35" si="91">ROUND(JF43,2)</f>
        <v>4444968.95</v>
      </c>
      <c r="JH35" s="139">
        <f t="shared" ref="JH35" si="92">ROUND(JG43,2)</f>
        <v>3601316.7</v>
      </c>
      <c r="JI35" s="139">
        <f t="shared" ref="JI35" si="93">ROUND(JH43,2)</f>
        <v>2978530.3</v>
      </c>
      <c r="JJ35" s="139">
        <f t="shared" ref="JJ35" si="94">ROUND(JI43,2)</f>
        <v>2336386.41</v>
      </c>
      <c r="JK35" s="139">
        <f>ROUND(JJ43,2)</f>
        <v>1501080.11</v>
      </c>
      <c r="JL35" s="139">
        <f t="shared" si="82"/>
        <v>1430272.5</v>
      </c>
      <c r="JM35" s="139">
        <f t="shared" si="82"/>
        <v>-25013815.02</v>
      </c>
      <c r="JN35" s="139">
        <f t="shared" si="82"/>
        <v>-21503837.129999999</v>
      </c>
      <c r="JO35" s="139">
        <f t="shared" ref="JO35:JU35" si="95">ROUND(JN43,2)</f>
        <v>-17027751.260000002</v>
      </c>
      <c r="JP35" s="139">
        <f t="shared" si="95"/>
        <v>-13577278.93</v>
      </c>
      <c r="JQ35" s="139">
        <f t="shared" si="95"/>
        <v>-10293553.51</v>
      </c>
      <c r="JR35" s="139">
        <f t="shared" si="95"/>
        <v>-7836185.2699999996</v>
      </c>
      <c r="JS35" s="139">
        <f t="shared" si="95"/>
        <v>-6169142.0899999999</v>
      </c>
      <c r="JT35" s="139">
        <f t="shared" si="95"/>
        <v>-5035455.6900000004</v>
      </c>
      <c r="JU35" s="139">
        <f t="shared" si="95"/>
        <v>-4250414.0599999996</v>
      </c>
      <c r="JV35" s="632"/>
      <c r="JW35" s="414"/>
      <c r="JX35" s="414"/>
      <c r="JY35" s="414"/>
      <c r="JZ35" s="414"/>
      <c r="KA35" s="414"/>
      <c r="KB35" s="414"/>
      <c r="KC35" s="414"/>
      <c r="KD35" s="414"/>
      <c r="KE35" s="414"/>
      <c r="KF35" s="414"/>
      <c r="KG35" s="414"/>
      <c r="KH35" s="414"/>
      <c r="KI35" s="633"/>
    </row>
    <row r="36" spans="1:295" s="73" customFormat="1" x14ac:dyDescent="0.2">
      <c r="B36" s="73" t="s">
        <v>105</v>
      </c>
      <c r="D36" s="173"/>
      <c r="F36" s="164"/>
      <c r="G36" s="14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27"/>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27"/>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43"/>
      <c r="HK36" s="143"/>
      <c r="HL36" s="143"/>
      <c r="HM36" s="143"/>
      <c r="HN36" s="143"/>
      <c r="HO36" s="143"/>
      <c r="HP36" s="143">
        <v>114366684.45</v>
      </c>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f>-SUM(IN82+IN103)</f>
        <v>0</v>
      </c>
      <c r="IO36" s="143"/>
      <c r="IP36" s="143"/>
      <c r="IQ36" s="143"/>
      <c r="IR36" s="143"/>
      <c r="IS36" s="143"/>
      <c r="IT36" s="143"/>
      <c r="IU36" s="143"/>
      <c r="IV36" s="143"/>
      <c r="IW36" s="143"/>
      <c r="IX36" s="143"/>
      <c r="IY36" s="143"/>
      <c r="IZ36" s="143"/>
      <c r="JA36" s="143"/>
      <c r="JB36" s="143"/>
      <c r="JC36" s="143"/>
      <c r="JD36" s="143"/>
      <c r="JE36" s="143"/>
      <c r="JF36" s="143"/>
      <c r="JG36" s="143"/>
      <c r="JH36" s="143"/>
      <c r="JI36" s="143"/>
      <c r="JJ36" s="143"/>
      <c r="JK36" s="139"/>
      <c r="JL36" s="145">
        <v>-29635204.120000001</v>
      </c>
      <c r="JM36" s="143"/>
      <c r="JN36" s="143"/>
      <c r="JO36" s="143"/>
      <c r="JP36" s="143"/>
      <c r="JQ36" s="143"/>
      <c r="JR36" s="139"/>
      <c r="JS36" s="143"/>
      <c r="JT36" s="143"/>
      <c r="JU36" s="143"/>
      <c r="JV36" s="636"/>
      <c r="JW36" s="415"/>
      <c r="JX36" s="413"/>
      <c r="JY36" s="415"/>
      <c r="JZ36" s="415"/>
      <c r="KA36" s="415"/>
      <c r="KB36" s="415"/>
      <c r="KC36" s="415"/>
      <c r="KD36" s="415"/>
      <c r="KE36" s="415"/>
      <c r="KF36" s="415"/>
      <c r="KG36" s="415"/>
      <c r="KH36" s="415"/>
      <c r="KI36" s="637"/>
    </row>
    <row r="37" spans="1:295" s="73" customFormat="1" x14ac:dyDescent="0.2">
      <c r="B37" s="73" t="s">
        <v>112</v>
      </c>
      <c r="D37" s="173"/>
      <c r="F37" s="164"/>
      <c r="G37" s="14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27"/>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27"/>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c r="IW37" s="139"/>
      <c r="IX37" s="139"/>
      <c r="IY37" s="139"/>
      <c r="IZ37" s="139"/>
      <c r="JA37" s="139"/>
      <c r="JB37" s="139"/>
      <c r="JC37" s="139"/>
      <c r="JD37" s="139"/>
      <c r="JE37" s="139"/>
      <c r="JF37" s="139"/>
      <c r="JG37" s="139"/>
      <c r="JH37" s="139"/>
      <c r="JI37" s="139"/>
      <c r="JJ37" s="139"/>
      <c r="JK37" s="139"/>
      <c r="JL37" s="145"/>
      <c r="JM37" s="139"/>
      <c r="JN37" s="139"/>
      <c r="JO37" s="139"/>
      <c r="JP37" s="139"/>
      <c r="JQ37" s="139"/>
      <c r="JR37" s="139"/>
      <c r="JS37" s="139"/>
      <c r="JT37" s="139"/>
      <c r="JU37" s="139"/>
      <c r="JV37" s="632"/>
      <c r="JW37" s="414"/>
      <c r="JX37" s="414"/>
      <c r="JY37" s="414"/>
      <c r="JZ37" s="414"/>
      <c r="KA37" s="414"/>
      <c r="KB37" s="414"/>
      <c r="KC37" s="414"/>
      <c r="KD37" s="414"/>
      <c r="KE37" s="414"/>
      <c r="KF37" s="414"/>
      <c r="KG37" s="414"/>
      <c r="KH37" s="414"/>
      <c r="KI37" s="633"/>
    </row>
    <row r="38" spans="1:295" s="73" customFormat="1" x14ac:dyDescent="0.2">
      <c r="B38" s="73" t="s">
        <v>113</v>
      </c>
      <c r="D38" s="173"/>
      <c r="F38" s="164"/>
      <c r="G38" s="14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27"/>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27"/>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45"/>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c r="IW38" s="139"/>
      <c r="IX38" s="139"/>
      <c r="IY38" s="139"/>
      <c r="IZ38" s="139"/>
      <c r="JA38" s="139"/>
      <c r="JB38" s="139"/>
      <c r="JC38" s="139"/>
      <c r="JD38" s="139"/>
      <c r="JE38" s="139"/>
      <c r="JF38" s="139"/>
      <c r="JG38" s="139"/>
      <c r="JH38" s="139"/>
      <c r="JI38" s="139"/>
      <c r="JJ38" s="139"/>
      <c r="JK38" s="139"/>
      <c r="JL38" s="145"/>
      <c r="JM38" s="139"/>
      <c r="JN38" s="139"/>
      <c r="JO38" s="139"/>
      <c r="JP38" s="139"/>
      <c r="JQ38" s="139"/>
      <c r="JR38" s="139"/>
      <c r="JS38" s="139"/>
      <c r="JT38" s="139"/>
      <c r="JU38" s="139"/>
      <c r="JV38" s="632"/>
      <c r="JW38" s="414"/>
      <c r="JX38" s="414"/>
      <c r="JY38" s="414"/>
      <c r="JZ38" s="414"/>
      <c r="KA38" s="414"/>
      <c r="KB38" s="414"/>
      <c r="KC38" s="414"/>
      <c r="KD38" s="414"/>
      <c r="KE38" s="414"/>
      <c r="KF38" s="414"/>
      <c r="KG38" s="414"/>
      <c r="KH38" s="414"/>
      <c r="KI38" s="633"/>
    </row>
    <row r="39" spans="1:295" s="73" customFormat="1" x14ac:dyDescent="0.2">
      <c r="B39" s="73" t="s">
        <v>114</v>
      </c>
      <c r="D39" s="173"/>
      <c r="F39" s="164"/>
      <c r="G39" s="14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27"/>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27"/>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43"/>
      <c r="HK39" s="143"/>
      <c r="HL39" s="143"/>
      <c r="HM39" s="143"/>
      <c r="HN39" s="143"/>
      <c r="HO39" s="143"/>
      <c r="HP39" s="143">
        <v>-5933440</v>
      </c>
      <c r="HQ39" s="143">
        <v>-7831599</v>
      </c>
      <c r="HR39" s="143">
        <v>-7948704</v>
      </c>
      <c r="HS39" s="143">
        <v>-7308617</v>
      </c>
      <c r="HT39" s="143">
        <v>-6947646</v>
      </c>
      <c r="HU39" s="143">
        <v>-4163374</v>
      </c>
      <c r="HV39" s="143">
        <v>-2638012</v>
      </c>
      <c r="HW39" s="143">
        <v>-2340246</v>
      </c>
      <c r="HX39" s="143">
        <v>-1611770</v>
      </c>
      <c r="HY39" s="15">
        <v>-1534346</v>
      </c>
      <c r="HZ39" s="15">
        <v>-1783916</v>
      </c>
      <c r="IA39" s="15">
        <v>-1516006</v>
      </c>
      <c r="IB39" s="15">
        <v>-2593462</v>
      </c>
      <c r="IC39" s="15">
        <v>-3029982</v>
      </c>
      <c r="ID39" s="15">
        <v>-3072181</v>
      </c>
      <c r="IE39" s="15">
        <v>-3259876</v>
      </c>
      <c r="IF39" s="15">
        <v>-2832118</v>
      </c>
      <c r="IG39" s="15">
        <v>-1688554</v>
      </c>
      <c r="IH39" s="15">
        <v>-1206274</v>
      </c>
      <c r="II39" s="15">
        <v>-786547</v>
      </c>
      <c r="IJ39" s="15">
        <v>-592796</v>
      </c>
      <c r="IK39" s="15">
        <v>-624783</v>
      </c>
      <c r="IL39" s="15">
        <v>-852045</v>
      </c>
      <c r="IM39" s="15">
        <v>-1698171</v>
      </c>
      <c r="IN39" s="15">
        <v>-2436363</v>
      </c>
      <c r="IO39" s="15">
        <v>-3578302</v>
      </c>
      <c r="IP39" s="15">
        <v>-3601189</v>
      </c>
      <c r="IQ39" s="15">
        <v>-2949249</v>
      </c>
      <c r="IR39" s="15">
        <v>-2582533</v>
      </c>
      <c r="IS39" s="15">
        <v>-2228830</v>
      </c>
      <c r="IT39" s="15">
        <v>-1555728</v>
      </c>
      <c r="IU39" s="15">
        <v>-978273</v>
      </c>
      <c r="IV39" s="15">
        <v>-711805</v>
      </c>
      <c r="IW39" s="15">
        <v>-564300</v>
      </c>
      <c r="IX39" s="15">
        <v>-666277</v>
      </c>
      <c r="IY39" s="15">
        <v>-1230678</v>
      </c>
      <c r="IZ39" s="15">
        <v>-3068006</v>
      </c>
      <c r="JA39" s="15">
        <v>-3678683</v>
      </c>
      <c r="JB39" s="15">
        <v>-3251898</v>
      </c>
      <c r="JC39" s="15">
        <v>-3185076</v>
      </c>
      <c r="JD39" s="15">
        <v>-2926569</v>
      </c>
      <c r="JE39" s="15">
        <v>-2309183</v>
      </c>
      <c r="JF39" s="15">
        <v>-979488</v>
      </c>
      <c r="JG39" s="15">
        <v>-829151</v>
      </c>
      <c r="JH39" s="15">
        <v>-601879</v>
      </c>
      <c r="JI39" s="15">
        <v>-617080</v>
      </c>
      <c r="JJ39" s="145">
        <v>-806379</v>
      </c>
      <c r="JK39" s="145">
        <v>-36874</v>
      </c>
      <c r="JL39" s="145">
        <v>3414957</v>
      </c>
      <c r="JM39" s="145">
        <v>3715528</v>
      </c>
      <c r="JN39" s="145">
        <v>4654787</v>
      </c>
      <c r="JO39" s="145">
        <v>3590904</v>
      </c>
      <c r="JP39" s="145">
        <v>3407836</v>
      </c>
      <c r="JQ39" s="145">
        <v>2557195</v>
      </c>
      <c r="JR39" s="145">
        <v>1754636</v>
      </c>
      <c r="JS39" s="145">
        <v>1208415</v>
      </c>
      <c r="JT39" s="145">
        <v>854806</v>
      </c>
      <c r="JU39" s="395">
        <v>764359</v>
      </c>
      <c r="JV39" s="634"/>
      <c r="JW39" s="413"/>
      <c r="JX39" s="413"/>
      <c r="JY39" s="413"/>
      <c r="JZ39" s="413"/>
      <c r="KA39" s="413"/>
      <c r="KB39" s="413"/>
      <c r="KC39" s="413"/>
      <c r="KD39" s="413"/>
      <c r="KE39" s="413"/>
      <c r="KF39" s="413"/>
      <c r="KG39" s="413"/>
      <c r="KH39" s="413"/>
      <c r="KI39" s="635"/>
    </row>
    <row r="40" spans="1:295" s="73" customFormat="1" x14ac:dyDescent="0.2">
      <c r="B40" s="24" t="s">
        <v>107</v>
      </c>
      <c r="D40" s="173"/>
      <c r="F40" s="164"/>
      <c r="G40" s="14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27"/>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27"/>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43"/>
      <c r="HK40" s="143"/>
      <c r="HL40" s="143"/>
      <c r="HM40" s="143"/>
      <c r="HN40" s="143"/>
      <c r="HO40" s="143"/>
      <c r="HP40" s="143"/>
      <c r="HQ40" s="143"/>
      <c r="HR40" s="143"/>
      <c r="HS40" s="143"/>
      <c r="HT40" s="143"/>
      <c r="HU40" s="143"/>
      <c r="HV40" s="143">
        <v>0</v>
      </c>
      <c r="HW40" s="143">
        <v>0</v>
      </c>
      <c r="HX40" s="143">
        <v>0</v>
      </c>
      <c r="HY40" s="15">
        <v>0</v>
      </c>
      <c r="HZ40" s="15">
        <v>0</v>
      </c>
      <c r="IA40" s="15">
        <v>0</v>
      </c>
      <c r="IB40" s="15">
        <v>0</v>
      </c>
      <c r="IC40" s="15">
        <v>0</v>
      </c>
      <c r="ID40" s="15">
        <v>0</v>
      </c>
      <c r="IE40" s="15">
        <v>0</v>
      </c>
      <c r="IF40" s="15">
        <v>0</v>
      </c>
      <c r="IG40" s="15">
        <v>0</v>
      </c>
      <c r="IH40" s="15">
        <v>0</v>
      </c>
      <c r="II40" s="15">
        <v>0</v>
      </c>
      <c r="IJ40" s="15">
        <v>0</v>
      </c>
      <c r="IK40" s="15">
        <v>0</v>
      </c>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45"/>
      <c r="JK40" s="145"/>
      <c r="JL40" s="145"/>
      <c r="JM40" s="145"/>
      <c r="JN40" s="145"/>
      <c r="JO40" s="145"/>
      <c r="JP40" s="145"/>
      <c r="JQ40" s="145"/>
      <c r="JR40" s="145"/>
      <c r="JS40" s="145"/>
      <c r="JT40" s="145"/>
      <c r="JU40" s="143"/>
      <c r="JV40" s="636"/>
      <c r="JW40" s="415"/>
      <c r="JX40" s="415"/>
      <c r="JY40" s="415"/>
      <c r="JZ40" s="415"/>
      <c r="KA40" s="415"/>
      <c r="KB40" s="415"/>
      <c r="KC40" s="415"/>
      <c r="KD40" s="415"/>
      <c r="KE40" s="415"/>
      <c r="KF40" s="415"/>
      <c r="KG40" s="415"/>
      <c r="KH40" s="415"/>
      <c r="KI40" s="637"/>
    </row>
    <row r="41" spans="1:295" s="73" customFormat="1" x14ac:dyDescent="0.2">
      <c r="B41" s="24" t="s">
        <v>71</v>
      </c>
      <c r="D41" s="173"/>
      <c r="F41" s="164"/>
      <c r="G41" s="14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27"/>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27"/>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43"/>
      <c r="HK41" s="143"/>
      <c r="HL41" s="143"/>
      <c r="HM41" s="143"/>
      <c r="HN41" s="143"/>
      <c r="HO41" s="143"/>
      <c r="HP41" s="143">
        <v>495382.88</v>
      </c>
      <c r="HQ41" s="143">
        <v>479379.46</v>
      </c>
      <c r="HR41" s="143">
        <v>405432.17</v>
      </c>
      <c r="HS41" s="143">
        <v>350231.18</v>
      </c>
      <c r="HT41" s="143">
        <v>343471.72</v>
      </c>
      <c r="HU41" s="143">
        <v>297400.28000000003</v>
      </c>
      <c r="HV41" s="143">
        <v>293639.3</v>
      </c>
      <c r="HW41" s="143">
        <v>274643.03000000003</v>
      </c>
      <c r="HX41" s="143">
        <v>199175.53</v>
      </c>
      <c r="HY41" s="15">
        <v>194603.89</v>
      </c>
      <c r="HZ41" s="15">
        <v>183690.62</v>
      </c>
      <c r="IA41" s="15">
        <v>175259.89</v>
      </c>
      <c r="IB41" s="15">
        <v>164082.69</v>
      </c>
      <c r="IC41" s="15">
        <v>161624.93</v>
      </c>
      <c r="ID41" s="15">
        <v>153197.47</v>
      </c>
      <c r="IE41" s="15">
        <v>130849.14</v>
      </c>
      <c r="IF41" s="15">
        <v>136082.64000000001</v>
      </c>
      <c r="IG41" s="15">
        <v>125870.7</v>
      </c>
      <c r="IH41" s="15">
        <v>126065.38</v>
      </c>
      <c r="II41" s="15">
        <v>119422.99</v>
      </c>
      <c r="IJ41" s="15">
        <v>121493.27</v>
      </c>
      <c r="IK41" s="15">
        <v>119808.58</v>
      </c>
      <c r="IL41" s="15">
        <v>113976.19</v>
      </c>
      <c r="IM41" s="15">
        <v>114107.34</v>
      </c>
      <c r="IN41" s="15">
        <v>104906.86</v>
      </c>
      <c r="IO41" s="15">
        <v>99848.94</v>
      </c>
      <c r="IP41" s="15">
        <v>89937.2</v>
      </c>
      <c r="IQ41" s="15">
        <v>73502.42</v>
      </c>
      <c r="IR41" s="15">
        <v>73398.14</v>
      </c>
      <c r="IS41" s="15">
        <v>64739.66</v>
      </c>
      <c r="IT41" s="15">
        <v>61671.73</v>
      </c>
      <c r="IU41" s="15">
        <v>56411.839999999997</v>
      </c>
      <c r="IV41" s="15">
        <v>61980.52</v>
      </c>
      <c r="IW41" s="15">
        <v>60051.48</v>
      </c>
      <c r="IX41" s="15">
        <v>56308.83</v>
      </c>
      <c r="IY41" s="15">
        <v>75247.960000000006</v>
      </c>
      <c r="IZ41" s="15">
        <v>63974.3</v>
      </c>
      <c r="JA41" s="15">
        <v>51723.64</v>
      </c>
      <c r="JB41" s="15">
        <v>48011.29</v>
      </c>
      <c r="JC41" s="15">
        <v>28547.46</v>
      </c>
      <c r="JD41" s="15">
        <v>14470.51</v>
      </c>
      <c r="JE41" s="15">
        <v>905.52</v>
      </c>
      <c r="JF41" s="15">
        <v>-9350.07</v>
      </c>
      <c r="JG41" s="15">
        <v>-14501.25</v>
      </c>
      <c r="JH41" s="15">
        <v>-20907.400000000001</v>
      </c>
      <c r="JI41" s="15">
        <v>-25063.89</v>
      </c>
      <c r="JJ41" s="145">
        <v>-28927.3</v>
      </c>
      <c r="JK41" s="145">
        <v>-33933.61</v>
      </c>
      <c r="JL41" s="145">
        <v>-223840.4</v>
      </c>
      <c r="JM41" s="145">
        <v>-205550.11</v>
      </c>
      <c r="JN41" s="145">
        <v>-178701.13</v>
      </c>
      <c r="JO41" s="145">
        <v>-140431.67000000001</v>
      </c>
      <c r="JP41" s="145">
        <v>-124110.58</v>
      </c>
      <c r="JQ41" s="145">
        <v>-99826.76</v>
      </c>
      <c r="JR41" s="145">
        <v>-87592.82</v>
      </c>
      <c r="JS41" s="145">
        <v>-74728.600000000006</v>
      </c>
      <c r="JT41" s="145">
        <v>-69764.37</v>
      </c>
      <c r="JU41" s="395">
        <v>-63951.44</v>
      </c>
      <c r="JV41" s="634"/>
      <c r="JW41" s="413"/>
      <c r="JX41" s="413"/>
      <c r="JY41" s="413"/>
      <c r="JZ41" s="413"/>
      <c r="KA41" s="413"/>
      <c r="KB41" s="413"/>
      <c r="KC41" s="413"/>
      <c r="KD41" s="413"/>
      <c r="KE41" s="413"/>
      <c r="KF41" s="413"/>
      <c r="KG41" s="413"/>
      <c r="KH41" s="413"/>
      <c r="KI41" s="635"/>
    </row>
    <row r="42" spans="1:295" s="73" customFormat="1" x14ac:dyDescent="0.2">
      <c r="B42" s="73" t="s">
        <v>108</v>
      </c>
      <c r="D42" s="156">
        <f t="shared" ref="D42:BO42" si="96">SUM(D36:D41)</f>
        <v>0</v>
      </c>
      <c r="E42" s="156">
        <f t="shared" si="96"/>
        <v>0</v>
      </c>
      <c r="F42" s="156">
        <f t="shared" si="96"/>
        <v>0</v>
      </c>
      <c r="G42" s="156">
        <f t="shared" si="96"/>
        <v>0</v>
      </c>
      <c r="H42" s="156">
        <f t="shared" si="96"/>
        <v>0</v>
      </c>
      <c r="I42" s="156">
        <f t="shared" si="96"/>
        <v>0</v>
      </c>
      <c r="J42" s="156">
        <f t="shared" si="96"/>
        <v>0</v>
      </c>
      <c r="K42" s="156">
        <f t="shared" si="96"/>
        <v>0</v>
      </c>
      <c r="L42" s="156">
        <f t="shared" si="96"/>
        <v>0</v>
      </c>
      <c r="M42" s="156">
        <f t="shared" si="96"/>
        <v>0</v>
      </c>
      <c r="N42" s="156">
        <f t="shared" si="96"/>
        <v>0</v>
      </c>
      <c r="O42" s="156">
        <f t="shared" si="96"/>
        <v>0</v>
      </c>
      <c r="P42" s="156">
        <f t="shared" si="96"/>
        <v>0</v>
      </c>
      <c r="Q42" s="156">
        <f t="shared" si="96"/>
        <v>0</v>
      </c>
      <c r="R42" s="156">
        <f t="shared" si="96"/>
        <v>0</v>
      </c>
      <c r="S42" s="156">
        <f t="shared" si="96"/>
        <v>0</v>
      </c>
      <c r="T42" s="156">
        <f t="shared" si="96"/>
        <v>0</v>
      </c>
      <c r="U42" s="156">
        <f t="shared" si="96"/>
        <v>0</v>
      </c>
      <c r="V42" s="156">
        <f t="shared" si="96"/>
        <v>0</v>
      </c>
      <c r="W42" s="156">
        <f t="shared" si="96"/>
        <v>0</v>
      </c>
      <c r="X42" s="156">
        <f t="shared" si="96"/>
        <v>0</v>
      </c>
      <c r="Y42" s="156">
        <f t="shared" si="96"/>
        <v>0</v>
      </c>
      <c r="Z42" s="156">
        <f t="shared" si="96"/>
        <v>0</v>
      </c>
      <c r="AA42" s="156">
        <f t="shared" si="96"/>
        <v>0</v>
      </c>
      <c r="AB42" s="156">
        <f t="shared" si="96"/>
        <v>0</v>
      </c>
      <c r="AC42" s="156">
        <f t="shared" si="96"/>
        <v>0</v>
      </c>
      <c r="AD42" s="156">
        <f t="shared" si="96"/>
        <v>0</v>
      </c>
      <c r="AE42" s="156">
        <f t="shared" si="96"/>
        <v>0</v>
      </c>
      <c r="AF42" s="156">
        <f t="shared" si="96"/>
        <v>0</v>
      </c>
      <c r="AG42" s="156">
        <f t="shared" si="96"/>
        <v>0</v>
      </c>
      <c r="AH42" s="156">
        <f t="shared" si="96"/>
        <v>0</v>
      </c>
      <c r="AI42" s="156">
        <f t="shared" si="96"/>
        <v>0</v>
      </c>
      <c r="AJ42" s="156">
        <f t="shared" si="96"/>
        <v>0</v>
      </c>
      <c r="AK42" s="156">
        <f t="shared" si="96"/>
        <v>0</v>
      </c>
      <c r="AL42" s="156">
        <f t="shared" si="96"/>
        <v>0</v>
      </c>
      <c r="AM42" s="156">
        <f t="shared" si="96"/>
        <v>0</v>
      </c>
      <c r="AN42" s="156">
        <f t="shared" si="96"/>
        <v>0</v>
      </c>
      <c r="AO42" s="156">
        <f t="shared" si="96"/>
        <v>0</v>
      </c>
      <c r="AP42" s="156">
        <f t="shared" si="96"/>
        <v>0</v>
      </c>
      <c r="AQ42" s="156">
        <f t="shared" si="96"/>
        <v>0</v>
      </c>
      <c r="AR42" s="156">
        <f t="shared" si="96"/>
        <v>0</v>
      </c>
      <c r="AS42" s="156">
        <f t="shared" si="96"/>
        <v>0</v>
      </c>
      <c r="AT42" s="156">
        <f t="shared" si="96"/>
        <v>0</v>
      </c>
      <c r="AU42" s="156">
        <f t="shared" si="96"/>
        <v>0</v>
      </c>
      <c r="AV42" s="156">
        <f t="shared" si="96"/>
        <v>0</v>
      </c>
      <c r="AW42" s="156">
        <f t="shared" si="96"/>
        <v>0</v>
      </c>
      <c r="AX42" s="156">
        <f t="shared" si="96"/>
        <v>0</v>
      </c>
      <c r="AY42" s="156">
        <f t="shared" si="96"/>
        <v>0</v>
      </c>
      <c r="AZ42" s="156">
        <f t="shared" si="96"/>
        <v>0</v>
      </c>
      <c r="BA42" s="156">
        <f t="shared" si="96"/>
        <v>0</v>
      </c>
      <c r="BB42" s="156">
        <f t="shared" si="96"/>
        <v>0</v>
      </c>
      <c r="BC42" s="156">
        <f t="shared" si="96"/>
        <v>0</v>
      </c>
      <c r="BD42" s="156">
        <f t="shared" si="96"/>
        <v>0</v>
      </c>
      <c r="BE42" s="156">
        <f t="shared" si="96"/>
        <v>0</v>
      </c>
      <c r="BF42" s="156">
        <f t="shared" si="96"/>
        <v>0</v>
      </c>
      <c r="BG42" s="156">
        <f t="shared" si="96"/>
        <v>0</v>
      </c>
      <c r="BH42" s="156">
        <f t="shared" si="96"/>
        <v>0</v>
      </c>
      <c r="BI42" s="156">
        <f t="shared" si="96"/>
        <v>0</v>
      </c>
      <c r="BJ42" s="156">
        <f t="shared" si="96"/>
        <v>0</v>
      </c>
      <c r="BK42" s="156">
        <f t="shared" si="96"/>
        <v>0</v>
      </c>
      <c r="BL42" s="156">
        <f t="shared" si="96"/>
        <v>0</v>
      </c>
      <c r="BM42" s="156">
        <f t="shared" si="96"/>
        <v>0</v>
      </c>
      <c r="BN42" s="156">
        <f t="shared" si="96"/>
        <v>0</v>
      </c>
      <c r="BO42" s="156">
        <f t="shared" si="96"/>
        <v>0</v>
      </c>
      <c r="BP42" s="156">
        <f t="shared" ref="BP42:BQ42" si="97">SUM(BP36:BP41)</f>
        <v>0</v>
      </c>
      <c r="BQ42" s="156">
        <f t="shared" si="97"/>
        <v>0</v>
      </c>
      <c r="BR42" s="154">
        <f>ROUND(SUM(BR36:BR41),2)</f>
        <v>0</v>
      </c>
      <c r="BS42" s="156">
        <f t="shared" ref="BS42:ED42" si="98">ROUND(SUM(BS36:BS41),2)</f>
        <v>0</v>
      </c>
      <c r="BT42" s="156">
        <f t="shared" si="98"/>
        <v>0</v>
      </c>
      <c r="BU42" s="156">
        <f t="shared" si="98"/>
        <v>0</v>
      </c>
      <c r="BV42" s="156">
        <f t="shared" si="98"/>
        <v>0</v>
      </c>
      <c r="BW42" s="156">
        <f t="shared" si="98"/>
        <v>0</v>
      </c>
      <c r="BX42" s="156">
        <f t="shared" si="98"/>
        <v>0</v>
      </c>
      <c r="BY42" s="156">
        <f t="shared" si="98"/>
        <v>0</v>
      </c>
      <c r="BZ42" s="156">
        <f t="shared" si="98"/>
        <v>0</v>
      </c>
      <c r="CA42" s="156">
        <f t="shared" si="98"/>
        <v>0</v>
      </c>
      <c r="CB42" s="156">
        <f t="shared" si="98"/>
        <v>0</v>
      </c>
      <c r="CC42" s="156">
        <f t="shared" si="98"/>
        <v>0</v>
      </c>
      <c r="CD42" s="156">
        <f t="shared" si="98"/>
        <v>0</v>
      </c>
      <c r="CE42" s="156">
        <f t="shared" si="98"/>
        <v>0</v>
      </c>
      <c r="CF42" s="156">
        <f t="shared" si="98"/>
        <v>0</v>
      </c>
      <c r="CG42" s="156">
        <f t="shared" si="98"/>
        <v>0</v>
      </c>
      <c r="CH42" s="156">
        <f t="shared" si="98"/>
        <v>0</v>
      </c>
      <c r="CI42" s="156">
        <f t="shared" si="98"/>
        <v>0</v>
      </c>
      <c r="CJ42" s="156">
        <f t="shared" si="98"/>
        <v>0</v>
      </c>
      <c r="CK42" s="156">
        <f t="shared" si="98"/>
        <v>0</v>
      </c>
      <c r="CL42" s="156">
        <f t="shared" si="98"/>
        <v>0</v>
      </c>
      <c r="CM42" s="156">
        <f t="shared" si="98"/>
        <v>0</v>
      </c>
      <c r="CN42" s="156">
        <f t="shared" si="98"/>
        <v>0</v>
      </c>
      <c r="CO42" s="154">
        <f t="shared" si="98"/>
        <v>0</v>
      </c>
      <c r="CP42" s="156">
        <f t="shared" si="98"/>
        <v>0</v>
      </c>
      <c r="CQ42" s="156">
        <f t="shared" si="98"/>
        <v>0</v>
      </c>
      <c r="CR42" s="156">
        <f t="shared" si="98"/>
        <v>0</v>
      </c>
      <c r="CS42" s="156">
        <f t="shared" si="98"/>
        <v>0</v>
      </c>
      <c r="CT42" s="156">
        <f t="shared" si="98"/>
        <v>0</v>
      </c>
      <c r="CU42" s="156">
        <f t="shared" si="98"/>
        <v>0</v>
      </c>
      <c r="CV42" s="156">
        <f t="shared" si="98"/>
        <v>0</v>
      </c>
      <c r="CW42" s="156">
        <f t="shared" si="98"/>
        <v>0</v>
      </c>
      <c r="CX42" s="156">
        <f t="shared" si="98"/>
        <v>0</v>
      </c>
      <c r="CY42" s="156">
        <f t="shared" si="98"/>
        <v>0</v>
      </c>
      <c r="CZ42" s="156">
        <f t="shared" si="98"/>
        <v>0</v>
      </c>
      <c r="DA42" s="156">
        <f t="shared" si="98"/>
        <v>0</v>
      </c>
      <c r="DB42" s="156">
        <f t="shared" si="98"/>
        <v>0</v>
      </c>
      <c r="DC42" s="156">
        <f t="shared" si="98"/>
        <v>0</v>
      </c>
      <c r="DD42" s="156">
        <f t="shared" si="98"/>
        <v>0</v>
      </c>
      <c r="DE42" s="156">
        <f t="shared" si="98"/>
        <v>0</v>
      </c>
      <c r="DF42" s="156">
        <f t="shared" si="98"/>
        <v>0</v>
      </c>
      <c r="DG42" s="156">
        <f t="shared" si="98"/>
        <v>0</v>
      </c>
      <c r="DH42" s="156">
        <f t="shared" si="98"/>
        <v>0</v>
      </c>
      <c r="DI42" s="156">
        <f t="shared" si="98"/>
        <v>0</v>
      </c>
      <c r="DJ42" s="156">
        <f t="shared" si="98"/>
        <v>0</v>
      </c>
      <c r="DK42" s="156">
        <f t="shared" si="98"/>
        <v>0</v>
      </c>
      <c r="DL42" s="156">
        <f t="shared" si="98"/>
        <v>0</v>
      </c>
      <c r="DM42" s="156">
        <f t="shared" si="98"/>
        <v>0</v>
      </c>
      <c r="DN42" s="156">
        <f t="shared" si="98"/>
        <v>0</v>
      </c>
      <c r="DO42" s="156">
        <f t="shared" si="98"/>
        <v>0</v>
      </c>
      <c r="DP42" s="156">
        <f t="shared" si="98"/>
        <v>0</v>
      </c>
      <c r="DQ42" s="156">
        <f t="shared" si="98"/>
        <v>0</v>
      </c>
      <c r="DR42" s="156">
        <f t="shared" si="98"/>
        <v>0</v>
      </c>
      <c r="DS42" s="156">
        <f t="shared" si="98"/>
        <v>0</v>
      </c>
      <c r="DT42" s="156">
        <f t="shared" si="98"/>
        <v>0</v>
      </c>
      <c r="DU42" s="156">
        <f t="shared" si="98"/>
        <v>0</v>
      </c>
      <c r="DV42" s="156">
        <f t="shared" si="98"/>
        <v>0</v>
      </c>
      <c r="DW42" s="156">
        <f t="shared" si="98"/>
        <v>0</v>
      </c>
      <c r="DX42" s="156">
        <f t="shared" si="98"/>
        <v>0</v>
      </c>
      <c r="DY42" s="156">
        <f t="shared" si="98"/>
        <v>0</v>
      </c>
      <c r="DZ42" s="156">
        <f t="shared" si="98"/>
        <v>0</v>
      </c>
      <c r="EA42" s="156">
        <f t="shared" si="98"/>
        <v>0</v>
      </c>
      <c r="EB42" s="156">
        <f t="shared" si="98"/>
        <v>0</v>
      </c>
      <c r="EC42" s="156">
        <f t="shared" si="98"/>
        <v>0</v>
      </c>
      <c r="ED42" s="156">
        <f t="shared" si="98"/>
        <v>0</v>
      </c>
      <c r="EE42" s="156">
        <f t="shared" ref="EE42:GP42" si="99">ROUND(SUM(EE36:EE41),2)</f>
        <v>0</v>
      </c>
      <c r="EF42" s="156">
        <f t="shared" si="99"/>
        <v>0</v>
      </c>
      <c r="EG42" s="156">
        <f t="shared" si="99"/>
        <v>0</v>
      </c>
      <c r="EH42" s="156">
        <f t="shared" si="99"/>
        <v>0</v>
      </c>
      <c r="EI42" s="156">
        <f t="shared" si="99"/>
        <v>0</v>
      </c>
      <c r="EJ42" s="156">
        <f t="shared" si="99"/>
        <v>0</v>
      </c>
      <c r="EK42" s="156">
        <f t="shared" si="99"/>
        <v>0</v>
      </c>
      <c r="EL42" s="156">
        <f t="shared" si="99"/>
        <v>0</v>
      </c>
      <c r="EM42" s="156">
        <f t="shared" si="99"/>
        <v>0</v>
      </c>
      <c r="EN42" s="156">
        <f t="shared" si="99"/>
        <v>0</v>
      </c>
      <c r="EO42" s="156">
        <f t="shared" si="99"/>
        <v>0</v>
      </c>
      <c r="EP42" s="156">
        <f t="shared" si="99"/>
        <v>0</v>
      </c>
      <c r="EQ42" s="156">
        <f t="shared" si="99"/>
        <v>0</v>
      </c>
      <c r="ER42" s="156">
        <f t="shared" si="99"/>
        <v>0</v>
      </c>
      <c r="ES42" s="156">
        <f t="shared" si="99"/>
        <v>0</v>
      </c>
      <c r="ET42" s="156">
        <f t="shared" si="99"/>
        <v>0</v>
      </c>
      <c r="EU42" s="156">
        <f t="shared" si="99"/>
        <v>0</v>
      </c>
      <c r="EV42" s="156">
        <f t="shared" si="99"/>
        <v>0</v>
      </c>
      <c r="EW42" s="156">
        <f t="shared" si="99"/>
        <v>0</v>
      </c>
      <c r="EX42" s="156">
        <f t="shared" si="99"/>
        <v>0</v>
      </c>
      <c r="EY42" s="156">
        <f t="shared" si="99"/>
        <v>0</v>
      </c>
      <c r="EZ42" s="156">
        <f t="shared" si="99"/>
        <v>0</v>
      </c>
      <c r="FA42" s="156">
        <f t="shared" si="99"/>
        <v>0</v>
      </c>
      <c r="FB42" s="156">
        <f t="shared" si="99"/>
        <v>0</v>
      </c>
      <c r="FC42" s="156">
        <f t="shared" si="99"/>
        <v>0</v>
      </c>
      <c r="FD42" s="156">
        <f t="shared" si="99"/>
        <v>0</v>
      </c>
      <c r="FE42" s="156">
        <f t="shared" si="99"/>
        <v>0</v>
      </c>
      <c r="FF42" s="156">
        <f t="shared" si="99"/>
        <v>0</v>
      </c>
      <c r="FG42" s="156">
        <f t="shared" si="99"/>
        <v>0</v>
      </c>
      <c r="FH42" s="156">
        <f t="shared" si="99"/>
        <v>0</v>
      </c>
      <c r="FI42" s="156">
        <f t="shared" si="99"/>
        <v>0</v>
      </c>
      <c r="FJ42" s="156">
        <f t="shared" si="99"/>
        <v>0</v>
      </c>
      <c r="FK42" s="156">
        <f t="shared" si="99"/>
        <v>0</v>
      </c>
      <c r="FL42" s="156">
        <f t="shared" si="99"/>
        <v>0</v>
      </c>
      <c r="FM42" s="156">
        <f t="shared" si="99"/>
        <v>0</v>
      </c>
      <c r="FN42" s="156">
        <f t="shared" si="99"/>
        <v>0</v>
      </c>
      <c r="FO42" s="156">
        <f t="shared" si="99"/>
        <v>0</v>
      </c>
      <c r="FP42" s="156">
        <f t="shared" si="99"/>
        <v>0</v>
      </c>
      <c r="FQ42" s="156">
        <f t="shared" si="99"/>
        <v>0</v>
      </c>
      <c r="FR42" s="156">
        <f t="shared" si="99"/>
        <v>0</v>
      </c>
      <c r="FS42" s="156">
        <f t="shared" si="99"/>
        <v>0</v>
      </c>
      <c r="FT42" s="156">
        <f t="shared" si="99"/>
        <v>0</v>
      </c>
      <c r="FU42" s="156">
        <f t="shared" si="99"/>
        <v>0</v>
      </c>
      <c r="FV42" s="156">
        <f t="shared" si="99"/>
        <v>0</v>
      </c>
      <c r="FW42" s="156">
        <f t="shared" si="99"/>
        <v>0</v>
      </c>
      <c r="FX42" s="156">
        <f t="shared" si="99"/>
        <v>0</v>
      </c>
      <c r="FY42" s="156">
        <f t="shared" si="99"/>
        <v>0</v>
      </c>
      <c r="FZ42" s="156">
        <f t="shared" si="99"/>
        <v>0</v>
      </c>
      <c r="GA42" s="156">
        <f t="shared" si="99"/>
        <v>0</v>
      </c>
      <c r="GB42" s="156">
        <f t="shared" si="99"/>
        <v>0</v>
      </c>
      <c r="GC42" s="156">
        <f t="shared" si="99"/>
        <v>0</v>
      </c>
      <c r="GD42" s="156">
        <f t="shared" si="99"/>
        <v>0</v>
      </c>
      <c r="GE42" s="156">
        <f t="shared" si="99"/>
        <v>0</v>
      </c>
      <c r="GF42" s="156">
        <f t="shared" si="99"/>
        <v>0</v>
      </c>
      <c r="GG42" s="156">
        <f t="shared" si="99"/>
        <v>0</v>
      </c>
      <c r="GH42" s="156">
        <f t="shared" si="99"/>
        <v>0</v>
      </c>
      <c r="GI42" s="156">
        <f t="shared" si="99"/>
        <v>0</v>
      </c>
      <c r="GJ42" s="156">
        <f t="shared" si="99"/>
        <v>0</v>
      </c>
      <c r="GK42" s="156">
        <f t="shared" si="99"/>
        <v>0</v>
      </c>
      <c r="GL42" s="156">
        <f t="shared" si="99"/>
        <v>0</v>
      </c>
      <c r="GM42" s="156">
        <f t="shared" si="99"/>
        <v>0</v>
      </c>
      <c r="GN42" s="156">
        <f t="shared" si="99"/>
        <v>0</v>
      </c>
      <c r="GO42" s="156">
        <f t="shared" si="99"/>
        <v>0</v>
      </c>
      <c r="GP42" s="156">
        <f t="shared" si="99"/>
        <v>0</v>
      </c>
      <c r="GQ42" s="156">
        <f t="shared" ref="GQ42:JN42" si="100">ROUND(SUM(GQ36:GQ41),2)</f>
        <v>0</v>
      </c>
      <c r="GR42" s="156">
        <f t="shared" si="100"/>
        <v>0</v>
      </c>
      <c r="GS42" s="156">
        <f t="shared" si="100"/>
        <v>0</v>
      </c>
      <c r="GT42" s="156">
        <f t="shared" si="100"/>
        <v>0</v>
      </c>
      <c r="GU42" s="156">
        <f t="shared" si="100"/>
        <v>0</v>
      </c>
      <c r="GV42" s="156">
        <f t="shared" si="100"/>
        <v>0</v>
      </c>
      <c r="GW42" s="156">
        <f t="shared" si="100"/>
        <v>0</v>
      </c>
      <c r="GX42" s="156">
        <f t="shared" si="100"/>
        <v>0</v>
      </c>
      <c r="GY42" s="156">
        <f t="shared" si="100"/>
        <v>0</v>
      </c>
      <c r="GZ42" s="156">
        <f t="shared" si="100"/>
        <v>0</v>
      </c>
      <c r="HA42" s="156">
        <f t="shared" si="100"/>
        <v>0</v>
      </c>
      <c r="HB42" s="156">
        <f t="shared" si="100"/>
        <v>0</v>
      </c>
      <c r="HC42" s="156">
        <f t="shared" si="100"/>
        <v>0</v>
      </c>
      <c r="HD42" s="156">
        <f t="shared" si="100"/>
        <v>0</v>
      </c>
      <c r="HE42" s="156">
        <f t="shared" si="100"/>
        <v>0</v>
      </c>
      <c r="HF42" s="156">
        <f t="shared" si="100"/>
        <v>0</v>
      </c>
      <c r="HG42" s="156">
        <f t="shared" si="100"/>
        <v>0</v>
      </c>
      <c r="HH42" s="156">
        <f t="shared" si="100"/>
        <v>0</v>
      </c>
      <c r="HI42" s="156">
        <f t="shared" si="100"/>
        <v>0</v>
      </c>
      <c r="HJ42" s="156">
        <f t="shared" si="100"/>
        <v>0</v>
      </c>
      <c r="HK42" s="156">
        <f t="shared" si="100"/>
        <v>0</v>
      </c>
      <c r="HL42" s="156">
        <f t="shared" si="100"/>
        <v>0</v>
      </c>
      <c r="HM42" s="156">
        <f t="shared" si="100"/>
        <v>0</v>
      </c>
      <c r="HN42" s="156">
        <f t="shared" si="100"/>
        <v>0</v>
      </c>
      <c r="HO42" s="156">
        <f t="shared" si="100"/>
        <v>0</v>
      </c>
      <c r="HP42" s="156">
        <f t="shared" si="100"/>
        <v>108928627.33</v>
      </c>
      <c r="HQ42" s="156">
        <f t="shared" si="100"/>
        <v>-7352219.54</v>
      </c>
      <c r="HR42" s="156">
        <f t="shared" si="100"/>
        <v>-7543271.8300000001</v>
      </c>
      <c r="HS42" s="156">
        <f t="shared" si="100"/>
        <v>-6958385.8200000003</v>
      </c>
      <c r="HT42" s="156">
        <f t="shared" si="100"/>
        <v>-6604174.2800000003</v>
      </c>
      <c r="HU42" s="156">
        <f t="shared" si="100"/>
        <v>-3865973.72</v>
      </c>
      <c r="HV42" s="156">
        <f t="shared" si="100"/>
        <v>-2344372.7000000002</v>
      </c>
      <c r="HW42" s="156">
        <f t="shared" si="100"/>
        <v>-2065602.97</v>
      </c>
      <c r="HX42" s="156">
        <f t="shared" si="100"/>
        <v>-1412594.47</v>
      </c>
      <c r="HY42" s="156">
        <f t="shared" si="100"/>
        <v>-1339742.1100000001</v>
      </c>
      <c r="HZ42" s="156">
        <f t="shared" si="100"/>
        <v>-1600225.38</v>
      </c>
      <c r="IA42" s="156">
        <f t="shared" si="100"/>
        <v>-1340746.1100000001</v>
      </c>
      <c r="IB42" s="156">
        <f t="shared" si="100"/>
        <v>-2429379.31</v>
      </c>
      <c r="IC42" s="156">
        <f t="shared" si="100"/>
        <v>-2868357.07</v>
      </c>
      <c r="ID42" s="156">
        <f t="shared" si="100"/>
        <v>-2918983.53</v>
      </c>
      <c r="IE42" s="156">
        <f t="shared" si="100"/>
        <v>-3129026.86</v>
      </c>
      <c r="IF42" s="156">
        <f t="shared" si="100"/>
        <v>-2696035.36</v>
      </c>
      <c r="IG42" s="156">
        <f t="shared" si="100"/>
        <v>-1562683.3</v>
      </c>
      <c r="IH42" s="156">
        <f t="shared" si="100"/>
        <v>-1080208.6200000001</v>
      </c>
      <c r="II42" s="156">
        <f t="shared" si="100"/>
        <v>-667124.01</v>
      </c>
      <c r="IJ42" s="156">
        <f t="shared" si="100"/>
        <v>-471302.73</v>
      </c>
      <c r="IK42" s="156">
        <f t="shared" si="100"/>
        <v>-504974.42</v>
      </c>
      <c r="IL42" s="156">
        <f t="shared" si="100"/>
        <v>-738068.81</v>
      </c>
      <c r="IM42" s="156">
        <f t="shared" si="100"/>
        <v>-1584063.66</v>
      </c>
      <c r="IN42" s="156">
        <f t="shared" si="100"/>
        <v>-2331456.14</v>
      </c>
      <c r="IO42" s="156">
        <f t="shared" si="100"/>
        <v>-3478453.06</v>
      </c>
      <c r="IP42" s="156">
        <f t="shared" si="100"/>
        <v>-3511251.8</v>
      </c>
      <c r="IQ42" s="156">
        <f t="shared" si="100"/>
        <v>-2875746.58</v>
      </c>
      <c r="IR42" s="156">
        <f t="shared" si="100"/>
        <v>-2509134.86</v>
      </c>
      <c r="IS42" s="156">
        <f t="shared" si="100"/>
        <v>-2164090.34</v>
      </c>
      <c r="IT42" s="156">
        <f t="shared" si="100"/>
        <v>-1494056.27</v>
      </c>
      <c r="IU42" s="156">
        <f t="shared" si="100"/>
        <v>-921861.16</v>
      </c>
      <c r="IV42" s="156">
        <f t="shared" si="100"/>
        <v>-649824.48</v>
      </c>
      <c r="IW42" s="156">
        <f t="shared" si="100"/>
        <v>-504248.52</v>
      </c>
      <c r="IX42" s="156">
        <f t="shared" si="100"/>
        <v>-609968.17000000004</v>
      </c>
      <c r="IY42" s="156">
        <f t="shared" ref="IY42:JJ42" si="101">ROUND(SUM(IY36:IY41),2)</f>
        <v>-1155430.04</v>
      </c>
      <c r="IZ42" s="156">
        <f t="shared" si="101"/>
        <v>-3004031.7</v>
      </c>
      <c r="JA42" s="156">
        <f t="shared" si="101"/>
        <v>-3626959.36</v>
      </c>
      <c r="JB42" s="156">
        <f t="shared" si="101"/>
        <v>-3203886.71</v>
      </c>
      <c r="JC42" s="156">
        <f t="shared" si="101"/>
        <v>-3156528.54</v>
      </c>
      <c r="JD42" s="156">
        <f t="shared" si="101"/>
        <v>-2912098.49</v>
      </c>
      <c r="JE42" s="156">
        <f t="shared" si="101"/>
        <v>-2308277.48</v>
      </c>
      <c r="JF42" s="156">
        <f t="shared" si="101"/>
        <v>-988838.07</v>
      </c>
      <c r="JG42" s="156">
        <f t="shared" si="101"/>
        <v>-843652.25</v>
      </c>
      <c r="JH42" s="156">
        <f t="shared" si="101"/>
        <v>-622786.4</v>
      </c>
      <c r="JI42" s="156">
        <f t="shared" si="101"/>
        <v>-642143.89</v>
      </c>
      <c r="JJ42" s="156">
        <f t="shared" si="101"/>
        <v>-835306.3</v>
      </c>
      <c r="JK42" s="156">
        <f t="shared" si="100"/>
        <v>-70807.61</v>
      </c>
      <c r="JL42" s="156">
        <f t="shared" si="100"/>
        <v>-26444087.52</v>
      </c>
      <c r="JM42" s="156">
        <f t="shared" si="100"/>
        <v>3509977.89</v>
      </c>
      <c r="JN42" s="156">
        <f t="shared" si="100"/>
        <v>4476085.87</v>
      </c>
      <c r="JO42" s="156">
        <f t="shared" ref="JO42:JU42" si="102">ROUND(SUM(JO36:JO41),2)</f>
        <v>3450472.33</v>
      </c>
      <c r="JP42" s="156">
        <f t="shared" si="102"/>
        <v>3283725.42</v>
      </c>
      <c r="JQ42" s="156">
        <f t="shared" si="102"/>
        <v>2457368.2400000002</v>
      </c>
      <c r="JR42" s="156">
        <f t="shared" si="102"/>
        <v>1667043.18</v>
      </c>
      <c r="JS42" s="156">
        <f t="shared" si="102"/>
        <v>1133686.3999999999</v>
      </c>
      <c r="JT42" s="156">
        <f t="shared" si="102"/>
        <v>785041.63</v>
      </c>
      <c r="JU42" s="156">
        <f t="shared" si="102"/>
        <v>700407.56</v>
      </c>
      <c r="JV42" s="638"/>
      <c r="JW42" s="626"/>
      <c r="JX42" s="626"/>
      <c r="JY42" s="626"/>
      <c r="JZ42" s="626"/>
      <c r="KA42" s="626"/>
      <c r="KB42" s="626"/>
      <c r="KC42" s="626"/>
      <c r="KD42" s="626"/>
      <c r="KE42" s="626"/>
      <c r="KF42" s="626"/>
      <c r="KG42" s="626"/>
      <c r="KH42" s="626"/>
      <c r="KI42" s="639"/>
    </row>
    <row r="43" spans="1:295" s="73" customFormat="1" x14ac:dyDescent="0.2">
      <c r="A43" s="24"/>
      <c r="B43" s="24" t="s">
        <v>109</v>
      </c>
      <c r="D43" s="139">
        <f t="shared" ref="D43:BO43" si="103">+D35+D42</f>
        <v>0</v>
      </c>
      <c r="E43" s="139">
        <f t="shared" si="103"/>
        <v>0</v>
      </c>
      <c r="F43" s="139">
        <f t="shared" si="103"/>
        <v>0</v>
      </c>
      <c r="G43" s="139">
        <f t="shared" si="103"/>
        <v>0</v>
      </c>
      <c r="H43" s="139">
        <f t="shared" si="103"/>
        <v>0</v>
      </c>
      <c r="I43" s="139">
        <f t="shared" si="103"/>
        <v>0</v>
      </c>
      <c r="J43" s="139">
        <f t="shared" si="103"/>
        <v>0</v>
      </c>
      <c r="K43" s="139">
        <f t="shared" si="103"/>
        <v>0</v>
      </c>
      <c r="L43" s="139">
        <f t="shared" si="103"/>
        <v>0</v>
      </c>
      <c r="M43" s="139">
        <f t="shared" si="103"/>
        <v>0</v>
      </c>
      <c r="N43" s="139">
        <f t="shared" si="103"/>
        <v>0</v>
      </c>
      <c r="O43" s="139">
        <f t="shared" si="103"/>
        <v>0</v>
      </c>
      <c r="P43" s="139">
        <f t="shared" si="103"/>
        <v>0</v>
      </c>
      <c r="Q43" s="139">
        <f t="shared" si="103"/>
        <v>0</v>
      </c>
      <c r="R43" s="139">
        <f t="shared" si="103"/>
        <v>0</v>
      </c>
      <c r="S43" s="139">
        <f t="shared" si="103"/>
        <v>0</v>
      </c>
      <c r="T43" s="139">
        <f t="shared" si="103"/>
        <v>0</v>
      </c>
      <c r="U43" s="139">
        <f t="shared" si="103"/>
        <v>0</v>
      </c>
      <c r="V43" s="139">
        <f t="shared" si="103"/>
        <v>0</v>
      </c>
      <c r="W43" s="139">
        <f t="shared" si="103"/>
        <v>0</v>
      </c>
      <c r="X43" s="139">
        <f t="shared" si="103"/>
        <v>0</v>
      </c>
      <c r="Y43" s="139">
        <f t="shared" si="103"/>
        <v>0</v>
      </c>
      <c r="Z43" s="139">
        <f t="shared" si="103"/>
        <v>0</v>
      </c>
      <c r="AA43" s="139">
        <f t="shared" si="103"/>
        <v>0</v>
      </c>
      <c r="AB43" s="139">
        <f t="shared" si="103"/>
        <v>0</v>
      </c>
      <c r="AC43" s="139">
        <f t="shared" si="103"/>
        <v>0</v>
      </c>
      <c r="AD43" s="139">
        <f t="shared" si="103"/>
        <v>0</v>
      </c>
      <c r="AE43" s="139">
        <f t="shared" si="103"/>
        <v>0</v>
      </c>
      <c r="AF43" s="139">
        <f t="shared" si="103"/>
        <v>0</v>
      </c>
      <c r="AG43" s="139">
        <f t="shared" si="103"/>
        <v>0</v>
      </c>
      <c r="AH43" s="139">
        <f t="shared" si="103"/>
        <v>0</v>
      </c>
      <c r="AI43" s="139">
        <f t="shared" si="103"/>
        <v>0</v>
      </c>
      <c r="AJ43" s="139">
        <f t="shared" si="103"/>
        <v>0</v>
      </c>
      <c r="AK43" s="139">
        <f t="shared" si="103"/>
        <v>0</v>
      </c>
      <c r="AL43" s="139">
        <f t="shared" si="103"/>
        <v>0</v>
      </c>
      <c r="AM43" s="139">
        <f t="shared" si="103"/>
        <v>0</v>
      </c>
      <c r="AN43" s="139">
        <f t="shared" si="103"/>
        <v>0</v>
      </c>
      <c r="AO43" s="139">
        <f t="shared" si="103"/>
        <v>0</v>
      </c>
      <c r="AP43" s="139">
        <f t="shared" si="103"/>
        <v>0</v>
      </c>
      <c r="AQ43" s="139">
        <f t="shared" si="103"/>
        <v>0</v>
      </c>
      <c r="AR43" s="139">
        <f t="shared" si="103"/>
        <v>0</v>
      </c>
      <c r="AS43" s="139">
        <f t="shared" si="103"/>
        <v>0</v>
      </c>
      <c r="AT43" s="139">
        <f t="shared" si="103"/>
        <v>0</v>
      </c>
      <c r="AU43" s="139">
        <f t="shared" si="103"/>
        <v>0</v>
      </c>
      <c r="AV43" s="139">
        <f t="shared" si="103"/>
        <v>0</v>
      </c>
      <c r="AW43" s="139">
        <f t="shared" si="103"/>
        <v>0</v>
      </c>
      <c r="AX43" s="139">
        <f t="shared" si="103"/>
        <v>0</v>
      </c>
      <c r="AY43" s="139">
        <f t="shared" si="103"/>
        <v>0</v>
      </c>
      <c r="AZ43" s="139">
        <f t="shared" si="103"/>
        <v>0</v>
      </c>
      <c r="BA43" s="139">
        <f t="shared" si="103"/>
        <v>0</v>
      </c>
      <c r="BB43" s="139">
        <f t="shared" si="103"/>
        <v>0</v>
      </c>
      <c r="BC43" s="139">
        <f t="shared" si="103"/>
        <v>0</v>
      </c>
      <c r="BD43" s="139">
        <f t="shared" si="103"/>
        <v>0</v>
      </c>
      <c r="BE43" s="139">
        <f t="shared" si="103"/>
        <v>0</v>
      </c>
      <c r="BF43" s="139">
        <f t="shared" si="103"/>
        <v>0</v>
      </c>
      <c r="BG43" s="139">
        <f t="shared" si="103"/>
        <v>0</v>
      </c>
      <c r="BH43" s="139">
        <f t="shared" si="103"/>
        <v>0</v>
      </c>
      <c r="BI43" s="139">
        <f t="shared" si="103"/>
        <v>0</v>
      </c>
      <c r="BJ43" s="139">
        <f t="shared" si="103"/>
        <v>0</v>
      </c>
      <c r="BK43" s="139">
        <f t="shared" si="103"/>
        <v>0</v>
      </c>
      <c r="BL43" s="139">
        <f t="shared" si="103"/>
        <v>0</v>
      </c>
      <c r="BM43" s="139">
        <f t="shared" si="103"/>
        <v>0</v>
      </c>
      <c r="BN43" s="139">
        <f t="shared" si="103"/>
        <v>0</v>
      </c>
      <c r="BO43" s="139">
        <f t="shared" si="103"/>
        <v>0</v>
      </c>
      <c r="BP43" s="139">
        <f t="shared" ref="BP43:BQ43" si="104">+BP35+BP42</f>
        <v>0</v>
      </c>
      <c r="BQ43" s="139">
        <f t="shared" si="104"/>
        <v>0</v>
      </c>
      <c r="BR43" s="127">
        <f>ROUND(+BR35+BR42,2)</f>
        <v>0</v>
      </c>
      <c r="BS43" s="139">
        <f t="shared" ref="BS43:ED43" si="105">ROUND(+BS35+BS42,2)</f>
        <v>0</v>
      </c>
      <c r="BT43" s="139">
        <f t="shared" si="105"/>
        <v>0</v>
      </c>
      <c r="BU43" s="139">
        <f t="shared" si="105"/>
        <v>0</v>
      </c>
      <c r="BV43" s="139">
        <f t="shared" si="105"/>
        <v>0</v>
      </c>
      <c r="BW43" s="139">
        <f t="shared" si="105"/>
        <v>0</v>
      </c>
      <c r="BX43" s="139">
        <f t="shared" si="105"/>
        <v>0</v>
      </c>
      <c r="BY43" s="139">
        <f t="shared" si="105"/>
        <v>0</v>
      </c>
      <c r="BZ43" s="139">
        <f t="shared" si="105"/>
        <v>0</v>
      </c>
      <c r="CA43" s="139">
        <f t="shared" si="105"/>
        <v>0</v>
      </c>
      <c r="CB43" s="139">
        <f t="shared" si="105"/>
        <v>0</v>
      </c>
      <c r="CC43" s="139">
        <f t="shared" si="105"/>
        <v>0</v>
      </c>
      <c r="CD43" s="139">
        <f t="shared" si="105"/>
        <v>0</v>
      </c>
      <c r="CE43" s="139">
        <f t="shared" si="105"/>
        <v>0</v>
      </c>
      <c r="CF43" s="139">
        <f t="shared" si="105"/>
        <v>0</v>
      </c>
      <c r="CG43" s="139">
        <f t="shared" si="105"/>
        <v>0</v>
      </c>
      <c r="CH43" s="139">
        <f t="shared" si="105"/>
        <v>0</v>
      </c>
      <c r="CI43" s="139">
        <f t="shared" si="105"/>
        <v>0</v>
      </c>
      <c r="CJ43" s="139">
        <f t="shared" si="105"/>
        <v>0</v>
      </c>
      <c r="CK43" s="139">
        <f t="shared" si="105"/>
        <v>0</v>
      </c>
      <c r="CL43" s="139">
        <f t="shared" si="105"/>
        <v>0</v>
      </c>
      <c r="CM43" s="139">
        <f t="shared" si="105"/>
        <v>0</v>
      </c>
      <c r="CN43" s="139">
        <f t="shared" si="105"/>
        <v>0</v>
      </c>
      <c r="CO43" s="127">
        <f t="shared" si="105"/>
        <v>0</v>
      </c>
      <c r="CP43" s="139">
        <f t="shared" si="105"/>
        <v>0</v>
      </c>
      <c r="CQ43" s="139">
        <f t="shared" si="105"/>
        <v>0</v>
      </c>
      <c r="CR43" s="139">
        <f t="shared" si="105"/>
        <v>0</v>
      </c>
      <c r="CS43" s="139">
        <f t="shared" si="105"/>
        <v>0</v>
      </c>
      <c r="CT43" s="139">
        <f t="shared" si="105"/>
        <v>0</v>
      </c>
      <c r="CU43" s="139">
        <f t="shared" si="105"/>
        <v>0</v>
      </c>
      <c r="CV43" s="139">
        <f t="shared" si="105"/>
        <v>0</v>
      </c>
      <c r="CW43" s="139">
        <f t="shared" si="105"/>
        <v>0</v>
      </c>
      <c r="CX43" s="139">
        <f t="shared" si="105"/>
        <v>0</v>
      </c>
      <c r="CY43" s="139">
        <f t="shared" si="105"/>
        <v>0</v>
      </c>
      <c r="CZ43" s="139">
        <f t="shared" si="105"/>
        <v>0</v>
      </c>
      <c r="DA43" s="139">
        <f t="shared" si="105"/>
        <v>0</v>
      </c>
      <c r="DB43" s="139">
        <f t="shared" si="105"/>
        <v>0</v>
      </c>
      <c r="DC43" s="139">
        <f t="shared" si="105"/>
        <v>0</v>
      </c>
      <c r="DD43" s="139">
        <f t="shared" si="105"/>
        <v>0</v>
      </c>
      <c r="DE43" s="139">
        <f t="shared" si="105"/>
        <v>0</v>
      </c>
      <c r="DF43" s="139">
        <f t="shared" si="105"/>
        <v>0</v>
      </c>
      <c r="DG43" s="139">
        <f t="shared" si="105"/>
        <v>0</v>
      </c>
      <c r="DH43" s="139">
        <f t="shared" si="105"/>
        <v>0</v>
      </c>
      <c r="DI43" s="139">
        <f t="shared" si="105"/>
        <v>0</v>
      </c>
      <c r="DJ43" s="139">
        <f t="shared" si="105"/>
        <v>0</v>
      </c>
      <c r="DK43" s="139">
        <f t="shared" si="105"/>
        <v>0</v>
      </c>
      <c r="DL43" s="139">
        <f t="shared" si="105"/>
        <v>0</v>
      </c>
      <c r="DM43" s="139">
        <f t="shared" si="105"/>
        <v>0</v>
      </c>
      <c r="DN43" s="139">
        <f t="shared" si="105"/>
        <v>0</v>
      </c>
      <c r="DO43" s="139">
        <f t="shared" si="105"/>
        <v>0</v>
      </c>
      <c r="DP43" s="139">
        <f t="shared" si="105"/>
        <v>0</v>
      </c>
      <c r="DQ43" s="139">
        <f t="shared" si="105"/>
        <v>0</v>
      </c>
      <c r="DR43" s="139">
        <f t="shared" si="105"/>
        <v>0</v>
      </c>
      <c r="DS43" s="139">
        <f t="shared" si="105"/>
        <v>0</v>
      </c>
      <c r="DT43" s="139">
        <f t="shared" si="105"/>
        <v>0</v>
      </c>
      <c r="DU43" s="139">
        <f t="shared" si="105"/>
        <v>0</v>
      </c>
      <c r="DV43" s="139">
        <f t="shared" si="105"/>
        <v>0</v>
      </c>
      <c r="DW43" s="139">
        <f t="shared" si="105"/>
        <v>0</v>
      </c>
      <c r="DX43" s="139">
        <f t="shared" si="105"/>
        <v>0</v>
      </c>
      <c r="DY43" s="139">
        <f t="shared" si="105"/>
        <v>0</v>
      </c>
      <c r="DZ43" s="139">
        <f t="shared" si="105"/>
        <v>0</v>
      </c>
      <c r="EA43" s="139">
        <f t="shared" si="105"/>
        <v>0</v>
      </c>
      <c r="EB43" s="139">
        <f t="shared" si="105"/>
        <v>0</v>
      </c>
      <c r="EC43" s="139">
        <f t="shared" si="105"/>
        <v>0</v>
      </c>
      <c r="ED43" s="139">
        <f t="shared" si="105"/>
        <v>0</v>
      </c>
      <c r="EE43" s="139">
        <f t="shared" ref="EE43:GP43" si="106">ROUND(+EE35+EE42,2)</f>
        <v>0</v>
      </c>
      <c r="EF43" s="139">
        <f t="shared" si="106"/>
        <v>0</v>
      </c>
      <c r="EG43" s="139">
        <f t="shared" si="106"/>
        <v>0</v>
      </c>
      <c r="EH43" s="139">
        <f t="shared" si="106"/>
        <v>0</v>
      </c>
      <c r="EI43" s="139">
        <f t="shared" si="106"/>
        <v>0</v>
      </c>
      <c r="EJ43" s="139">
        <f t="shared" si="106"/>
        <v>0</v>
      </c>
      <c r="EK43" s="139">
        <f t="shared" si="106"/>
        <v>0</v>
      </c>
      <c r="EL43" s="139">
        <f t="shared" si="106"/>
        <v>0</v>
      </c>
      <c r="EM43" s="139">
        <f t="shared" si="106"/>
        <v>0</v>
      </c>
      <c r="EN43" s="139">
        <f t="shared" si="106"/>
        <v>0</v>
      </c>
      <c r="EO43" s="139">
        <f t="shared" si="106"/>
        <v>0</v>
      </c>
      <c r="EP43" s="139">
        <f t="shared" si="106"/>
        <v>0</v>
      </c>
      <c r="EQ43" s="139">
        <f t="shared" si="106"/>
        <v>0</v>
      </c>
      <c r="ER43" s="139">
        <f t="shared" si="106"/>
        <v>0</v>
      </c>
      <c r="ES43" s="139">
        <f t="shared" si="106"/>
        <v>0</v>
      </c>
      <c r="ET43" s="139">
        <f t="shared" si="106"/>
        <v>0</v>
      </c>
      <c r="EU43" s="139">
        <f t="shared" si="106"/>
        <v>0</v>
      </c>
      <c r="EV43" s="139">
        <f t="shared" si="106"/>
        <v>0</v>
      </c>
      <c r="EW43" s="139">
        <f t="shared" si="106"/>
        <v>0</v>
      </c>
      <c r="EX43" s="139">
        <f t="shared" si="106"/>
        <v>0</v>
      </c>
      <c r="EY43" s="139">
        <f t="shared" si="106"/>
        <v>0</v>
      </c>
      <c r="EZ43" s="139">
        <f t="shared" si="106"/>
        <v>0</v>
      </c>
      <c r="FA43" s="139">
        <f t="shared" si="106"/>
        <v>0</v>
      </c>
      <c r="FB43" s="139">
        <f t="shared" si="106"/>
        <v>0</v>
      </c>
      <c r="FC43" s="139">
        <f t="shared" si="106"/>
        <v>0</v>
      </c>
      <c r="FD43" s="139">
        <f t="shared" si="106"/>
        <v>0</v>
      </c>
      <c r="FE43" s="139">
        <f t="shared" si="106"/>
        <v>0</v>
      </c>
      <c r="FF43" s="139">
        <f t="shared" si="106"/>
        <v>0</v>
      </c>
      <c r="FG43" s="139">
        <f t="shared" si="106"/>
        <v>0</v>
      </c>
      <c r="FH43" s="139">
        <f t="shared" si="106"/>
        <v>0</v>
      </c>
      <c r="FI43" s="139">
        <f t="shared" si="106"/>
        <v>0</v>
      </c>
      <c r="FJ43" s="139">
        <f t="shared" si="106"/>
        <v>0</v>
      </c>
      <c r="FK43" s="139">
        <f t="shared" si="106"/>
        <v>0</v>
      </c>
      <c r="FL43" s="139">
        <f t="shared" si="106"/>
        <v>0</v>
      </c>
      <c r="FM43" s="139">
        <f t="shared" si="106"/>
        <v>0</v>
      </c>
      <c r="FN43" s="139">
        <f t="shared" si="106"/>
        <v>0</v>
      </c>
      <c r="FO43" s="139">
        <f t="shared" si="106"/>
        <v>0</v>
      </c>
      <c r="FP43" s="139">
        <f t="shared" si="106"/>
        <v>0</v>
      </c>
      <c r="FQ43" s="139">
        <f t="shared" si="106"/>
        <v>0</v>
      </c>
      <c r="FR43" s="139">
        <f t="shared" si="106"/>
        <v>0</v>
      </c>
      <c r="FS43" s="139">
        <f t="shared" si="106"/>
        <v>0</v>
      </c>
      <c r="FT43" s="139">
        <f t="shared" si="106"/>
        <v>0</v>
      </c>
      <c r="FU43" s="139">
        <f t="shared" si="106"/>
        <v>0</v>
      </c>
      <c r="FV43" s="139">
        <f t="shared" si="106"/>
        <v>0</v>
      </c>
      <c r="FW43" s="139">
        <f t="shared" si="106"/>
        <v>0</v>
      </c>
      <c r="FX43" s="139">
        <f t="shared" si="106"/>
        <v>0</v>
      </c>
      <c r="FY43" s="139">
        <f t="shared" si="106"/>
        <v>0</v>
      </c>
      <c r="FZ43" s="139">
        <f t="shared" si="106"/>
        <v>0</v>
      </c>
      <c r="GA43" s="139">
        <f t="shared" si="106"/>
        <v>0</v>
      </c>
      <c r="GB43" s="139">
        <f t="shared" si="106"/>
        <v>0</v>
      </c>
      <c r="GC43" s="139">
        <f t="shared" si="106"/>
        <v>0</v>
      </c>
      <c r="GD43" s="139">
        <f t="shared" si="106"/>
        <v>0</v>
      </c>
      <c r="GE43" s="139">
        <f t="shared" si="106"/>
        <v>0</v>
      </c>
      <c r="GF43" s="139">
        <f t="shared" si="106"/>
        <v>0</v>
      </c>
      <c r="GG43" s="139">
        <f t="shared" si="106"/>
        <v>0</v>
      </c>
      <c r="GH43" s="139">
        <f t="shared" si="106"/>
        <v>0</v>
      </c>
      <c r="GI43" s="139">
        <f t="shared" si="106"/>
        <v>0</v>
      </c>
      <c r="GJ43" s="139">
        <f t="shared" si="106"/>
        <v>0</v>
      </c>
      <c r="GK43" s="139">
        <f t="shared" si="106"/>
        <v>0</v>
      </c>
      <c r="GL43" s="139">
        <f t="shared" si="106"/>
        <v>0</v>
      </c>
      <c r="GM43" s="139">
        <f t="shared" si="106"/>
        <v>0</v>
      </c>
      <c r="GN43" s="139">
        <f t="shared" si="106"/>
        <v>0</v>
      </c>
      <c r="GO43" s="139">
        <f t="shared" si="106"/>
        <v>0</v>
      </c>
      <c r="GP43" s="139">
        <f t="shared" si="106"/>
        <v>0</v>
      </c>
      <c r="GQ43" s="139">
        <f t="shared" ref="GQ43:JN43" si="107">ROUND(+GQ35+GQ42,2)</f>
        <v>0</v>
      </c>
      <c r="GR43" s="139">
        <f t="shared" si="107"/>
        <v>0</v>
      </c>
      <c r="GS43" s="139">
        <f t="shared" si="107"/>
        <v>0</v>
      </c>
      <c r="GT43" s="139">
        <f t="shared" si="107"/>
        <v>0</v>
      </c>
      <c r="GU43" s="139">
        <f t="shared" si="107"/>
        <v>0</v>
      </c>
      <c r="GV43" s="139">
        <f t="shared" si="107"/>
        <v>0</v>
      </c>
      <c r="GW43" s="139">
        <f t="shared" si="107"/>
        <v>0</v>
      </c>
      <c r="GX43" s="139">
        <f t="shared" si="107"/>
        <v>0</v>
      </c>
      <c r="GY43" s="139">
        <f t="shared" si="107"/>
        <v>0</v>
      </c>
      <c r="GZ43" s="139">
        <f t="shared" si="107"/>
        <v>0</v>
      </c>
      <c r="HA43" s="139">
        <f t="shared" si="107"/>
        <v>0</v>
      </c>
      <c r="HB43" s="139">
        <f t="shared" si="107"/>
        <v>0</v>
      </c>
      <c r="HC43" s="139">
        <f t="shared" si="107"/>
        <v>0</v>
      </c>
      <c r="HD43" s="139">
        <f t="shared" si="107"/>
        <v>0</v>
      </c>
      <c r="HE43" s="139">
        <f t="shared" si="107"/>
        <v>0</v>
      </c>
      <c r="HF43" s="139">
        <f t="shared" si="107"/>
        <v>0</v>
      </c>
      <c r="HG43" s="139">
        <f t="shared" si="107"/>
        <v>0</v>
      </c>
      <c r="HH43" s="139">
        <f t="shared" si="107"/>
        <v>0</v>
      </c>
      <c r="HI43" s="139">
        <f t="shared" si="107"/>
        <v>0</v>
      </c>
      <c r="HJ43" s="139">
        <f t="shared" si="107"/>
        <v>0</v>
      </c>
      <c r="HK43" s="139">
        <f t="shared" si="107"/>
        <v>0</v>
      </c>
      <c r="HL43" s="139">
        <f t="shared" si="107"/>
        <v>0</v>
      </c>
      <c r="HM43" s="139">
        <f t="shared" si="107"/>
        <v>0</v>
      </c>
      <c r="HN43" s="139">
        <f t="shared" si="107"/>
        <v>0</v>
      </c>
      <c r="HO43" s="139">
        <f t="shared" si="107"/>
        <v>0</v>
      </c>
      <c r="HP43" s="139">
        <f t="shared" si="107"/>
        <v>108928627.33</v>
      </c>
      <c r="HQ43" s="139">
        <f t="shared" si="107"/>
        <v>101576407.79000001</v>
      </c>
      <c r="HR43" s="139">
        <f t="shared" si="107"/>
        <v>94033135.959999993</v>
      </c>
      <c r="HS43" s="139">
        <f t="shared" si="107"/>
        <v>87074750.140000001</v>
      </c>
      <c r="HT43" s="139">
        <f t="shared" si="107"/>
        <v>80470575.859999999</v>
      </c>
      <c r="HU43" s="139">
        <f t="shared" si="107"/>
        <v>76604602.140000001</v>
      </c>
      <c r="HV43" s="139">
        <f t="shared" si="107"/>
        <v>74260229.439999998</v>
      </c>
      <c r="HW43" s="139">
        <f t="shared" si="107"/>
        <v>72194626.469999999</v>
      </c>
      <c r="HX43" s="139">
        <f t="shared" si="107"/>
        <v>70782032</v>
      </c>
      <c r="HY43" s="139">
        <f t="shared" si="107"/>
        <v>69442289.890000001</v>
      </c>
      <c r="HZ43" s="139">
        <f t="shared" si="107"/>
        <v>67842064.510000005</v>
      </c>
      <c r="IA43" s="139">
        <f t="shared" si="107"/>
        <v>66501318.399999999</v>
      </c>
      <c r="IB43" s="139">
        <f t="shared" si="107"/>
        <v>64071939.090000004</v>
      </c>
      <c r="IC43" s="139">
        <f t="shared" si="107"/>
        <v>61203582.020000003</v>
      </c>
      <c r="ID43" s="139">
        <f t="shared" si="107"/>
        <v>58284598.490000002</v>
      </c>
      <c r="IE43" s="139">
        <f t="shared" si="107"/>
        <v>55155571.630000003</v>
      </c>
      <c r="IF43" s="139">
        <f t="shared" si="107"/>
        <v>52459536.270000003</v>
      </c>
      <c r="IG43" s="139">
        <f t="shared" si="107"/>
        <v>50896852.969999999</v>
      </c>
      <c r="IH43" s="139">
        <f t="shared" si="107"/>
        <v>49816644.350000001</v>
      </c>
      <c r="II43" s="139">
        <f t="shared" si="107"/>
        <v>49149520.340000004</v>
      </c>
      <c r="IJ43" s="139">
        <f t="shared" si="107"/>
        <v>48678217.609999999</v>
      </c>
      <c r="IK43" s="139">
        <f t="shared" si="107"/>
        <v>48173243.189999998</v>
      </c>
      <c r="IL43" s="139">
        <f t="shared" si="107"/>
        <v>47435174.380000003</v>
      </c>
      <c r="IM43" s="139">
        <f t="shared" si="107"/>
        <v>45851110.719999999</v>
      </c>
      <c r="IN43" s="139">
        <f t="shared" si="107"/>
        <v>43519654.579999998</v>
      </c>
      <c r="IO43" s="139">
        <f t="shared" si="107"/>
        <v>40041201.520000003</v>
      </c>
      <c r="IP43" s="139">
        <f t="shared" si="107"/>
        <v>36529949.719999999</v>
      </c>
      <c r="IQ43" s="139">
        <f t="shared" si="107"/>
        <v>33654203.140000001</v>
      </c>
      <c r="IR43" s="139">
        <f t="shared" si="107"/>
        <v>31145068.280000001</v>
      </c>
      <c r="IS43" s="139">
        <f t="shared" si="107"/>
        <v>28980977.940000001</v>
      </c>
      <c r="IT43" s="139">
        <f t="shared" si="107"/>
        <v>27486921.670000002</v>
      </c>
      <c r="IU43" s="139">
        <f t="shared" si="107"/>
        <v>26565060.510000002</v>
      </c>
      <c r="IV43" s="139">
        <f t="shared" si="107"/>
        <v>25915236.030000001</v>
      </c>
      <c r="IW43" s="139">
        <f t="shared" si="107"/>
        <v>25410987.510000002</v>
      </c>
      <c r="IX43" s="139">
        <f t="shared" si="107"/>
        <v>24801019.34</v>
      </c>
      <c r="IY43" s="139">
        <f t="shared" ref="IY43:JJ43" si="108">ROUND(+IY35+IY42,2)</f>
        <v>23645589.300000001</v>
      </c>
      <c r="IZ43" s="139">
        <f t="shared" si="108"/>
        <v>20641557.600000001</v>
      </c>
      <c r="JA43" s="139">
        <f t="shared" si="108"/>
        <v>17014598.239999998</v>
      </c>
      <c r="JB43" s="139">
        <f t="shared" si="108"/>
        <v>13810711.529999999</v>
      </c>
      <c r="JC43" s="139">
        <f t="shared" si="108"/>
        <v>10654182.99</v>
      </c>
      <c r="JD43" s="139">
        <f t="shared" si="108"/>
        <v>7742084.5</v>
      </c>
      <c r="JE43" s="139">
        <f t="shared" si="108"/>
        <v>5433807.0199999996</v>
      </c>
      <c r="JF43" s="139">
        <f t="shared" si="108"/>
        <v>4444968.95</v>
      </c>
      <c r="JG43" s="139">
        <f t="shared" si="108"/>
        <v>3601316.7</v>
      </c>
      <c r="JH43" s="139">
        <f t="shared" si="108"/>
        <v>2978530.3</v>
      </c>
      <c r="JI43" s="139">
        <f t="shared" si="108"/>
        <v>2336386.41</v>
      </c>
      <c r="JJ43" s="139">
        <f t="shared" si="108"/>
        <v>1501080.11</v>
      </c>
      <c r="JK43" s="139">
        <f t="shared" si="107"/>
        <v>1430272.5</v>
      </c>
      <c r="JL43" s="139">
        <f t="shared" si="107"/>
        <v>-25013815.02</v>
      </c>
      <c r="JM43" s="139">
        <f t="shared" si="107"/>
        <v>-21503837.129999999</v>
      </c>
      <c r="JN43" s="139">
        <f t="shared" si="107"/>
        <v>-17027751.260000002</v>
      </c>
      <c r="JO43" s="139">
        <f t="shared" ref="JO43:JU43" si="109">ROUND(+JO35+JO42,2)</f>
        <v>-13577278.93</v>
      </c>
      <c r="JP43" s="139">
        <f t="shared" si="109"/>
        <v>-10293553.51</v>
      </c>
      <c r="JQ43" s="139">
        <f t="shared" si="109"/>
        <v>-7836185.2699999996</v>
      </c>
      <c r="JR43" s="139">
        <f t="shared" si="109"/>
        <v>-6169142.0899999999</v>
      </c>
      <c r="JS43" s="139">
        <f t="shared" si="109"/>
        <v>-5035455.6900000004</v>
      </c>
      <c r="JT43" s="139">
        <f t="shared" si="109"/>
        <v>-4250414.0599999996</v>
      </c>
      <c r="JU43" s="139">
        <f t="shared" si="109"/>
        <v>-3550006.5</v>
      </c>
      <c r="JV43" s="632"/>
      <c r="JW43" s="414"/>
      <c r="JX43" s="414"/>
      <c r="JY43" s="414"/>
      <c r="JZ43" s="414"/>
      <c r="KA43" s="414"/>
      <c r="KB43" s="414"/>
      <c r="KC43" s="414"/>
      <c r="KD43" s="414"/>
      <c r="KE43" s="414"/>
      <c r="KF43" s="414"/>
      <c r="KG43" s="414"/>
      <c r="KH43" s="414"/>
      <c r="KI43" s="633"/>
    </row>
    <row r="44" spans="1:295" s="73" customFormat="1" x14ac:dyDescent="0.2">
      <c r="A44" s="24"/>
      <c r="B44" s="24"/>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27"/>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27"/>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c r="IW44" s="139"/>
      <c r="IX44" s="139"/>
      <c r="IY44" s="139"/>
      <c r="IZ44" s="139"/>
      <c r="JA44" s="139"/>
      <c r="JB44" s="139"/>
      <c r="JC44" s="139"/>
      <c r="JD44" s="139"/>
      <c r="JE44" s="139"/>
      <c r="JF44" s="139"/>
      <c r="JG44" s="139"/>
      <c r="JH44" s="139"/>
      <c r="JI44" s="139"/>
      <c r="JJ44" s="139"/>
      <c r="JK44" s="139"/>
      <c r="JL44" s="139"/>
      <c r="JM44" s="139"/>
      <c r="JN44" s="139"/>
      <c r="JO44" s="139"/>
      <c r="JP44" s="139"/>
      <c r="JQ44" s="139"/>
      <c r="JR44" s="139"/>
      <c r="JS44" s="139"/>
      <c r="JT44" s="139"/>
      <c r="JU44" s="139"/>
      <c r="JV44" s="632"/>
      <c r="JW44" s="414"/>
      <c r="JX44" s="414"/>
      <c r="JY44" s="414"/>
      <c r="JZ44" s="414"/>
      <c r="KA44" s="414"/>
      <c r="KB44" s="414"/>
      <c r="KC44" s="414"/>
      <c r="KD44" s="414"/>
      <c r="KE44" s="414"/>
      <c r="KF44" s="414"/>
      <c r="KG44" s="414"/>
      <c r="KH44" s="414"/>
      <c r="KI44" s="633"/>
    </row>
    <row r="45" spans="1:295" s="73" customFormat="1" x14ac:dyDescent="0.2">
      <c r="A45" s="23" t="s">
        <v>243</v>
      </c>
      <c r="B45" s="24"/>
      <c r="C45" s="24">
        <v>19100212</v>
      </c>
      <c r="D45" s="16"/>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c r="IW45" s="139"/>
      <c r="IX45" s="139"/>
      <c r="IY45" s="139"/>
      <c r="IZ45" s="139"/>
      <c r="JA45" s="139"/>
      <c r="JB45" s="139"/>
      <c r="JC45" s="139"/>
      <c r="JD45" s="139"/>
      <c r="JE45" s="139"/>
      <c r="JF45" s="139"/>
      <c r="JG45" s="139"/>
      <c r="JH45" s="139"/>
      <c r="JI45" s="139"/>
      <c r="JJ45" s="139"/>
      <c r="JK45" s="139"/>
      <c r="JL45" s="139"/>
      <c r="JM45" s="139"/>
      <c r="JN45" s="139"/>
      <c r="JO45" s="139"/>
      <c r="JP45" s="139"/>
      <c r="JQ45" s="139"/>
      <c r="JR45" s="139"/>
      <c r="JS45" s="139"/>
      <c r="JT45" s="139"/>
      <c r="JU45" s="139"/>
      <c r="JV45" s="632"/>
      <c r="JW45" s="414"/>
      <c r="JX45" s="414"/>
      <c r="JY45" s="414"/>
      <c r="JZ45" s="414"/>
      <c r="KA45" s="414"/>
      <c r="KB45" s="414"/>
      <c r="KC45" s="414"/>
      <c r="KD45" s="414"/>
      <c r="KE45" s="414"/>
      <c r="KF45" s="414"/>
      <c r="KG45" s="414"/>
      <c r="KH45" s="414"/>
      <c r="KI45" s="633"/>
    </row>
    <row r="46" spans="1:295" s="73" customFormat="1" x14ac:dyDescent="0.2">
      <c r="A46" s="24"/>
      <c r="B46" s="24" t="s">
        <v>104</v>
      </c>
      <c r="C46" s="24"/>
      <c r="D46" s="17">
        <v>-24215579</v>
      </c>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c r="IW46" s="139"/>
      <c r="IX46" s="139"/>
      <c r="IY46" s="139"/>
      <c r="IZ46" s="139"/>
      <c r="JA46" s="139"/>
      <c r="JB46" s="139">
        <v>-24215579</v>
      </c>
      <c r="JC46" s="139">
        <f>ROUND(+JB53,2)</f>
        <v>-26740872.440000001</v>
      </c>
      <c r="JD46" s="139">
        <f t="shared" ref="JD46:JJ46" si="110">ROUND(+JC53,2)</f>
        <v>-26774316.07</v>
      </c>
      <c r="JE46" s="139">
        <f t="shared" si="110"/>
        <v>-27052035.420000002</v>
      </c>
      <c r="JF46" s="139">
        <f t="shared" si="110"/>
        <v>-27217082.57</v>
      </c>
      <c r="JG46" s="139">
        <f t="shared" si="110"/>
        <v>-27387631.300000001</v>
      </c>
      <c r="JH46" s="139">
        <f t="shared" si="110"/>
        <v>-27552678.449999999</v>
      </c>
      <c r="JI46" s="139">
        <f t="shared" si="110"/>
        <v>-27735051.890000001</v>
      </c>
      <c r="JJ46" s="139">
        <f t="shared" si="110"/>
        <v>-27773327.059999999</v>
      </c>
      <c r="JK46" s="139">
        <f>ROUND(+JJ53,2)</f>
        <v>-27948906.510000002</v>
      </c>
      <c r="JL46" s="139">
        <f>ROUND(+JK53,2)</f>
        <v>-28137804.02</v>
      </c>
      <c r="JM46" s="139">
        <f t="shared" ref="JM46:JU46" si="111">ROUND(+JL53,2)</f>
        <v>0</v>
      </c>
      <c r="JN46" s="139">
        <f t="shared" si="111"/>
        <v>0</v>
      </c>
      <c r="JO46" s="139">
        <f t="shared" si="111"/>
        <v>0</v>
      </c>
      <c r="JP46" s="139">
        <f t="shared" si="111"/>
        <v>0</v>
      </c>
      <c r="JQ46" s="139">
        <f t="shared" si="111"/>
        <v>0</v>
      </c>
      <c r="JR46" s="139">
        <f t="shared" si="111"/>
        <v>0</v>
      </c>
      <c r="JS46" s="139">
        <f t="shared" si="111"/>
        <v>0</v>
      </c>
      <c r="JT46" s="139">
        <f t="shared" si="111"/>
        <v>0</v>
      </c>
      <c r="JU46" s="139">
        <f t="shared" si="111"/>
        <v>0</v>
      </c>
      <c r="JV46" s="632"/>
      <c r="JW46" s="414"/>
      <c r="JX46" s="414"/>
      <c r="JY46" s="414"/>
      <c r="JZ46" s="414"/>
      <c r="KA46" s="414"/>
      <c r="KB46" s="414"/>
      <c r="KC46" s="414"/>
      <c r="KD46" s="414"/>
      <c r="KE46" s="414"/>
      <c r="KF46" s="414"/>
      <c r="KG46" s="414"/>
      <c r="KH46" s="414"/>
      <c r="KI46" s="633"/>
    </row>
    <row r="47" spans="1:295" s="73" customFormat="1" x14ac:dyDescent="0.2">
      <c r="A47" s="24"/>
      <c r="B47" s="24" t="s">
        <v>248</v>
      </c>
      <c r="C47" s="24"/>
      <c r="D47" s="17"/>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27"/>
      <c r="DJ47" s="127"/>
      <c r="DK47" s="127"/>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c r="IW47" s="139"/>
      <c r="IX47" s="139"/>
      <c r="IY47" s="139"/>
      <c r="IZ47" s="139"/>
      <c r="JA47" s="139"/>
      <c r="JB47" s="139"/>
      <c r="JC47" s="139"/>
      <c r="JD47" s="139"/>
      <c r="JE47" s="139"/>
      <c r="JF47" s="139"/>
      <c r="JG47" s="139"/>
      <c r="JH47" s="139"/>
      <c r="JI47" s="15">
        <v>138198</v>
      </c>
      <c r="JJ47" s="139"/>
      <c r="JK47" s="139"/>
      <c r="JL47" s="139"/>
      <c r="JM47" s="139"/>
      <c r="JN47" s="139"/>
      <c r="JO47" s="139"/>
      <c r="JP47" s="139"/>
      <c r="JQ47" s="139"/>
      <c r="JR47" s="139"/>
      <c r="JS47" s="139"/>
      <c r="JT47" s="139"/>
      <c r="JU47" s="139"/>
      <c r="JV47" s="632"/>
      <c r="JW47" s="414"/>
      <c r="JX47" s="414"/>
      <c r="JY47" s="414"/>
      <c r="JZ47" s="414"/>
      <c r="KA47" s="414"/>
      <c r="KB47" s="414"/>
      <c r="KC47" s="414"/>
      <c r="KD47" s="414"/>
      <c r="KE47" s="414"/>
      <c r="KF47" s="414"/>
      <c r="KG47" s="414"/>
      <c r="KH47" s="414"/>
      <c r="KI47" s="633"/>
    </row>
    <row r="48" spans="1:295" s="73" customFormat="1" x14ac:dyDescent="0.2">
      <c r="A48" s="24"/>
      <c r="B48" s="24" t="s">
        <v>244</v>
      </c>
      <c r="C48" s="24"/>
      <c r="D48" s="17">
        <f>-27194819.97+24215579+453947.53</f>
        <v>-2525293.4399999985</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27"/>
      <c r="DJ48" s="127"/>
      <c r="DK48" s="127"/>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c r="IW48" s="139"/>
      <c r="IX48" s="139"/>
      <c r="IY48" s="139"/>
      <c r="IZ48" s="139"/>
      <c r="JA48" s="15"/>
      <c r="JB48" s="15">
        <f>-27194819.97+24215579+453947.53</f>
        <v>-2525293.4399999985</v>
      </c>
      <c r="JC48" s="15">
        <v>-33443.629999999997</v>
      </c>
      <c r="JD48" s="139"/>
      <c r="JE48" s="139"/>
      <c r="JF48" s="139"/>
      <c r="JG48" s="139"/>
      <c r="JH48" s="139"/>
      <c r="JI48" s="15"/>
      <c r="JJ48" s="139"/>
      <c r="JK48" s="139"/>
      <c r="JL48" s="145">
        <v>28137804.02</v>
      </c>
      <c r="JM48" s="139"/>
      <c r="JN48" s="139"/>
      <c r="JO48" s="139"/>
      <c r="JP48" s="139"/>
      <c r="JQ48" s="139"/>
      <c r="JR48" s="139"/>
      <c r="JS48" s="139"/>
      <c r="JT48" s="139"/>
      <c r="JU48" s="139"/>
      <c r="JV48" s="632"/>
      <c r="JW48" s="414"/>
      <c r="JX48" s="414"/>
      <c r="JY48" s="414"/>
      <c r="JZ48" s="414"/>
      <c r="KA48" s="414"/>
      <c r="KB48" s="414"/>
      <c r="KC48" s="414"/>
      <c r="KD48" s="414"/>
      <c r="KE48" s="414"/>
      <c r="KF48" s="414"/>
      <c r="KG48" s="414"/>
      <c r="KH48" s="414"/>
      <c r="KI48" s="633"/>
    </row>
    <row r="49" spans="1:295" s="73" customFormat="1" x14ac:dyDescent="0.2">
      <c r="A49" s="24"/>
      <c r="B49" s="24" t="s">
        <v>105</v>
      </c>
      <c r="C49" s="24"/>
      <c r="D49" s="17"/>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7"/>
      <c r="DI49" s="127"/>
      <c r="DJ49" s="127"/>
      <c r="DK49" s="127"/>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c r="IW49" s="139"/>
      <c r="IX49" s="139"/>
      <c r="IY49" s="139"/>
      <c r="IZ49" s="139"/>
      <c r="JA49" s="139"/>
      <c r="JB49" s="139"/>
      <c r="JC49" s="139"/>
      <c r="JD49" s="139"/>
      <c r="JE49" s="139"/>
      <c r="JF49" s="139"/>
      <c r="JG49" s="139"/>
      <c r="JH49" s="139"/>
      <c r="JI49" s="15"/>
      <c r="JJ49" s="139"/>
      <c r="JK49" s="139"/>
      <c r="JM49" s="139"/>
      <c r="JN49" s="139"/>
      <c r="JO49" s="139"/>
      <c r="JP49" s="139"/>
      <c r="JQ49" s="139"/>
      <c r="JR49" s="139"/>
      <c r="JS49" s="139"/>
      <c r="JT49" s="139"/>
      <c r="JU49" s="139"/>
      <c r="JV49" s="632"/>
      <c r="JW49" s="414"/>
      <c r="JX49" s="414"/>
      <c r="JY49" s="414"/>
      <c r="JZ49" s="414"/>
      <c r="KA49" s="414"/>
      <c r="KB49" s="414"/>
      <c r="KC49" s="414"/>
      <c r="KD49" s="414"/>
      <c r="KE49" s="414"/>
      <c r="KF49" s="414"/>
      <c r="KG49" s="414"/>
      <c r="KH49" s="414"/>
      <c r="KI49" s="633"/>
    </row>
    <row r="50" spans="1:295" s="73" customFormat="1" x14ac:dyDescent="0.2">
      <c r="A50" s="24"/>
      <c r="B50" s="24" t="s">
        <v>114</v>
      </c>
      <c r="C50" s="24"/>
      <c r="D50" s="17"/>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c r="CI50" s="127"/>
      <c r="CJ50" s="127"/>
      <c r="CK50" s="127"/>
      <c r="CL50" s="127"/>
      <c r="CM50" s="127"/>
      <c r="CN50" s="127"/>
      <c r="CO50" s="127"/>
      <c r="CP50" s="127"/>
      <c r="CQ50" s="127"/>
      <c r="CR50" s="127"/>
      <c r="CS50" s="127"/>
      <c r="CT50" s="127"/>
      <c r="CU50" s="127"/>
      <c r="CV50" s="127"/>
      <c r="CW50" s="127"/>
      <c r="CX50" s="127"/>
      <c r="CY50" s="127"/>
      <c r="CZ50" s="127"/>
      <c r="DA50" s="127"/>
      <c r="DB50" s="127"/>
      <c r="DC50" s="127"/>
      <c r="DD50" s="127"/>
      <c r="DE50" s="127"/>
      <c r="DF50" s="127"/>
      <c r="DG50" s="127"/>
      <c r="DH50" s="127"/>
      <c r="DI50" s="127"/>
      <c r="DJ50" s="127"/>
      <c r="DK50" s="127"/>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c r="IW50" s="139"/>
      <c r="IX50" s="139"/>
      <c r="IY50" s="139"/>
      <c r="IZ50" s="139"/>
      <c r="JA50" s="139"/>
      <c r="JB50" s="139"/>
      <c r="JC50" s="139"/>
      <c r="JD50" s="139"/>
      <c r="JE50" s="139"/>
      <c r="JF50" s="139"/>
      <c r="JG50" s="139"/>
      <c r="JH50" s="139"/>
      <c r="JI50" s="15"/>
      <c r="JJ50" s="370"/>
      <c r="JK50" s="370"/>
      <c r="JL50" s="370"/>
      <c r="JM50" s="370"/>
      <c r="JN50" s="370"/>
      <c r="JO50" s="370"/>
      <c r="JP50" s="370"/>
      <c r="JQ50" s="370"/>
      <c r="JR50" s="370"/>
      <c r="JS50" s="370"/>
      <c r="JT50" s="370"/>
      <c r="JU50" s="370"/>
      <c r="JV50" s="634"/>
      <c r="JW50" s="413"/>
      <c r="JX50" s="413"/>
      <c r="JY50" s="413"/>
      <c r="JZ50" s="413"/>
      <c r="KA50" s="413"/>
      <c r="KB50" s="413"/>
      <c r="KC50" s="413"/>
      <c r="KD50" s="413"/>
      <c r="KE50" s="413"/>
      <c r="KF50" s="413"/>
      <c r="KG50" s="413"/>
      <c r="KH50" s="413"/>
      <c r="KI50" s="635"/>
    </row>
    <row r="51" spans="1:295" s="73" customFormat="1" x14ac:dyDescent="0.2">
      <c r="A51" s="24"/>
      <c r="B51" s="24" t="s">
        <v>71</v>
      </c>
      <c r="C51" s="24"/>
      <c r="D51" s="15"/>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c r="CI51" s="127"/>
      <c r="CJ51" s="127"/>
      <c r="CK51" s="127"/>
      <c r="CL51" s="127"/>
      <c r="CM51" s="127"/>
      <c r="CN51" s="127"/>
      <c r="CO51" s="127"/>
      <c r="CP51" s="127"/>
      <c r="CQ51" s="127"/>
      <c r="CR51" s="127"/>
      <c r="CS51" s="127"/>
      <c r="CT51" s="127"/>
      <c r="CU51" s="127"/>
      <c r="CV51" s="127"/>
      <c r="CW51" s="127"/>
      <c r="CX51" s="127"/>
      <c r="CY51" s="127"/>
      <c r="CZ51" s="127"/>
      <c r="DA51" s="127"/>
      <c r="DB51" s="127"/>
      <c r="DC51" s="127"/>
      <c r="DD51" s="127"/>
      <c r="DE51" s="127"/>
      <c r="DF51" s="127"/>
      <c r="DG51" s="127"/>
      <c r="DH51" s="127"/>
      <c r="DI51" s="127"/>
      <c r="DJ51" s="127"/>
      <c r="DK51" s="127"/>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c r="IW51" s="139"/>
      <c r="IX51" s="139"/>
      <c r="IY51" s="139"/>
      <c r="IZ51" s="139"/>
      <c r="JA51" s="139"/>
      <c r="JB51" s="139"/>
      <c r="JC51" s="139"/>
      <c r="JD51" s="15">
        <v>-277719.34999999998</v>
      </c>
      <c r="JE51" s="15">
        <v>-165047.15</v>
      </c>
      <c r="JF51" s="15">
        <v>-170548.73</v>
      </c>
      <c r="JG51" s="15">
        <v>-165047.15</v>
      </c>
      <c r="JH51" s="15">
        <v>-182373.44</v>
      </c>
      <c r="JI51" s="15">
        <v>-176473.17</v>
      </c>
      <c r="JJ51" s="145">
        <v>-175579.45</v>
      </c>
      <c r="JK51" s="145">
        <v>-188897.51</v>
      </c>
      <c r="JL51" s="370"/>
      <c r="JM51" s="370"/>
      <c r="JN51" s="370"/>
      <c r="JO51" s="370"/>
      <c r="JP51" s="370"/>
      <c r="JQ51" s="370"/>
      <c r="JR51" s="370"/>
      <c r="JS51" s="370"/>
      <c r="JT51" s="370"/>
      <c r="JU51" s="370"/>
      <c r="JV51" s="634"/>
      <c r="JW51" s="413"/>
      <c r="JX51" s="413"/>
      <c r="JY51" s="413"/>
      <c r="JZ51" s="413"/>
      <c r="KA51" s="413"/>
      <c r="KB51" s="413"/>
      <c r="KC51" s="413"/>
      <c r="KD51" s="413"/>
      <c r="KE51" s="413"/>
      <c r="KF51" s="413"/>
      <c r="KG51" s="413"/>
      <c r="KH51" s="413"/>
      <c r="KI51" s="635"/>
    </row>
    <row r="52" spans="1:295" s="73" customFormat="1" x14ac:dyDescent="0.2">
      <c r="A52" s="24"/>
      <c r="B52" s="24" t="s">
        <v>108</v>
      </c>
      <c r="C52" s="24"/>
      <c r="D52" s="18">
        <f>SUM(D48:D51)</f>
        <v>-2525293.4399999985</v>
      </c>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c r="CI52" s="127"/>
      <c r="CJ52" s="127"/>
      <c r="CK52" s="127"/>
      <c r="CL52" s="127"/>
      <c r="CM52" s="127"/>
      <c r="CN52" s="127"/>
      <c r="CO52" s="127"/>
      <c r="CP52" s="127"/>
      <c r="CQ52" s="127"/>
      <c r="CR52" s="127"/>
      <c r="CS52" s="127"/>
      <c r="CT52" s="127"/>
      <c r="CU52" s="127"/>
      <c r="CV52" s="127"/>
      <c r="CW52" s="127"/>
      <c r="CX52" s="127"/>
      <c r="CY52" s="127"/>
      <c r="CZ52" s="127"/>
      <c r="DA52" s="127"/>
      <c r="DB52" s="127"/>
      <c r="DC52" s="127"/>
      <c r="DD52" s="127"/>
      <c r="DE52" s="127"/>
      <c r="DF52" s="127"/>
      <c r="DG52" s="127"/>
      <c r="DH52" s="127"/>
      <c r="DI52" s="127"/>
      <c r="DJ52" s="127"/>
      <c r="DK52" s="127"/>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72"/>
      <c r="IM52" s="172"/>
      <c r="IN52" s="172"/>
      <c r="IO52" s="172"/>
      <c r="IP52" s="172"/>
      <c r="IQ52" s="172"/>
      <c r="IR52" s="172"/>
      <c r="IS52" s="172"/>
      <c r="IT52" s="172"/>
      <c r="IU52" s="172"/>
      <c r="IV52" s="172"/>
      <c r="IW52" s="172"/>
      <c r="IX52" s="172"/>
      <c r="IY52" s="172"/>
      <c r="IZ52" s="172"/>
      <c r="JA52" s="172"/>
      <c r="JB52" s="172">
        <f t="shared" ref="JB52:JG52" si="112">ROUND(SUM(JB47:JB51),2)</f>
        <v>-2525293.44</v>
      </c>
      <c r="JC52" s="172">
        <f t="shared" si="112"/>
        <v>-33443.629999999997</v>
      </c>
      <c r="JD52" s="172">
        <f t="shared" si="112"/>
        <v>-277719.34999999998</v>
      </c>
      <c r="JE52" s="172">
        <f t="shared" si="112"/>
        <v>-165047.15</v>
      </c>
      <c r="JF52" s="172">
        <f t="shared" si="112"/>
        <v>-170548.73</v>
      </c>
      <c r="JG52" s="172">
        <f t="shared" si="112"/>
        <v>-165047.15</v>
      </c>
      <c r="JH52" s="172">
        <f>ROUND(SUM(JH47:JH51),2)</f>
        <v>-182373.44</v>
      </c>
      <c r="JI52" s="172">
        <f>ROUND(SUM(JI47:JI51),2)</f>
        <v>-38275.17</v>
      </c>
      <c r="JJ52" s="172">
        <f>ROUND(SUM(JJ47:JJ51),2)</f>
        <v>-175579.45</v>
      </c>
      <c r="JK52" s="172">
        <f>ROUND(SUM(JK47:JK51),2)</f>
        <v>-188897.51</v>
      </c>
      <c r="JL52" s="172">
        <f>ROUND(SUM(JL47:JL51),2)</f>
        <v>28137804.02</v>
      </c>
      <c r="JM52" s="172">
        <f t="shared" ref="JM52:JU52" si="113">ROUND(SUM(JM48:JM51),2)</f>
        <v>0</v>
      </c>
      <c r="JN52" s="172">
        <f t="shared" si="113"/>
        <v>0</v>
      </c>
      <c r="JO52" s="172">
        <f t="shared" si="113"/>
        <v>0</v>
      </c>
      <c r="JP52" s="172">
        <f t="shared" si="113"/>
        <v>0</v>
      </c>
      <c r="JQ52" s="172">
        <f t="shared" si="113"/>
        <v>0</v>
      </c>
      <c r="JR52" s="172">
        <f t="shared" si="113"/>
        <v>0</v>
      </c>
      <c r="JS52" s="172">
        <f t="shared" si="113"/>
        <v>0</v>
      </c>
      <c r="JT52" s="172">
        <f t="shared" si="113"/>
        <v>0</v>
      </c>
      <c r="JU52" s="172">
        <f t="shared" si="113"/>
        <v>0</v>
      </c>
      <c r="JV52" s="632"/>
      <c r="JW52" s="414"/>
      <c r="JX52" s="414"/>
      <c r="JY52" s="414"/>
      <c r="JZ52" s="414"/>
      <c r="KA52" s="414"/>
      <c r="KB52" s="414"/>
      <c r="KC52" s="414"/>
      <c r="KD52" s="414"/>
      <c r="KE52" s="414"/>
      <c r="KF52" s="414"/>
      <c r="KG52" s="414"/>
      <c r="KH52" s="414"/>
      <c r="KI52" s="633"/>
    </row>
    <row r="53" spans="1:295" s="73" customFormat="1" x14ac:dyDescent="0.2">
      <c r="A53" s="23"/>
      <c r="B53" s="24" t="s">
        <v>109</v>
      </c>
      <c r="C53" s="24"/>
      <c r="D53" s="19">
        <f>+D52+D46</f>
        <v>-26740872.439999998</v>
      </c>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c r="CS53" s="127"/>
      <c r="CT53" s="127"/>
      <c r="CU53" s="127"/>
      <c r="CV53" s="127"/>
      <c r="CW53" s="127"/>
      <c r="CX53" s="127"/>
      <c r="CY53" s="127"/>
      <c r="CZ53" s="127"/>
      <c r="DA53" s="127"/>
      <c r="DB53" s="127"/>
      <c r="DC53" s="127"/>
      <c r="DD53" s="127"/>
      <c r="DE53" s="127"/>
      <c r="DF53" s="127"/>
      <c r="DG53" s="127"/>
      <c r="DH53" s="127"/>
      <c r="DI53" s="127"/>
      <c r="DJ53" s="127"/>
      <c r="DK53" s="127"/>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c r="IW53" s="139"/>
      <c r="IX53" s="139"/>
      <c r="IY53" s="139"/>
      <c r="IZ53" s="139"/>
      <c r="JA53" s="139"/>
      <c r="JB53" s="139">
        <f>ROUND(+JB46+JB52,2)</f>
        <v>-26740872.440000001</v>
      </c>
      <c r="JC53" s="139">
        <f t="shared" ref="JC53" si="114">ROUND(+JC46+JC52,2)</f>
        <v>-26774316.07</v>
      </c>
      <c r="JD53" s="139">
        <f t="shared" ref="JD53" si="115">ROUND(+JD46+JD52,2)</f>
        <v>-27052035.420000002</v>
      </c>
      <c r="JE53" s="139">
        <f t="shared" ref="JE53" si="116">ROUND(+JE46+JE52,2)</f>
        <v>-27217082.57</v>
      </c>
      <c r="JF53" s="139">
        <f t="shared" ref="JF53" si="117">ROUND(+JF46+JF52,2)</f>
        <v>-27387631.300000001</v>
      </c>
      <c r="JG53" s="139">
        <f t="shared" ref="JG53" si="118">ROUND(+JG46+JG52,2)</f>
        <v>-27552678.449999999</v>
      </c>
      <c r="JH53" s="139">
        <f t="shared" ref="JH53" si="119">ROUND(+JH46+JH52,2)</f>
        <v>-27735051.890000001</v>
      </c>
      <c r="JI53" s="139">
        <f t="shared" ref="JI53" si="120">ROUND(+JI46+JI52,2)</f>
        <v>-27773327.059999999</v>
      </c>
      <c r="JJ53" s="139">
        <f t="shared" ref="JJ53:JL53" si="121">ROUND(+JJ46+JJ52,2)</f>
        <v>-27948906.510000002</v>
      </c>
      <c r="JK53" s="139">
        <f t="shared" si="121"/>
        <v>-28137804.02</v>
      </c>
      <c r="JL53" s="139">
        <f t="shared" si="121"/>
        <v>0</v>
      </c>
      <c r="JM53" s="139">
        <f t="shared" ref="JM53" si="122">ROUND(+JM46+JM52,2)</f>
        <v>0</v>
      </c>
      <c r="JN53" s="139">
        <f t="shared" ref="JN53" si="123">ROUND(+JN46+JN52,2)</f>
        <v>0</v>
      </c>
      <c r="JO53" s="139">
        <f t="shared" ref="JO53" si="124">ROUND(+JO46+JO52,2)</f>
        <v>0</v>
      </c>
      <c r="JP53" s="139">
        <f t="shared" ref="JP53" si="125">ROUND(+JP46+JP52,2)</f>
        <v>0</v>
      </c>
      <c r="JQ53" s="139">
        <f t="shared" ref="JQ53" si="126">ROUND(+JQ46+JQ52,2)</f>
        <v>0</v>
      </c>
      <c r="JR53" s="139">
        <f t="shared" ref="JR53" si="127">ROUND(+JR46+JR52,2)</f>
        <v>0</v>
      </c>
      <c r="JS53" s="139">
        <f t="shared" ref="JS53" si="128">ROUND(+JS46+JS52,2)</f>
        <v>0</v>
      </c>
      <c r="JT53" s="139">
        <f t="shared" ref="JT53" si="129">ROUND(+JT46+JT52,2)</f>
        <v>0</v>
      </c>
      <c r="JU53" s="139">
        <f t="shared" ref="JU53" si="130">ROUND(+JU46+JU52,2)</f>
        <v>0</v>
      </c>
      <c r="JV53" s="632"/>
      <c r="JW53" s="414"/>
      <c r="JX53" s="414"/>
      <c r="JY53" s="414"/>
      <c r="JZ53" s="414"/>
      <c r="KA53" s="414"/>
      <c r="KB53" s="414"/>
      <c r="KC53" s="414"/>
      <c r="KD53" s="414"/>
      <c r="KE53" s="414"/>
      <c r="KF53" s="414"/>
      <c r="KG53" s="414"/>
      <c r="KH53" s="414"/>
      <c r="KI53" s="633"/>
    </row>
    <row r="54" spans="1:295" s="73" customFormat="1" x14ac:dyDescent="0.2">
      <c r="A54" s="23"/>
      <c r="B54" s="24"/>
      <c r="C54" s="24"/>
      <c r="D54" s="1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c r="CI54" s="127"/>
      <c r="CJ54" s="127"/>
      <c r="CK54" s="127"/>
      <c r="CL54" s="127"/>
      <c r="CM54" s="127"/>
      <c r="CN54" s="127"/>
      <c r="CO54" s="127"/>
      <c r="CP54" s="127"/>
      <c r="CQ54" s="127"/>
      <c r="CR54" s="127"/>
      <c r="CS54" s="127"/>
      <c r="CT54" s="127"/>
      <c r="CU54" s="127"/>
      <c r="CV54" s="127"/>
      <c r="CW54" s="127"/>
      <c r="CX54" s="127"/>
      <c r="CY54" s="127"/>
      <c r="CZ54" s="127"/>
      <c r="DA54" s="127"/>
      <c r="DB54" s="127"/>
      <c r="DC54" s="127"/>
      <c r="DD54" s="127"/>
      <c r="DE54" s="127"/>
      <c r="DF54" s="127"/>
      <c r="DG54" s="127"/>
      <c r="DH54" s="127"/>
      <c r="DI54" s="127"/>
      <c r="DJ54" s="127"/>
      <c r="DK54" s="127"/>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c r="IW54" s="139"/>
      <c r="IX54" s="139"/>
      <c r="IY54" s="139"/>
      <c r="IZ54" s="139"/>
      <c r="JA54" s="139"/>
      <c r="JB54" s="139"/>
      <c r="JC54" s="139"/>
      <c r="JD54" s="139"/>
      <c r="JE54" s="139"/>
      <c r="JF54" s="139"/>
      <c r="JG54" s="139"/>
      <c r="JH54" s="139"/>
      <c r="JI54" s="139"/>
      <c r="JJ54" s="139"/>
      <c r="JK54" s="139"/>
      <c r="JL54" s="139"/>
      <c r="JM54" s="139"/>
      <c r="JN54" s="139"/>
      <c r="JO54" s="139"/>
      <c r="JP54" s="139"/>
      <c r="JQ54" s="139"/>
      <c r="JR54" s="139"/>
      <c r="JS54" s="139"/>
      <c r="JT54" s="139"/>
      <c r="JU54" s="139"/>
      <c r="JV54" s="632"/>
      <c r="JW54" s="414"/>
      <c r="JX54" s="414"/>
      <c r="JY54" s="414"/>
      <c r="JZ54" s="414"/>
      <c r="KA54" s="414"/>
      <c r="KB54" s="414"/>
      <c r="KC54" s="414"/>
      <c r="KD54" s="414"/>
      <c r="KE54" s="414"/>
      <c r="KF54" s="414"/>
      <c r="KG54" s="414"/>
      <c r="KH54" s="414"/>
      <c r="KI54" s="633"/>
    </row>
    <row r="55" spans="1:295" x14ac:dyDescent="0.2">
      <c r="A55" s="23" t="s">
        <v>116</v>
      </c>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c r="CI55" s="127"/>
      <c r="CJ55" s="127"/>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c r="IW55" s="139"/>
      <c r="IX55" s="139"/>
      <c r="IY55" s="139"/>
      <c r="IZ55" s="139"/>
      <c r="JA55" s="139"/>
      <c r="JB55" s="139"/>
      <c r="JC55" s="139"/>
      <c r="JD55" s="139"/>
      <c r="JE55" s="139"/>
      <c r="JF55" s="139"/>
      <c r="JG55" s="139"/>
      <c r="JH55" s="139"/>
      <c r="JI55" s="139"/>
      <c r="JJ55" s="139"/>
      <c r="JK55" s="139"/>
      <c r="JL55" s="139"/>
      <c r="JM55" s="139"/>
      <c r="JN55" s="139"/>
      <c r="JO55" s="139"/>
      <c r="JP55" s="139"/>
      <c r="JQ55" s="139"/>
      <c r="JR55" s="139"/>
      <c r="JS55" s="139"/>
      <c r="JT55" s="139"/>
      <c r="JU55" s="139"/>
      <c r="JV55" s="632"/>
      <c r="JW55" s="414"/>
      <c r="JX55" s="414"/>
      <c r="JY55" s="414"/>
      <c r="JZ55" s="414"/>
      <c r="KA55" s="414"/>
      <c r="KB55" s="414"/>
      <c r="KC55" s="414"/>
      <c r="KD55" s="414"/>
      <c r="KE55" s="414"/>
      <c r="KF55" s="414"/>
      <c r="KG55" s="414"/>
      <c r="KH55" s="414"/>
      <c r="KI55" s="633"/>
    </row>
    <row r="56" spans="1:295" x14ac:dyDescent="0.2">
      <c r="B56" s="24" t="s">
        <v>104</v>
      </c>
      <c r="D56" s="50">
        <f>61109259.77-44.65</f>
        <v>61109215.120000005</v>
      </c>
      <c r="E56" s="50">
        <f>+D67</f>
        <v>59812470.350000001</v>
      </c>
      <c r="F56" s="50">
        <f>+E67</f>
        <v>120745657.28</v>
      </c>
      <c r="G56" s="50">
        <f>+F67</f>
        <v>116400172.34</v>
      </c>
      <c r="H56" s="50">
        <f>+G67</f>
        <v>105985135.08006337</v>
      </c>
      <c r="I56" s="50">
        <f t="shared" ref="I56:AB56" si="131">ROUND(+H67,2)</f>
        <v>92410074.879999995</v>
      </c>
      <c r="J56" s="50">
        <f>ROUND(+I67,2)</f>
        <v>73649281.129999995</v>
      </c>
      <c r="K56" s="50">
        <f t="shared" si="131"/>
        <v>54385898.57</v>
      </c>
      <c r="L56" s="50">
        <f t="shared" si="131"/>
        <v>37849031.229999997</v>
      </c>
      <c r="M56" s="50">
        <f t="shared" si="131"/>
        <v>19641296.899999999</v>
      </c>
      <c r="N56" s="50">
        <f t="shared" si="131"/>
        <v>7841036.4800000004</v>
      </c>
      <c r="O56" s="50">
        <f t="shared" si="131"/>
        <v>-1010074.6</v>
      </c>
      <c r="P56" s="50">
        <f t="shared" si="131"/>
        <v>-869527.96</v>
      </c>
      <c r="Q56" s="50">
        <f t="shared" si="131"/>
        <v>-903317.99</v>
      </c>
      <c r="R56" s="50">
        <f t="shared" si="131"/>
        <v>-937108.02</v>
      </c>
      <c r="S56" s="50">
        <f t="shared" si="131"/>
        <v>-404021.02</v>
      </c>
      <c r="T56" s="50">
        <f t="shared" si="131"/>
        <v>-167814.39</v>
      </c>
      <c r="U56" s="50">
        <f t="shared" si="131"/>
        <v>7284028.3300000001</v>
      </c>
      <c r="V56" s="50">
        <f>ROUND(+U67,2)</f>
        <v>16456818.119999999</v>
      </c>
      <c r="W56" s="50">
        <f t="shared" si="131"/>
        <v>-83020072.079999998</v>
      </c>
      <c r="X56" s="50">
        <f t="shared" si="131"/>
        <v>-74655652.510000005</v>
      </c>
      <c r="Y56" s="50">
        <f t="shared" si="131"/>
        <v>-67370116.099999994</v>
      </c>
      <c r="Z56" s="50">
        <f>ROUND(+Y67,2)</f>
        <v>-23540349.66</v>
      </c>
      <c r="AA56" s="50">
        <f t="shared" si="131"/>
        <v>-21389993.739999998</v>
      </c>
      <c r="AB56" s="50">
        <f t="shared" si="131"/>
        <v>-20155529.390000001</v>
      </c>
      <c r="AC56" s="50">
        <f>ROUND(+AB67,2)</f>
        <v>-19157897.949999999</v>
      </c>
      <c r="AD56" s="50">
        <f>ROUND(+AC67,2)</f>
        <v>-17677541.829999998</v>
      </c>
      <c r="AE56" s="139">
        <f>ROUND(+AD67,2)</f>
        <v>-16440523.6</v>
      </c>
      <c r="AF56" s="139">
        <f t="shared" ref="AF56:BQ56" si="132">ROUND(+AE67,2)</f>
        <v>-9467391.0099999998</v>
      </c>
      <c r="AG56" s="139">
        <f t="shared" si="132"/>
        <v>-8097534.0999999996</v>
      </c>
      <c r="AH56" s="139">
        <f t="shared" si="132"/>
        <v>-6589680.9100000001</v>
      </c>
      <c r="AI56" s="139">
        <f t="shared" si="132"/>
        <v>-5015530.6100000003</v>
      </c>
      <c r="AJ56" s="139">
        <f t="shared" si="132"/>
        <v>-3737067.53</v>
      </c>
      <c r="AK56" s="139">
        <f t="shared" si="132"/>
        <v>-2649582.36</v>
      </c>
      <c r="AL56" s="139">
        <f t="shared" si="132"/>
        <v>-1998438.82</v>
      </c>
      <c r="AM56" s="139">
        <f t="shared" si="132"/>
        <v>-1478820.69</v>
      </c>
      <c r="AN56" s="139">
        <f t="shared" si="132"/>
        <v>-1094126.33</v>
      </c>
      <c r="AO56" s="139">
        <f t="shared" si="132"/>
        <v>-775943.88</v>
      </c>
      <c r="AP56" s="139">
        <f t="shared" si="132"/>
        <v>-417583.8</v>
      </c>
      <c r="AQ56" s="139">
        <f t="shared" si="132"/>
        <v>24831.34</v>
      </c>
      <c r="AR56" s="139">
        <f t="shared" si="132"/>
        <v>8843522.0299999993</v>
      </c>
      <c r="AS56" s="139">
        <f t="shared" si="132"/>
        <v>7798610.8600000003</v>
      </c>
      <c r="AT56" s="139">
        <f t="shared" si="132"/>
        <v>6502736.5099999998</v>
      </c>
      <c r="AU56" s="139">
        <f t="shared" si="132"/>
        <v>5072724.59</v>
      </c>
      <c r="AV56" s="139">
        <f t="shared" si="132"/>
        <v>3940228.01</v>
      </c>
      <c r="AW56" s="139">
        <f t="shared" si="132"/>
        <v>3103055.42</v>
      </c>
      <c r="AX56" s="139">
        <f t="shared" si="132"/>
        <v>2348258.41</v>
      </c>
      <c r="AY56" s="139">
        <f t="shared" si="132"/>
        <v>1932732.79</v>
      </c>
      <c r="AZ56" s="139">
        <f t="shared" si="132"/>
        <v>1572373.78</v>
      </c>
      <c r="BA56" s="139">
        <f t="shared" si="132"/>
        <v>1290114.3700000001</v>
      </c>
      <c r="BB56" s="139">
        <f t="shared" si="132"/>
        <v>990401.12</v>
      </c>
      <c r="BC56" s="139">
        <f t="shared" si="132"/>
        <v>615834.31000000006</v>
      </c>
      <c r="BD56" s="139">
        <f t="shared" si="132"/>
        <v>30581310.789999999</v>
      </c>
      <c r="BE56" s="139">
        <f t="shared" si="132"/>
        <v>26559645.300000001</v>
      </c>
      <c r="BF56" s="139">
        <f t="shared" si="132"/>
        <v>21781178.890000001</v>
      </c>
      <c r="BG56" s="139">
        <f t="shared" si="132"/>
        <v>17469056</v>
      </c>
      <c r="BH56" s="139">
        <f t="shared" si="132"/>
        <v>13039483.300000001</v>
      </c>
      <c r="BI56" s="139">
        <f t="shared" si="132"/>
        <v>9224436.5099999998</v>
      </c>
      <c r="BJ56" s="139">
        <f t="shared" si="132"/>
        <v>6581711.9000000004</v>
      </c>
      <c r="BK56" s="139">
        <f t="shared" si="132"/>
        <v>4861599.01</v>
      </c>
      <c r="BL56" s="139">
        <f t="shared" si="132"/>
        <v>3724037.84</v>
      </c>
      <c r="BM56" s="139">
        <f t="shared" si="132"/>
        <v>2782475.22</v>
      </c>
      <c r="BN56" s="139">
        <f t="shared" si="132"/>
        <v>1795259.86</v>
      </c>
      <c r="BO56" s="139">
        <f t="shared" si="132"/>
        <v>577870.62</v>
      </c>
      <c r="BP56" s="139">
        <f t="shared" si="132"/>
        <v>69846585.370000005</v>
      </c>
      <c r="BQ56" s="139">
        <f t="shared" si="132"/>
        <v>65742726.469999999</v>
      </c>
      <c r="BR56" s="159">
        <f>ROUND(+BQ67,2)+0.43</f>
        <v>60654039.25</v>
      </c>
      <c r="BS56" s="139">
        <f t="shared" ref="BS56:ED56" si="133">ROUND(+BR67,2)</f>
        <v>54761598.049999997</v>
      </c>
      <c r="BT56" s="139">
        <f t="shared" si="133"/>
        <v>50569240.899999999</v>
      </c>
      <c r="BU56" s="139">
        <f t="shared" si="133"/>
        <v>46886948.700000003</v>
      </c>
      <c r="BV56" s="139">
        <f t="shared" si="133"/>
        <v>44140413.560000002</v>
      </c>
      <c r="BW56" s="139">
        <f t="shared" si="133"/>
        <v>42319665.579999998</v>
      </c>
      <c r="BX56" s="139">
        <f t="shared" si="133"/>
        <v>41080897</v>
      </c>
      <c r="BY56" s="139">
        <f t="shared" si="133"/>
        <v>40230459.729999997</v>
      </c>
      <c r="BZ56" s="139">
        <f t="shared" si="133"/>
        <v>39297519.439999998</v>
      </c>
      <c r="CA56" s="139">
        <f t="shared" si="133"/>
        <v>37968909.880000003</v>
      </c>
      <c r="CB56" s="139">
        <f t="shared" si="133"/>
        <v>-55736248.850000001</v>
      </c>
      <c r="CC56" s="139">
        <f t="shared" si="133"/>
        <v>-49394190.840000004</v>
      </c>
      <c r="CD56" s="139">
        <f t="shared" si="133"/>
        <v>-40643132.420000002</v>
      </c>
      <c r="CE56" s="139">
        <f t="shared" si="133"/>
        <v>-30961308.920000002</v>
      </c>
      <c r="CF56" s="139">
        <f t="shared" si="133"/>
        <v>-23643545.890000001</v>
      </c>
      <c r="CG56" s="139">
        <f t="shared" si="133"/>
        <v>-16092032.58</v>
      </c>
      <c r="CH56" s="139">
        <f t="shared" si="133"/>
        <v>-10075018.279999999</v>
      </c>
      <c r="CI56" s="139">
        <f t="shared" si="133"/>
        <v>-6543800.6299999999</v>
      </c>
      <c r="CJ56" s="139">
        <f t="shared" si="133"/>
        <v>-3540656.44</v>
      </c>
      <c r="CK56" s="139">
        <f t="shared" si="133"/>
        <v>-1610029.52</v>
      </c>
      <c r="CL56" s="139">
        <f t="shared" si="133"/>
        <v>742230.4</v>
      </c>
      <c r="CM56" s="139">
        <f t="shared" si="133"/>
        <v>3063647.6</v>
      </c>
      <c r="CN56" s="139">
        <f t="shared" si="133"/>
        <v>-15502795.66</v>
      </c>
      <c r="CO56" s="127">
        <f t="shared" si="133"/>
        <v>-13965540.57</v>
      </c>
      <c r="CP56" s="139">
        <f t="shared" si="133"/>
        <v>-11228536.859999999</v>
      </c>
      <c r="CQ56" s="139">
        <f t="shared" si="133"/>
        <v>-8537178.9399999995</v>
      </c>
      <c r="CR56" s="139">
        <f t="shared" si="133"/>
        <v>-6356424.3600000003</v>
      </c>
      <c r="CS56" s="139">
        <f t="shared" si="133"/>
        <v>-4077308.03</v>
      </c>
      <c r="CT56" s="139">
        <f t="shared" si="133"/>
        <v>-2636574.9300000002</v>
      </c>
      <c r="CU56" s="139">
        <f t="shared" si="133"/>
        <v>-1677845</v>
      </c>
      <c r="CV56" s="139">
        <f t="shared" si="133"/>
        <v>-21810225.760000002</v>
      </c>
      <c r="CW56" s="139">
        <f t="shared" si="133"/>
        <v>-20812349.640000001</v>
      </c>
      <c r="CX56" s="139">
        <f t="shared" si="133"/>
        <v>-19513897.620000001</v>
      </c>
      <c r="CY56" s="139">
        <f t="shared" si="133"/>
        <v>-18279061.370000001</v>
      </c>
      <c r="CZ56" s="139">
        <f t="shared" si="133"/>
        <v>-76477618.920000002</v>
      </c>
      <c r="DA56" s="139">
        <f t="shared" si="133"/>
        <v>-67705822.590000004</v>
      </c>
      <c r="DB56" s="139">
        <f t="shared" si="133"/>
        <v>-53687985.280000001</v>
      </c>
      <c r="DC56" s="139">
        <f t="shared" si="133"/>
        <v>-44043095.659999996</v>
      </c>
      <c r="DD56" s="139">
        <f t="shared" si="133"/>
        <v>-35629285.789999999</v>
      </c>
      <c r="DE56" s="139">
        <f t="shared" si="133"/>
        <v>-27002795.879999999</v>
      </c>
      <c r="DF56" s="139">
        <f t="shared" si="133"/>
        <v>-19928628.370000001</v>
      </c>
      <c r="DG56" s="139">
        <f t="shared" si="133"/>
        <v>-14491586</v>
      </c>
      <c r="DH56" s="139">
        <f t="shared" si="133"/>
        <v>-11550804.84</v>
      </c>
      <c r="DI56" s="139">
        <f t="shared" si="133"/>
        <v>-9450505.4600000009</v>
      </c>
      <c r="DJ56" s="139">
        <f t="shared" si="133"/>
        <v>-7126068.25</v>
      </c>
      <c r="DK56" s="139">
        <f t="shared" si="133"/>
        <v>-4813751.6100000003</v>
      </c>
      <c r="DL56" s="139">
        <f t="shared" si="133"/>
        <v>-483396.77</v>
      </c>
      <c r="DM56" s="139">
        <f t="shared" si="133"/>
        <v>-14932396.380000001</v>
      </c>
      <c r="DN56" s="139">
        <f t="shared" si="133"/>
        <v>-12666302.529999999</v>
      </c>
      <c r="DO56" s="139">
        <f t="shared" si="133"/>
        <v>-10334600.41</v>
      </c>
      <c r="DP56" s="139">
        <f t="shared" si="133"/>
        <v>-8031332.4199999999</v>
      </c>
      <c r="DQ56" s="139">
        <f t="shared" si="133"/>
        <v>-6058508.9199999999</v>
      </c>
      <c r="DR56" s="139">
        <f t="shared" si="133"/>
        <v>-4230305.8899999997</v>
      </c>
      <c r="DS56" s="139">
        <f t="shared" si="133"/>
        <v>-3121583.03</v>
      </c>
      <c r="DT56" s="139">
        <f t="shared" si="133"/>
        <v>-2391341.79</v>
      </c>
      <c r="DU56" s="139">
        <f t="shared" si="133"/>
        <v>-1815586.69</v>
      </c>
      <c r="DV56" s="139">
        <f t="shared" si="133"/>
        <v>-1064507.31</v>
      </c>
      <c r="DW56" s="139">
        <f t="shared" si="133"/>
        <v>-481654.81</v>
      </c>
      <c r="DX56" s="139">
        <f t="shared" si="133"/>
        <v>748012.99</v>
      </c>
      <c r="DY56" s="139">
        <f t="shared" si="133"/>
        <v>-19639622.48</v>
      </c>
      <c r="DZ56" s="139">
        <f t="shared" si="133"/>
        <v>-16272241.710000001</v>
      </c>
      <c r="EA56" s="139">
        <f t="shared" si="133"/>
        <v>-12771006.609999999</v>
      </c>
      <c r="EB56" s="139">
        <f t="shared" si="133"/>
        <v>-9953492.6400000006</v>
      </c>
      <c r="EC56" s="139">
        <f t="shared" si="133"/>
        <v>-6756305.4000000004</v>
      </c>
      <c r="ED56" s="139">
        <f t="shared" si="133"/>
        <v>-5042014.97</v>
      </c>
      <c r="EE56" s="139">
        <f t="shared" ref="EE56:GP56" si="134">ROUND(+ED67,2)</f>
        <v>-3768029.39</v>
      </c>
      <c r="EF56" s="139">
        <f t="shared" si="134"/>
        <v>-2783986.16</v>
      </c>
      <c r="EG56" s="139">
        <f t="shared" si="134"/>
        <v>-2029131.58</v>
      </c>
      <c r="EH56" s="139">
        <f t="shared" si="134"/>
        <v>-1352524.62</v>
      </c>
      <c r="EI56" s="139">
        <f t="shared" si="134"/>
        <v>-575027.31000000006</v>
      </c>
      <c r="EJ56" s="139">
        <f t="shared" si="134"/>
        <v>1000711.77</v>
      </c>
      <c r="EK56" s="139">
        <f t="shared" si="134"/>
        <v>-31140784.91</v>
      </c>
      <c r="EL56" s="139">
        <f t="shared" si="134"/>
        <v>-26231978.109999999</v>
      </c>
      <c r="EM56" s="139">
        <f t="shared" si="134"/>
        <v>-20504782</v>
      </c>
      <c r="EN56" s="139">
        <f t="shared" si="134"/>
        <v>-16411917.699999999</v>
      </c>
      <c r="EO56" s="139">
        <f t="shared" si="134"/>
        <v>-12697279.82</v>
      </c>
      <c r="EP56" s="139">
        <f t="shared" si="134"/>
        <v>-9978409.25</v>
      </c>
      <c r="EQ56" s="139">
        <f t="shared" si="134"/>
        <v>-8168399.6200000001</v>
      </c>
      <c r="ER56" s="139">
        <f t="shared" si="134"/>
        <v>-7022426.9400000004</v>
      </c>
      <c r="ES56" s="139">
        <f t="shared" si="134"/>
        <v>-5986236.04</v>
      </c>
      <c r="ET56" s="139">
        <f t="shared" si="134"/>
        <v>-5105491.58</v>
      </c>
      <c r="EU56" s="139">
        <f t="shared" si="134"/>
        <v>-3777616.03</v>
      </c>
      <c r="EV56" s="139">
        <f t="shared" si="134"/>
        <v>-963408.83</v>
      </c>
      <c r="EW56" s="139">
        <f t="shared" si="134"/>
        <v>-9693498.8599999994</v>
      </c>
      <c r="EX56" s="139">
        <f t="shared" si="134"/>
        <v>-7879246.0199999996</v>
      </c>
      <c r="EY56" s="139">
        <f t="shared" si="134"/>
        <v>-6301236.29</v>
      </c>
      <c r="EZ56" s="139">
        <f t="shared" si="134"/>
        <v>-4712988.55</v>
      </c>
      <c r="FA56" s="139">
        <f t="shared" si="134"/>
        <v>-3510242.41</v>
      </c>
      <c r="FB56" s="139">
        <f t="shared" si="134"/>
        <v>-2684396.24</v>
      </c>
      <c r="FC56" s="139">
        <f t="shared" si="134"/>
        <v>-2153143.92</v>
      </c>
      <c r="FD56" s="139">
        <f t="shared" si="134"/>
        <v>-1764800.76</v>
      </c>
      <c r="FE56" s="139">
        <f t="shared" si="134"/>
        <v>-1448210.49</v>
      </c>
      <c r="FF56" s="139">
        <f t="shared" si="134"/>
        <v>-1135250.8700000001</v>
      </c>
      <c r="FG56" s="139">
        <f t="shared" si="134"/>
        <v>-786311.16</v>
      </c>
      <c r="FH56" s="139">
        <f t="shared" si="134"/>
        <v>-221203.58</v>
      </c>
      <c r="FI56" s="139">
        <f t="shared" si="134"/>
        <v>27061218.699999999</v>
      </c>
      <c r="FJ56" s="139">
        <f t="shared" si="134"/>
        <v>23412922.489999998</v>
      </c>
      <c r="FK56" s="139">
        <f t="shared" si="134"/>
        <v>19936038.809999999</v>
      </c>
      <c r="FL56" s="139">
        <f t="shared" si="134"/>
        <v>17269316.079999998</v>
      </c>
      <c r="FM56" s="139">
        <f t="shared" si="134"/>
        <v>14679659.59</v>
      </c>
      <c r="FN56" s="139">
        <f t="shared" si="134"/>
        <v>12474547.960000001</v>
      </c>
      <c r="FO56" s="139">
        <f t="shared" si="134"/>
        <v>11158429.630000001</v>
      </c>
      <c r="FP56" s="139">
        <f t="shared" si="134"/>
        <v>10282607.43</v>
      </c>
      <c r="FQ56" s="139">
        <f t="shared" si="134"/>
        <v>9554955.9299999997</v>
      </c>
      <c r="FR56" s="139">
        <f t="shared" si="134"/>
        <v>8788247.0899999999</v>
      </c>
      <c r="FS56" s="139">
        <f t="shared" si="134"/>
        <v>7739045.9100000001</v>
      </c>
      <c r="FT56" s="139">
        <f t="shared" si="134"/>
        <v>6221622.8300000001</v>
      </c>
      <c r="FU56" s="139">
        <f t="shared" si="134"/>
        <v>-30801283.710000001</v>
      </c>
      <c r="FV56" s="139">
        <f t="shared" si="134"/>
        <v>-26110356.699999999</v>
      </c>
      <c r="FW56" s="139">
        <f t="shared" si="134"/>
        <v>-21663883.510000002</v>
      </c>
      <c r="FX56" s="139">
        <f t="shared" si="134"/>
        <v>-18214913.48</v>
      </c>
      <c r="FY56" s="139">
        <f t="shared" si="134"/>
        <v>-14862273.890000001</v>
      </c>
      <c r="FZ56" s="139">
        <f t="shared" si="134"/>
        <v>-13014860.460000001</v>
      </c>
      <c r="GA56" s="139">
        <f t="shared" si="134"/>
        <v>-11568933.68</v>
      </c>
      <c r="GB56" s="139">
        <f t="shared" si="134"/>
        <v>-10440344.279999999</v>
      </c>
      <c r="GC56" s="139">
        <f t="shared" si="134"/>
        <v>-9361904.75</v>
      </c>
      <c r="GD56" s="139">
        <f t="shared" si="134"/>
        <v>-8468762.6500000004</v>
      </c>
      <c r="GE56" s="139">
        <f t="shared" si="134"/>
        <v>-7298124.4299999997</v>
      </c>
      <c r="GF56" s="139">
        <f t="shared" si="134"/>
        <v>-5245649.45</v>
      </c>
      <c r="GG56" s="139">
        <f t="shared" si="134"/>
        <v>-14721121.26</v>
      </c>
      <c r="GH56" s="139">
        <f t="shared" si="134"/>
        <v>-12301313.109999999</v>
      </c>
      <c r="GI56" s="139">
        <f t="shared" si="134"/>
        <v>-9661395.8800000008</v>
      </c>
      <c r="GJ56" s="139">
        <f t="shared" si="134"/>
        <v>-7566544.0999999996</v>
      </c>
      <c r="GK56" s="139">
        <f t="shared" si="134"/>
        <v>-5696754.5099999998</v>
      </c>
      <c r="GL56" s="139">
        <f t="shared" si="134"/>
        <v>-4352651.4000000004</v>
      </c>
      <c r="GM56" s="139">
        <f t="shared" si="134"/>
        <v>-3446459.88</v>
      </c>
      <c r="GN56" s="139">
        <f t="shared" si="134"/>
        <v>-2863852.23</v>
      </c>
      <c r="GO56" s="139">
        <f t="shared" si="134"/>
        <v>-2375869.37</v>
      </c>
      <c r="GP56" s="139">
        <f t="shared" si="134"/>
        <v>-1943144.88</v>
      </c>
      <c r="GQ56" s="139">
        <f t="shared" ref="GQ56:HL56" si="135">ROUND(+GP67,2)</f>
        <v>-1399304.42</v>
      </c>
      <c r="GR56" s="139">
        <f t="shared" si="135"/>
        <v>-239838.47</v>
      </c>
      <c r="GS56" s="139">
        <f t="shared" si="135"/>
        <v>-13815977.59</v>
      </c>
      <c r="GT56" s="139">
        <f t="shared" si="135"/>
        <v>-11542868.01</v>
      </c>
      <c r="GU56" s="139">
        <f t="shared" si="135"/>
        <v>-9516850.0800000001</v>
      </c>
      <c r="GV56" s="139">
        <f t="shared" si="135"/>
        <v>-7473563.96</v>
      </c>
      <c r="GW56" s="139">
        <f t="shared" si="135"/>
        <v>-5626654.4000000004</v>
      </c>
      <c r="GX56" s="139">
        <f t="shared" si="135"/>
        <v>-4372606.41</v>
      </c>
      <c r="GY56" s="139">
        <f t="shared" si="135"/>
        <v>-3709483.96</v>
      </c>
      <c r="GZ56" s="139">
        <f t="shared" si="135"/>
        <v>-3061542.48</v>
      </c>
      <c r="HA56" s="139">
        <f t="shared" si="135"/>
        <v>-2677559.9500000002</v>
      </c>
      <c r="HB56" s="139">
        <f t="shared" si="135"/>
        <v>-2202585.89</v>
      </c>
      <c r="HC56" s="139">
        <f t="shared" si="135"/>
        <v>-1670798.99</v>
      </c>
      <c r="HD56" s="139">
        <f t="shared" si="135"/>
        <v>-565204.44999999995</v>
      </c>
      <c r="HE56" s="139">
        <f t="shared" si="135"/>
        <v>-49919517.590000004</v>
      </c>
      <c r="HF56" s="139">
        <f t="shared" si="135"/>
        <v>-42678708.93</v>
      </c>
      <c r="HG56" s="139">
        <f t="shared" si="135"/>
        <v>-35706212.939999998</v>
      </c>
      <c r="HH56" s="139">
        <f t="shared" si="135"/>
        <v>-27413224.73</v>
      </c>
      <c r="HI56" s="139">
        <f t="shared" si="135"/>
        <v>-21188847.359999999</v>
      </c>
      <c r="HJ56" s="139">
        <f t="shared" si="135"/>
        <v>-17220456.699999999</v>
      </c>
      <c r="HK56" s="139">
        <f t="shared" si="135"/>
        <v>34681552.93</v>
      </c>
      <c r="HL56" s="139">
        <f t="shared" si="135"/>
        <v>34974949.060000002</v>
      </c>
      <c r="HM56" s="139">
        <f>ROUND(+HL67,2)</f>
        <v>35257310.030000001</v>
      </c>
      <c r="HN56" s="139">
        <f t="shared" ref="HN56:IK56" si="136">ROUND(+HM67,2)</f>
        <v>35538164.219999999</v>
      </c>
      <c r="HO56" s="139">
        <f t="shared" si="136"/>
        <v>35844112.390000001</v>
      </c>
      <c r="HP56" s="139">
        <f t="shared" si="136"/>
        <v>36328156.780000001</v>
      </c>
      <c r="HQ56" s="139">
        <f t="shared" si="136"/>
        <v>130951434.14</v>
      </c>
      <c r="HR56" s="139">
        <f t="shared" si="136"/>
        <v>118886802.01000001</v>
      </c>
      <c r="HS56" s="139">
        <f t="shared" si="136"/>
        <v>106530267.92</v>
      </c>
      <c r="HT56" s="139">
        <f t="shared" si="136"/>
        <v>95134164.700000003</v>
      </c>
      <c r="HU56" s="139">
        <f t="shared" si="136"/>
        <v>84298532.980000004</v>
      </c>
      <c r="HV56" s="139">
        <f t="shared" si="136"/>
        <v>77898019.620000005</v>
      </c>
      <c r="HW56" s="139">
        <f t="shared" si="136"/>
        <v>76097874.370000005</v>
      </c>
      <c r="HX56" s="139">
        <f t="shared" si="136"/>
        <v>74688460.390000001</v>
      </c>
      <c r="HY56" s="139">
        <f t="shared" si="136"/>
        <v>73731922</v>
      </c>
      <c r="HZ56" s="139">
        <f t="shared" si="136"/>
        <v>72823685.430000007</v>
      </c>
      <c r="IA56" s="139">
        <f t="shared" si="136"/>
        <v>71735019.040000007</v>
      </c>
      <c r="IB56" s="139">
        <f t="shared" si="136"/>
        <v>71365725.819999993</v>
      </c>
      <c r="IC56" s="139">
        <f t="shared" si="136"/>
        <v>83046843.040000007</v>
      </c>
      <c r="ID56" s="139">
        <f t="shared" si="136"/>
        <v>77425215.489999995</v>
      </c>
      <c r="IE56" s="139">
        <f t="shared" si="136"/>
        <v>71707219.849999994</v>
      </c>
      <c r="IF56" s="139">
        <f t="shared" si="136"/>
        <v>65599117.549999997</v>
      </c>
      <c r="IG56" s="139">
        <f t="shared" si="136"/>
        <v>60319532.350000001</v>
      </c>
      <c r="IH56" s="139">
        <f t="shared" si="136"/>
        <v>57224936.109999999</v>
      </c>
      <c r="II56" s="139">
        <f t="shared" si="136"/>
        <v>55030585.020000003</v>
      </c>
      <c r="IJ56" s="139">
        <f t="shared" si="136"/>
        <v>53663336.399999999</v>
      </c>
      <c r="IK56" s="139">
        <f t="shared" si="136"/>
        <v>52677749.079999998</v>
      </c>
      <c r="IL56" s="139">
        <f>ROUND(+IK67,2)</f>
        <v>51627440.990000002</v>
      </c>
      <c r="IM56" s="139">
        <f t="shared" ref="IM56:IO56" si="137">ROUND(+IL67,2)</f>
        <v>50128784.280000001</v>
      </c>
      <c r="IN56" s="139">
        <f t="shared" si="137"/>
        <v>46989869.350000001</v>
      </c>
      <c r="IO56" s="139">
        <f t="shared" si="137"/>
        <v>44463601.549999997</v>
      </c>
      <c r="IP56" s="139">
        <f>ROUND(+IO67,2)</f>
        <v>40826566.780000001</v>
      </c>
      <c r="IQ56" s="139">
        <f t="shared" ref="IQ56:IW56" si="138">ROUND(+IP67,2)</f>
        <v>37155601.640000001</v>
      </c>
      <c r="IR56" s="139">
        <f t="shared" si="138"/>
        <v>34147401.18</v>
      </c>
      <c r="IS56" s="139">
        <f t="shared" si="138"/>
        <v>31524492.789999999</v>
      </c>
      <c r="IT56" s="139">
        <f t="shared" si="138"/>
        <v>29262413.09</v>
      </c>
      <c r="IU56" s="139">
        <f t="shared" si="138"/>
        <v>27702396.989999998</v>
      </c>
      <c r="IV56" s="139">
        <f t="shared" si="138"/>
        <v>26742107.039999999</v>
      </c>
      <c r="IW56" s="139">
        <f t="shared" si="138"/>
        <v>26073974.440000001</v>
      </c>
      <c r="IX56" s="139">
        <f>ROUND(+IW67,2)</f>
        <v>25557160.609999999</v>
      </c>
      <c r="IY56" s="139">
        <f t="shared" ref="IY56:IZ56" si="139">ROUND(+IX67,2)</f>
        <v>24931142.260000002</v>
      </c>
      <c r="IZ56" s="139">
        <f t="shared" si="139"/>
        <v>23745059.32</v>
      </c>
      <c r="JA56" s="139">
        <f>ROUND(+IZ67,2)</f>
        <v>32673226.170000002</v>
      </c>
      <c r="JB56" s="139">
        <f t="shared" ref="JB56:JI56" si="140">ROUND(+JA67,2)</f>
        <v>26858563.120000001</v>
      </c>
      <c r="JC56" s="139">
        <f t="shared" si="140"/>
        <v>21739984.41</v>
      </c>
      <c r="JD56" s="139">
        <f t="shared" si="140"/>
        <v>16696457.109999999</v>
      </c>
      <c r="JE56" s="139">
        <f t="shared" si="140"/>
        <v>12053987.48</v>
      </c>
      <c r="JF56" s="139">
        <f t="shared" si="140"/>
        <v>8391342.8499999996</v>
      </c>
      <c r="JG56" s="139">
        <f t="shared" si="140"/>
        <v>6857354.4699999997</v>
      </c>
      <c r="JH56" s="139">
        <f t="shared" si="140"/>
        <v>5553638</v>
      </c>
      <c r="JI56" s="139">
        <f t="shared" si="140"/>
        <v>4608529.58</v>
      </c>
      <c r="JJ56" s="139">
        <f>ROUND(+JI67,2)</f>
        <v>3631432.92</v>
      </c>
      <c r="JK56" s="139">
        <f>ROUND(+JJ67,2)</f>
        <v>2329759.8199999998</v>
      </c>
      <c r="JL56" s="139">
        <f t="shared" ref="JL56:JM56" si="141">ROUND(+JK67,2)</f>
        <v>1344512.51</v>
      </c>
      <c r="JM56" s="139">
        <f t="shared" si="141"/>
        <v>-151477440.96000001</v>
      </c>
      <c r="JN56" s="139">
        <f>ROUND(+JM67,2)</f>
        <v>-129986582.58</v>
      </c>
      <c r="JO56" s="139">
        <f t="shared" ref="JO56:JU56" si="142">ROUND(+JN67,2)</f>
        <v>-102666238.29000001</v>
      </c>
      <c r="JP56" s="139">
        <f t="shared" si="142"/>
        <v>-81603867.769999996</v>
      </c>
      <c r="JQ56" s="139">
        <f t="shared" si="142"/>
        <v>-61480516.789999999</v>
      </c>
      <c r="JR56" s="139">
        <f t="shared" si="142"/>
        <v>-46230051.399999999</v>
      </c>
      <c r="JS56" s="139">
        <f t="shared" si="142"/>
        <v>-35800736.100000001</v>
      </c>
      <c r="JT56" s="139">
        <f t="shared" si="142"/>
        <v>-28571828.879999999</v>
      </c>
      <c r="JU56" s="139">
        <f t="shared" si="142"/>
        <v>-23359987.41</v>
      </c>
      <c r="JV56" s="632"/>
      <c r="JW56" s="414"/>
      <c r="JX56" s="414"/>
      <c r="JY56" s="414"/>
      <c r="JZ56" s="414"/>
      <c r="KA56" s="414"/>
      <c r="KB56" s="414"/>
      <c r="KC56" s="414"/>
      <c r="KD56" s="414"/>
      <c r="KE56" s="414"/>
      <c r="KF56" s="414"/>
      <c r="KG56" s="414"/>
      <c r="KH56" s="414"/>
      <c r="KI56" s="633"/>
    </row>
    <row r="57" spans="1:295" x14ac:dyDescent="0.2">
      <c r="B57" s="24" t="s">
        <v>105</v>
      </c>
      <c r="D57" s="145"/>
      <c r="E57" s="145">
        <v>64953103.469999999</v>
      </c>
      <c r="F57" s="145"/>
      <c r="G57" s="145"/>
      <c r="H57" s="145"/>
      <c r="I57" s="145"/>
      <c r="J57" s="145"/>
      <c r="K57" s="145"/>
      <c r="L57" s="145"/>
      <c r="M57" s="145"/>
      <c r="N57" s="145"/>
      <c r="O57" s="145"/>
      <c r="P57" s="145"/>
      <c r="Q57" s="145"/>
      <c r="R57" s="145"/>
      <c r="S57" s="145"/>
      <c r="T57" s="145"/>
      <c r="U57" s="145"/>
      <c r="V57" s="145">
        <v>-107036629.08</v>
      </c>
      <c r="W57" s="145"/>
      <c r="X57" s="145"/>
      <c r="Y57" s="145">
        <v>39394237.259999998</v>
      </c>
      <c r="Z57" s="145"/>
      <c r="AA57" s="145"/>
      <c r="AB57" s="145"/>
      <c r="AC57" s="145"/>
      <c r="AD57" s="145"/>
      <c r="AE57" s="139">
        <f t="shared" ref="AE57:CP57" si="143">AE7+AE16+AE25+AE36</f>
        <v>6143042.8700000001</v>
      </c>
      <c r="AF57" s="139">
        <f t="shared" si="143"/>
        <v>0</v>
      </c>
      <c r="AG57" s="139">
        <f t="shared" si="143"/>
        <v>0</v>
      </c>
      <c r="AH57" s="139">
        <f t="shared" si="143"/>
        <v>0</v>
      </c>
      <c r="AI57" s="139">
        <f t="shared" si="143"/>
        <v>0</v>
      </c>
      <c r="AJ57" s="139">
        <f t="shared" si="143"/>
        <v>0</v>
      </c>
      <c r="AK57" s="139">
        <f t="shared" si="143"/>
        <v>0</v>
      </c>
      <c r="AL57" s="139">
        <f t="shared" si="143"/>
        <v>0</v>
      </c>
      <c r="AM57" s="139">
        <f t="shared" si="143"/>
        <v>0</v>
      </c>
      <c r="AN57" s="139">
        <f t="shared" si="143"/>
        <v>0</v>
      </c>
      <c r="AO57" s="139">
        <f t="shared" si="143"/>
        <v>0</v>
      </c>
      <c r="AP57" s="139">
        <f t="shared" si="143"/>
        <v>0</v>
      </c>
      <c r="AQ57" s="139">
        <f t="shared" si="143"/>
        <v>9477607.582945317</v>
      </c>
      <c r="AR57" s="139">
        <f t="shared" si="143"/>
        <v>0</v>
      </c>
      <c r="AS57" s="139">
        <f t="shared" si="143"/>
        <v>0</v>
      </c>
      <c r="AT57" s="139">
        <f t="shared" si="143"/>
        <v>0</v>
      </c>
      <c r="AU57" s="139">
        <f t="shared" si="143"/>
        <v>0</v>
      </c>
      <c r="AV57" s="139">
        <f t="shared" si="143"/>
        <v>0</v>
      </c>
      <c r="AW57" s="139">
        <f t="shared" si="143"/>
        <v>0</v>
      </c>
      <c r="AX57" s="139">
        <f t="shared" si="143"/>
        <v>0</v>
      </c>
      <c r="AY57" s="139">
        <f t="shared" si="143"/>
        <v>0</v>
      </c>
      <c r="AZ57" s="139">
        <f t="shared" si="143"/>
        <v>0</v>
      </c>
      <c r="BA57" s="139">
        <f t="shared" si="143"/>
        <v>0</v>
      </c>
      <c r="BB57" s="139">
        <f t="shared" si="143"/>
        <v>0</v>
      </c>
      <c r="BC57" s="139">
        <f t="shared" si="143"/>
        <v>31943040</v>
      </c>
      <c r="BD57" s="139">
        <f t="shared" si="143"/>
        <v>0</v>
      </c>
      <c r="BE57" s="139">
        <f t="shared" si="143"/>
        <v>0</v>
      </c>
      <c r="BF57" s="139">
        <f t="shared" si="143"/>
        <v>0</v>
      </c>
      <c r="BG57" s="139">
        <f t="shared" si="143"/>
        <v>0</v>
      </c>
      <c r="BH57" s="139">
        <f t="shared" si="143"/>
        <v>0</v>
      </c>
      <c r="BI57" s="139">
        <f t="shared" si="143"/>
        <v>0</v>
      </c>
      <c r="BJ57" s="139">
        <f t="shared" si="143"/>
        <v>0</v>
      </c>
      <c r="BK57" s="139">
        <f t="shared" si="143"/>
        <v>0</v>
      </c>
      <c r="BL57" s="139">
        <f t="shared" si="143"/>
        <v>0</v>
      </c>
      <c r="BM57" s="139">
        <f t="shared" si="143"/>
        <v>0</v>
      </c>
      <c r="BN57" s="139">
        <f t="shared" si="143"/>
        <v>0</v>
      </c>
      <c r="BO57" s="139">
        <f t="shared" si="143"/>
        <v>71783742</v>
      </c>
      <c r="BP57" s="139">
        <f t="shared" si="143"/>
        <v>0</v>
      </c>
      <c r="BQ57" s="139">
        <f t="shared" si="143"/>
        <v>0</v>
      </c>
      <c r="BR57" s="127">
        <f t="shared" si="143"/>
        <v>0</v>
      </c>
      <c r="BS57" s="139">
        <f t="shared" si="143"/>
        <v>0</v>
      </c>
      <c r="BT57" s="139">
        <f t="shared" si="143"/>
        <v>0</v>
      </c>
      <c r="BU57" s="139">
        <f t="shared" si="143"/>
        <v>0</v>
      </c>
      <c r="BV57" s="139">
        <f t="shared" si="143"/>
        <v>0</v>
      </c>
      <c r="BW57" s="139">
        <f t="shared" si="143"/>
        <v>0</v>
      </c>
      <c r="BX57" s="139">
        <f t="shared" si="143"/>
        <v>0</v>
      </c>
      <c r="BY57" s="139">
        <f t="shared" si="143"/>
        <v>0</v>
      </c>
      <c r="BZ57" s="139">
        <f t="shared" si="143"/>
        <v>0</v>
      </c>
      <c r="CA57" s="139">
        <f t="shared" si="143"/>
        <v>-98163975</v>
      </c>
      <c r="CB57" s="139">
        <f t="shared" si="143"/>
        <v>0</v>
      </c>
      <c r="CC57" s="139">
        <f t="shared" si="143"/>
        <v>0</v>
      </c>
      <c r="CD57" s="139">
        <f t="shared" si="143"/>
        <v>0</v>
      </c>
      <c r="CE57" s="139">
        <f t="shared" si="143"/>
        <v>0</v>
      </c>
      <c r="CF57" s="139">
        <f t="shared" si="143"/>
        <v>0</v>
      </c>
      <c r="CG57" s="139">
        <f t="shared" si="143"/>
        <v>0</v>
      </c>
      <c r="CH57" s="139">
        <f t="shared" si="143"/>
        <v>0</v>
      </c>
      <c r="CI57" s="139">
        <f t="shared" si="143"/>
        <v>0</v>
      </c>
      <c r="CJ57" s="139">
        <f t="shared" si="143"/>
        <v>0</v>
      </c>
      <c r="CK57" s="139">
        <f t="shared" si="143"/>
        <v>0</v>
      </c>
      <c r="CL57" s="139">
        <f t="shared" si="143"/>
        <v>0</v>
      </c>
      <c r="CM57" s="139">
        <f t="shared" si="143"/>
        <v>-20118493</v>
      </c>
      <c r="CN57" s="139">
        <f t="shared" si="143"/>
        <v>0</v>
      </c>
      <c r="CO57" s="127">
        <f t="shared" si="143"/>
        <v>0</v>
      </c>
      <c r="CP57" s="139">
        <f t="shared" si="143"/>
        <v>0</v>
      </c>
      <c r="CQ57" s="139">
        <f t="shared" ref="CQ57:FB57" si="144">CQ7+CQ16+CQ25+CQ36</f>
        <v>0</v>
      </c>
      <c r="CR57" s="139">
        <f t="shared" si="144"/>
        <v>0</v>
      </c>
      <c r="CS57" s="139">
        <f t="shared" si="144"/>
        <v>0</v>
      </c>
      <c r="CT57" s="139">
        <f t="shared" si="144"/>
        <v>0</v>
      </c>
      <c r="CU57" s="139">
        <f t="shared" si="144"/>
        <v>-21160568</v>
      </c>
      <c r="CV57" s="139">
        <f t="shared" si="144"/>
        <v>0</v>
      </c>
      <c r="CW57" s="139">
        <f t="shared" si="144"/>
        <v>0</v>
      </c>
      <c r="CX57" s="139">
        <f t="shared" si="144"/>
        <v>0</v>
      </c>
      <c r="CY57" s="139">
        <f t="shared" si="144"/>
        <v>-63740891</v>
      </c>
      <c r="CZ57" s="139">
        <f t="shared" si="144"/>
        <v>0</v>
      </c>
      <c r="DA57" s="139">
        <f t="shared" si="144"/>
        <v>0</v>
      </c>
      <c r="DB57" s="139">
        <f t="shared" si="144"/>
        <v>0</v>
      </c>
      <c r="DC57" s="139">
        <f t="shared" si="144"/>
        <v>0</v>
      </c>
      <c r="DD57" s="139">
        <f t="shared" si="144"/>
        <v>0</v>
      </c>
      <c r="DE57" s="139">
        <f t="shared" si="144"/>
        <v>0</v>
      </c>
      <c r="DF57" s="139">
        <f t="shared" si="144"/>
        <v>0</v>
      </c>
      <c r="DG57" s="139">
        <f t="shared" si="144"/>
        <v>0</v>
      </c>
      <c r="DH57" s="139">
        <f t="shared" si="144"/>
        <v>0</v>
      </c>
      <c r="DI57" s="139">
        <f t="shared" si="144"/>
        <v>0</v>
      </c>
      <c r="DJ57" s="139">
        <f t="shared" si="144"/>
        <v>0</v>
      </c>
      <c r="DK57" s="139">
        <f t="shared" si="144"/>
        <v>0</v>
      </c>
      <c r="DL57" s="139">
        <f t="shared" si="144"/>
        <v>-17006341</v>
      </c>
      <c r="DM57" s="139">
        <f t="shared" si="144"/>
        <v>0</v>
      </c>
      <c r="DN57" s="139">
        <f t="shared" si="144"/>
        <v>0</v>
      </c>
      <c r="DO57" s="139">
        <f t="shared" si="144"/>
        <v>0</v>
      </c>
      <c r="DP57" s="139">
        <f t="shared" si="144"/>
        <v>0</v>
      </c>
      <c r="DQ57" s="139">
        <f t="shared" si="144"/>
        <v>0</v>
      </c>
      <c r="DR57" s="139">
        <f t="shared" si="144"/>
        <v>0</v>
      </c>
      <c r="DS57" s="139">
        <f t="shared" si="144"/>
        <v>0</v>
      </c>
      <c r="DT57" s="139">
        <f t="shared" si="144"/>
        <v>0</v>
      </c>
      <c r="DU57" s="139">
        <f t="shared" si="144"/>
        <v>0</v>
      </c>
      <c r="DV57" s="139">
        <f t="shared" si="144"/>
        <v>0</v>
      </c>
      <c r="DW57" s="139">
        <f t="shared" si="144"/>
        <v>0</v>
      </c>
      <c r="DX57" s="139">
        <f t="shared" si="144"/>
        <v>-23082723</v>
      </c>
      <c r="DY57" s="139">
        <f t="shared" si="144"/>
        <v>0</v>
      </c>
      <c r="DZ57" s="139">
        <f t="shared" si="144"/>
        <v>0</v>
      </c>
      <c r="EA57" s="139">
        <f t="shared" si="144"/>
        <v>0</v>
      </c>
      <c r="EB57" s="139">
        <f t="shared" si="144"/>
        <v>0</v>
      </c>
      <c r="EC57" s="139">
        <f t="shared" si="144"/>
        <v>0</v>
      </c>
      <c r="ED57" s="139">
        <f t="shared" si="144"/>
        <v>0</v>
      </c>
      <c r="EE57" s="139">
        <f t="shared" si="144"/>
        <v>0</v>
      </c>
      <c r="EF57" s="139">
        <f t="shared" si="144"/>
        <v>0</v>
      </c>
      <c r="EG57" s="139">
        <f t="shared" si="144"/>
        <v>0</v>
      </c>
      <c r="EH57" s="139">
        <f t="shared" si="144"/>
        <v>0</v>
      </c>
      <c r="EI57" s="139">
        <f t="shared" si="144"/>
        <v>0</v>
      </c>
      <c r="EJ57" s="139">
        <f t="shared" si="144"/>
        <v>-35585750</v>
      </c>
      <c r="EK57" s="139">
        <f t="shared" si="144"/>
        <v>0</v>
      </c>
      <c r="EL57" s="139">
        <f t="shared" si="144"/>
        <v>0</v>
      </c>
      <c r="EM57" s="139">
        <f t="shared" si="144"/>
        <v>0</v>
      </c>
      <c r="EN57" s="139">
        <f t="shared" si="144"/>
        <v>0</v>
      </c>
      <c r="EO57" s="139">
        <f t="shared" si="144"/>
        <v>0</v>
      </c>
      <c r="EP57" s="139">
        <f t="shared" si="144"/>
        <v>0</v>
      </c>
      <c r="EQ57" s="139">
        <f t="shared" si="144"/>
        <v>0</v>
      </c>
      <c r="ER57" s="139">
        <f t="shared" si="144"/>
        <v>0</v>
      </c>
      <c r="ES57" s="139">
        <f t="shared" si="144"/>
        <v>0</v>
      </c>
      <c r="ET57" s="139">
        <f t="shared" si="144"/>
        <v>0</v>
      </c>
      <c r="EU57" s="139">
        <f t="shared" si="144"/>
        <v>0</v>
      </c>
      <c r="EV57" s="139">
        <f t="shared" si="144"/>
        <v>-10139956</v>
      </c>
      <c r="EW57" s="139">
        <f t="shared" si="144"/>
        <v>0</v>
      </c>
      <c r="EX57" s="139">
        <f t="shared" si="144"/>
        <v>0</v>
      </c>
      <c r="EY57" s="139">
        <f t="shared" si="144"/>
        <v>0</v>
      </c>
      <c r="EZ57" s="139">
        <f t="shared" si="144"/>
        <v>0</v>
      </c>
      <c r="FA57" s="139">
        <f t="shared" si="144"/>
        <v>0</v>
      </c>
      <c r="FB57" s="139">
        <f t="shared" si="144"/>
        <v>0</v>
      </c>
      <c r="FC57" s="139">
        <f t="shared" ref="FC57:HN57" si="145">FC7+FC16+FC25+FC36</f>
        <v>0</v>
      </c>
      <c r="FD57" s="139">
        <f t="shared" si="145"/>
        <v>0</v>
      </c>
      <c r="FE57" s="139">
        <f t="shared" si="145"/>
        <v>0</v>
      </c>
      <c r="FF57" s="139">
        <f t="shared" si="145"/>
        <v>0</v>
      </c>
      <c r="FG57" s="139">
        <f t="shared" si="145"/>
        <v>0</v>
      </c>
      <c r="FH57" s="139">
        <f t="shared" si="145"/>
        <v>30171226</v>
      </c>
      <c r="FI57" s="139">
        <f t="shared" si="145"/>
        <v>0</v>
      </c>
      <c r="FJ57" s="139">
        <f t="shared" si="145"/>
        <v>0</v>
      </c>
      <c r="FK57" s="139">
        <f t="shared" si="145"/>
        <v>0</v>
      </c>
      <c r="FL57" s="139">
        <f t="shared" si="145"/>
        <v>0</v>
      </c>
      <c r="FM57" s="139">
        <f t="shared" si="145"/>
        <v>0</v>
      </c>
      <c r="FN57" s="139">
        <f t="shared" si="145"/>
        <v>0</v>
      </c>
      <c r="FO57" s="139">
        <f t="shared" si="145"/>
        <v>0</v>
      </c>
      <c r="FP57" s="139">
        <f t="shared" si="145"/>
        <v>0</v>
      </c>
      <c r="FQ57" s="139">
        <f t="shared" si="145"/>
        <v>0</v>
      </c>
      <c r="FR57" s="139">
        <f t="shared" si="145"/>
        <v>0</v>
      </c>
      <c r="FS57" s="139">
        <f t="shared" si="145"/>
        <v>0</v>
      </c>
      <c r="FT57" s="139">
        <f t="shared" si="145"/>
        <v>-39922545</v>
      </c>
      <c r="FU57" s="139">
        <f t="shared" si="145"/>
        <v>0</v>
      </c>
      <c r="FV57" s="139">
        <f t="shared" si="145"/>
        <v>0</v>
      </c>
      <c r="FW57" s="139">
        <f t="shared" si="145"/>
        <v>0</v>
      </c>
      <c r="FX57" s="139">
        <f t="shared" si="145"/>
        <v>0</v>
      </c>
      <c r="FY57" s="139">
        <f t="shared" si="145"/>
        <v>0</v>
      </c>
      <c r="FZ57" s="139">
        <f t="shared" si="145"/>
        <v>0</v>
      </c>
      <c r="GA57" s="139">
        <f t="shared" si="145"/>
        <v>0</v>
      </c>
      <c r="GB57" s="139">
        <f t="shared" si="145"/>
        <v>0</v>
      </c>
      <c r="GC57" s="139">
        <f t="shared" si="145"/>
        <v>0</v>
      </c>
      <c r="GD57" s="139">
        <f t="shared" si="145"/>
        <v>0</v>
      </c>
      <c r="GE57" s="139">
        <f t="shared" si="145"/>
        <v>0</v>
      </c>
      <c r="GF57" s="139">
        <f t="shared" si="145"/>
        <v>-10861871</v>
      </c>
      <c r="GG57" s="139">
        <f t="shared" si="145"/>
        <v>0</v>
      </c>
      <c r="GH57" s="139">
        <f t="shared" si="145"/>
        <v>0</v>
      </c>
      <c r="GI57" s="139">
        <f t="shared" si="145"/>
        <v>0</v>
      </c>
      <c r="GJ57" s="139">
        <f t="shared" si="145"/>
        <v>0</v>
      </c>
      <c r="GK57" s="139">
        <f t="shared" si="145"/>
        <v>0</v>
      </c>
      <c r="GL57" s="139">
        <f t="shared" si="145"/>
        <v>0</v>
      </c>
      <c r="GM57" s="139">
        <f t="shared" si="145"/>
        <v>0</v>
      </c>
      <c r="GN57" s="139">
        <f t="shared" si="145"/>
        <v>0</v>
      </c>
      <c r="GO57" s="139">
        <f t="shared" si="145"/>
        <v>0</v>
      </c>
      <c r="GP57" s="139">
        <f t="shared" si="145"/>
        <v>0</v>
      </c>
      <c r="GQ57" s="139">
        <f t="shared" si="145"/>
        <v>0</v>
      </c>
      <c r="GR57" s="139">
        <f t="shared" si="145"/>
        <v>-15241895</v>
      </c>
      <c r="GS57" s="139">
        <f t="shared" si="145"/>
        <v>0</v>
      </c>
      <c r="GT57" s="139">
        <f t="shared" si="145"/>
        <v>0</v>
      </c>
      <c r="GU57" s="139">
        <f t="shared" si="145"/>
        <v>0</v>
      </c>
      <c r="GV57" s="139">
        <f t="shared" si="145"/>
        <v>0</v>
      </c>
      <c r="GW57" s="139">
        <f t="shared" si="145"/>
        <v>0</v>
      </c>
      <c r="GX57" s="139">
        <f t="shared" si="145"/>
        <v>0</v>
      </c>
      <c r="GY57" s="139">
        <f t="shared" si="145"/>
        <v>0</v>
      </c>
      <c r="GZ57" s="139">
        <f t="shared" si="145"/>
        <v>0</v>
      </c>
      <c r="HA57" s="139">
        <f t="shared" si="145"/>
        <v>0</v>
      </c>
      <c r="HB57" s="139">
        <f t="shared" si="145"/>
        <v>0</v>
      </c>
      <c r="HC57" s="139">
        <f t="shared" si="145"/>
        <v>0</v>
      </c>
      <c r="HD57" s="139">
        <f t="shared" si="145"/>
        <v>-54166126</v>
      </c>
      <c r="HE57" s="139">
        <f t="shared" si="145"/>
        <v>0</v>
      </c>
      <c r="HF57" s="139">
        <f t="shared" si="145"/>
        <v>0</v>
      </c>
      <c r="HG57" s="139">
        <f t="shared" si="145"/>
        <v>0</v>
      </c>
      <c r="HH57" s="139">
        <f t="shared" si="145"/>
        <v>0</v>
      </c>
      <c r="HI57" s="139">
        <f t="shared" si="145"/>
        <v>0</v>
      </c>
      <c r="HJ57" s="139">
        <f t="shared" si="145"/>
        <v>51555672.200000003</v>
      </c>
      <c r="HK57" s="139">
        <f t="shared" si="145"/>
        <v>0</v>
      </c>
      <c r="HL57" s="139">
        <f t="shared" si="145"/>
        <v>0</v>
      </c>
      <c r="HM57" s="139">
        <f t="shared" si="145"/>
        <v>0</v>
      </c>
      <c r="HN57" s="139">
        <f t="shared" si="145"/>
        <v>0</v>
      </c>
      <c r="HO57" s="139">
        <f t="shared" ref="HO57:JU57" si="146">HO7+HO16+HO25+HO36</f>
        <v>0</v>
      </c>
      <c r="HP57" s="139">
        <f t="shared" si="146"/>
        <v>103584874.71000001</v>
      </c>
      <c r="HQ57" s="139">
        <f t="shared" si="146"/>
        <v>0</v>
      </c>
      <c r="HR57" s="139">
        <f t="shared" si="146"/>
        <v>0</v>
      </c>
      <c r="HS57" s="139">
        <f t="shared" si="146"/>
        <v>0</v>
      </c>
      <c r="HT57" s="139">
        <f t="shared" si="146"/>
        <v>0</v>
      </c>
      <c r="HU57" s="139">
        <f t="shared" si="146"/>
        <v>0</v>
      </c>
      <c r="HV57" s="139">
        <f t="shared" si="146"/>
        <v>0</v>
      </c>
      <c r="HW57" s="139">
        <f t="shared" si="146"/>
        <v>0</v>
      </c>
      <c r="HX57" s="139">
        <f t="shared" si="146"/>
        <v>0</v>
      </c>
      <c r="HY57" s="139">
        <f t="shared" si="146"/>
        <v>0</v>
      </c>
      <c r="HZ57" s="139">
        <f t="shared" si="146"/>
        <v>0</v>
      </c>
      <c r="IA57" s="139">
        <f t="shared" si="146"/>
        <v>0</v>
      </c>
      <c r="IB57" s="139">
        <f t="shared" si="146"/>
        <v>16214521.1</v>
      </c>
      <c r="IC57" s="139">
        <f t="shared" si="146"/>
        <v>0</v>
      </c>
      <c r="ID57" s="139">
        <f t="shared" si="146"/>
        <v>0</v>
      </c>
      <c r="IE57" s="139">
        <f t="shared" si="146"/>
        <v>0</v>
      </c>
      <c r="IF57" s="139">
        <f t="shared" si="146"/>
        <v>0</v>
      </c>
      <c r="IG57" s="139">
        <f t="shared" si="146"/>
        <v>0</v>
      </c>
      <c r="IH57" s="139">
        <f t="shared" si="146"/>
        <v>0</v>
      </c>
      <c r="II57" s="139">
        <f t="shared" si="146"/>
        <v>0</v>
      </c>
      <c r="IJ57" s="139">
        <f t="shared" si="146"/>
        <v>0</v>
      </c>
      <c r="IK57" s="139">
        <f t="shared" si="146"/>
        <v>0</v>
      </c>
      <c r="IL57" s="139">
        <f t="shared" si="146"/>
        <v>0</v>
      </c>
      <c r="IM57" s="139">
        <f t="shared" si="146"/>
        <v>0</v>
      </c>
      <c r="IN57" s="139">
        <f t="shared" si="146"/>
        <v>28120.169999999984</v>
      </c>
      <c r="IO57" s="139">
        <f t="shared" si="146"/>
        <v>0</v>
      </c>
      <c r="IP57" s="139">
        <f t="shared" si="146"/>
        <v>0</v>
      </c>
      <c r="IQ57" s="139">
        <f t="shared" si="146"/>
        <v>0</v>
      </c>
      <c r="IR57" s="139">
        <f t="shared" si="146"/>
        <v>0</v>
      </c>
      <c r="IS57" s="139">
        <f t="shared" si="146"/>
        <v>0</v>
      </c>
      <c r="IT57" s="139">
        <f t="shared" si="146"/>
        <v>0</v>
      </c>
      <c r="IU57" s="139">
        <f t="shared" si="146"/>
        <v>0</v>
      </c>
      <c r="IV57" s="139">
        <f t="shared" si="146"/>
        <v>0</v>
      </c>
      <c r="IW57" s="139">
        <f t="shared" si="146"/>
        <v>0</v>
      </c>
      <c r="IX57" s="139">
        <f t="shared" si="146"/>
        <v>0</v>
      </c>
      <c r="IY57" s="139">
        <f t="shared" si="146"/>
        <v>0</v>
      </c>
      <c r="IZ57" s="139">
        <f t="shared" si="146"/>
        <v>13608051.659999998</v>
      </c>
      <c r="JA57" s="139">
        <f t="shared" si="146"/>
        <v>0</v>
      </c>
      <c r="JB57" s="139">
        <f t="shared" si="146"/>
        <v>0</v>
      </c>
      <c r="JC57" s="139">
        <f t="shared" si="146"/>
        <v>0</v>
      </c>
      <c r="JD57" s="139">
        <f t="shared" si="146"/>
        <v>0</v>
      </c>
      <c r="JE57" s="139">
        <f t="shared" si="146"/>
        <v>0</v>
      </c>
      <c r="JF57" s="139">
        <f t="shared" si="146"/>
        <v>0</v>
      </c>
      <c r="JG57" s="139">
        <f t="shared" si="146"/>
        <v>0</v>
      </c>
      <c r="JH57" s="139">
        <f t="shared" si="146"/>
        <v>0</v>
      </c>
      <c r="JI57" s="139">
        <f t="shared" si="146"/>
        <v>0</v>
      </c>
      <c r="JJ57" s="139">
        <f t="shared" si="146"/>
        <v>0</v>
      </c>
      <c r="JK57" s="139">
        <f t="shared" si="146"/>
        <v>0</v>
      </c>
      <c r="JL57" s="139">
        <f t="shared" si="146"/>
        <v>-172274161.18000001</v>
      </c>
      <c r="JM57" s="139">
        <f t="shared" si="146"/>
        <v>0</v>
      </c>
      <c r="JN57" s="139">
        <f t="shared" si="146"/>
        <v>0</v>
      </c>
      <c r="JO57" s="139">
        <f t="shared" si="146"/>
        <v>0</v>
      </c>
      <c r="JP57" s="139">
        <f t="shared" si="146"/>
        <v>0</v>
      </c>
      <c r="JQ57" s="139">
        <f t="shared" si="146"/>
        <v>0</v>
      </c>
      <c r="JR57" s="139">
        <f t="shared" si="146"/>
        <v>0</v>
      </c>
      <c r="JS57" s="139">
        <f t="shared" si="146"/>
        <v>0</v>
      </c>
      <c r="JT57" s="139">
        <f t="shared" si="146"/>
        <v>0</v>
      </c>
      <c r="JU57" s="139">
        <f t="shared" si="146"/>
        <v>0</v>
      </c>
      <c r="JV57" s="632"/>
      <c r="JW57" s="414"/>
      <c r="JX57" s="414"/>
      <c r="JY57" s="414"/>
      <c r="JZ57" s="414"/>
      <c r="KA57" s="414"/>
      <c r="KB57" s="414"/>
      <c r="KC57" s="414"/>
      <c r="KD57" s="414"/>
      <c r="KE57" s="414"/>
      <c r="KF57" s="414"/>
      <c r="KG57" s="414"/>
      <c r="KH57" s="414"/>
      <c r="KI57" s="633"/>
    </row>
    <row r="58" spans="1:295" x14ac:dyDescent="0.2">
      <c r="B58" s="24" t="s">
        <v>106</v>
      </c>
      <c r="D58" s="142">
        <v>-1667259.65</v>
      </c>
      <c r="E58" s="142">
        <v>-1570147.5</v>
      </c>
      <c r="F58" s="142">
        <v>-5057285.46</v>
      </c>
      <c r="G58" s="142">
        <v>-11020939.249936625</v>
      </c>
      <c r="H58" s="142">
        <v>-14091594.657434432</v>
      </c>
      <c r="I58" s="142">
        <v>-19195771.556504361</v>
      </c>
      <c r="J58" s="142">
        <v>-19531326.438945159</v>
      </c>
      <c r="K58" s="142">
        <v>-16704581.371991865</v>
      </c>
      <c r="L58" s="142">
        <v>-18305323.781115156</v>
      </c>
      <c r="M58" s="142">
        <v>-11823049.042422775</v>
      </c>
      <c r="N58" s="142">
        <v>-8832596.0728453323</v>
      </c>
      <c r="O58" s="142">
        <v>0</v>
      </c>
      <c r="P58" s="142">
        <v>0</v>
      </c>
      <c r="Q58" s="142">
        <v>0</v>
      </c>
      <c r="R58" s="142">
        <v>0</v>
      </c>
      <c r="S58" s="142">
        <v>0</v>
      </c>
      <c r="T58" s="142">
        <v>6864545.7226132955</v>
      </c>
      <c r="U58" s="142">
        <v>8811392.1376443356</v>
      </c>
      <c r="V58" s="142">
        <v>8249515.2962038415</v>
      </c>
      <c r="W58" s="142">
        <v>8346246.0950575564</v>
      </c>
      <c r="X58" s="142">
        <v>7257909.5962744839</v>
      </c>
      <c r="Y58" s="142">
        <v>4311272.9496905431</v>
      </c>
      <c r="Z58" s="142">
        <v>2034529.8900901622</v>
      </c>
      <c r="AA58" s="142">
        <v>1274997.0338693827</v>
      </c>
      <c r="AB58" s="142">
        <v>1051552.3999999999</v>
      </c>
      <c r="AC58" s="142">
        <v>1536663.3</v>
      </c>
      <c r="AD58" s="142">
        <v>1291678.71</v>
      </c>
      <c r="AE58" s="139">
        <f t="shared" ref="AE58:CP58" si="147">AE8+AE17+AE28+AE39</f>
        <v>843595.56184537895</v>
      </c>
      <c r="AF58" s="139">
        <f t="shared" si="147"/>
        <v>1396360.58</v>
      </c>
      <c r="AG58" s="139">
        <f t="shared" si="147"/>
        <v>1528813.2399999998</v>
      </c>
      <c r="AH58" s="139">
        <f t="shared" si="147"/>
        <v>1596496.6500000004</v>
      </c>
      <c r="AI58" s="139">
        <f t="shared" si="147"/>
        <v>1285850.47</v>
      </c>
      <c r="AJ58" s="139">
        <f t="shared" si="147"/>
        <v>1093081.79</v>
      </c>
      <c r="AK58" s="139">
        <f t="shared" si="147"/>
        <v>690665.90999999992</v>
      </c>
      <c r="AL58" s="139">
        <f t="shared" si="147"/>
        <v>529921.65</v>
      </c>
      <c r="AM58" s="139">
        <f t="shared" si="147"/>
        <v>390932.9</v>
      </c>
      <c r="AN58" s="139">
        <f t="shared" si="147"/>
        <v>323011.56999999995</v>
      </c>
      <c r="AO58" s="139">
        <f t="shared" si="147"/>
        <v>361912.13</v>
      </c>
      <c r="AP58" s="139">
        <f t="shared" si="147"/>
        <v>444662.48</v>
      </c>
      <c r="AQ58" s="139">
        <f t="shared" si="147"/>
        <v>-656086.80000000005</v>
      </c>
      <c r="AR58" s="139">
        <f t="shared" si="147"/>
        <v>-1095712.1100000001</v>
      </c>
      <c r="AS58" s="139">
        <f t="shared" si="147"/>
        <v>-1325615.76</v>
      </c>
      <c r="AT58" s="139">
        <f t="shared" si="147"/>
        <v>-1457256.18</v>
      </c>
      <c r="AU58" s="139">
        <f t="shared" si="147"/>
        <v>-1152802.42</v>
      </c>
      <c r="AV58" s="139">
        <f t="shared" si="147"/>
        <v>-854644.62</v>
      </c>
      <c r="AW58" s="139">
        <f t="shared" si="147"/>
        <v>-745918.2</v>
      </c>
      <c r="AX58" s="139">
        <f t="shared" si="147"/>
        <v>-449419.45999999996</v>
      </c>
      <c r="AY58" s="139">
        <f t="shared" si="147"/>
        <v>-367788.92000000004</v>
      </c>
      <c r="AZ58" s="139">
        <f t="shared" si="147"/>
        <v>-288895.94999999995</v>
      </c>
      <c r="BA58" s="139">
        <f t="shared" si="147"/>
        <v>-303453.01</v>
      </c>
      <c r="BB58" s="139">
        <f t="shared" si="147"/>
        <v>-378257.78</v>
      </c>
      <c r="BC58" s="139">
        <f t="shared" si="147"/>
        <v>-2067367.2999999998</v>
      </c>
      <c r="BD58" s="139">
        <f t="shared" si="147"/>
        <v>-4179949.43</v>
      </c>
      <c r="BE58" s="139">
        <f t="shared" si="147"/>
        <v>-4916852.71</v>
      </c>
      <c r="BF58" s="139">
        <f t="shared" si="147"/>
        <v>-4434188.71</v>
      </c>
      <c r="BG58" s="139">
        <f t="shared" si="147"/>
        <v>-4519507.33</v>
      </c>
      <c r="BH58" s="139">
        <f t="shared" si="147"/>
        <v>-3888940.5100000002</v>
      </c>
      <c r="BI58" s="139">
        <f t="shared" si="147"/>
        <v>-2700970.86</v>
      </c>
      <c r="BJ58" s="139">
        <f t="shared" si="147"/>
        <v>-1767318.35</v>
      </c>
      <c r="BK58" s="139">
        <f t="shared" si="147"/>
        <v>-1174804.83</v>
      </c>
      <c r="BL58" s="139">
        <f t="shared" si="147"/>
        <v>-972619.78999999992</v>
      </c>
      <c r="BM58" s="139">
        <f t="shared" si="147"/>
        <v>-1011837.77</v>
      </c>
      <c r="BN58" s="139">
        <f t="shared" si="147"/>
        <v>-1234884.55</v>
      </c>
      <c r="BO58" s="139">
        <f t="shared" si="147"/>
        <v>-2791116.97</v>
      </c>
      <c r="BP58" s="139">
        <f t="shared" si="147"/>
        <v>-4530437.25</v>
      </c>
      <c r="BQ58" s="139">
        <f t="shared" si="147"/>
        <v>-5496512.7599999998</v>
      </c>
      <c r="BR58" s="127">
        <f t="shared" si="147"/>
        <v>-6264832.3599999994</v>
      </c>
      <c r="BS58" s="139">
        <f t="shared" si="147"/>
        <v>-4496160.05</v>
      </c>
      <c r="BT58" s="139">
        <f t="shared" si="147"/>
        <v>-3987281.48</v>
      </c>
      <c r="BU58" s="139">
        <f t="shared" si="147"/>
        <v>-3018312.52</v>
      </c>
      <c r="BV58" s="139">
        <f t="shared" si="147"/>
        <v>-2084549.56</v>
      </c>
      <c r="BW58" s="139">
        <f t="shared" si="147"/>
        <v>-1482059.6600000001</v>
      </c>
      <c r="BX58" s="139">
        <f t="shared" si="147"/>
        <v>-1094045.77</v>
      </c>
      <c r="BY58" s="139">
        <f t="shared" si="147"/>
        <v>-1174779.9099999999</v>
      </c>
      <c r="BZ58" s="139">
        <f t="shared" si="147"/>
        <v>-1552986.12</v>
      </c>
      <c r="CA58" s="139">
        <f t="shared" si="147"/>
        <v>4593221.45</v>
      </c>
      <c r="CB58" s="139">
        <f t="shared" si="147"/>
        <v>7029172.7600000007</v>
      </c>
      <c r="CC58" s="139">
        <f t="shared" si="147"/>
        <v>9057267.6899999995</v>
      </c>
      <c r="CD58" s="139">
        <f t="shared" si="147"/>
        <v>9898498.0800000001</v>
      </c>
      <c r="CE58" s="139">
        <f t="shared" si="147"/>
        <v>7473241.8800000008</v>
      </c>
      <c r="CF58" s="139">
        <f t="shared" si="147"/>
        <v>7644925.5899999999</v>
      </c>
      <c r="CG58" s="139">
        <f t="shared" si="147"/>
        <v>6055655.7700000005</v>
      </c>
      <c r="CH58" s="139">
        <f t="shared" si="147"/>
        <v>3546356.6599999997</v>
      </c>
      <c r="CI58" s="139">
        <f t="shared" si="147"/>
        <v>2999918.8</v>
      </c>
      <c r="CJ58" s="139">
        <f t="shared" si="147"/>
        <v>1909909.25</v>
      </c>
      <c r="CK58" s="139">
        <f t="shared" si="147"/>
        <v>2322784.3099999996</v>
      </c>
      <c r="CL58" s="139">
        <f t="shared" si="147"/>
        <v>2281261.62</v>
      </c>
      <c r="CM58" s="139">
        <f t="shared" si="147"/>
        <v>1585810.59</v>
      </c>
      <c r="CN58" s="139">
        <f t="shared" si="147"/>
        <v>1564449.91</v>
      </c>
      <c r="CO58" s="127">
        <f t="shared" si="147"/>
        <v>2777021.98</v>
      </c>
      <c r="CP58" s="139">
        <f t="shared" si="147"/>
        <v>2714216.75</v>
      </c>
      <c r="CQ58" s="139">
        <f t="shared" ref="CQ58:FB58" si="148">CQ8+CQ17+CQ28+CQ39</f>
        <v>2196604.61</v>
      </c>
      <c r="CR58" s="139">
        <f t="shared" si="148"/>
        <v>2301438.0499999998</v>
      </c>
      <c r="CS58" s="139">
        <f t="shared" si="148"/>
        <v>1449032.4100000001</v>
      </c>
      <c r="CT58" s="139">
        <f t="shared" si="148"/>
        <v>963013.8</v>
      </c>
      <c r="CU58" s="139">
        <f t="shared" si="148"/>
        <v>1087176.6100000001</v>
      </c>
      <c r="CV58" s="139">
        <f t="shared" si="148"/>
        <v>1054104.73</v>
      </c>
      <c r="CW58" s="139">
        <f t="shared" si="148"/>
        <v>1348544.58</v>
      </c>
      <c r="CX58" s="139">
        <f t="shared" si="148"/>
        <v>1278753.71</v>
      </c>
      <c r="CY58" s="139">
        <f t="shared" si="148"/>
        <v>5750688.29</v>
      </c>
      <c r="CZ58" s="139">
        <f t="shared" si="148"/>
        <v>8951533.1899999995</v>
      </c>
      <c r="DA58" s="139">
        <f t="shared" si="148"/>
        <v>14167376.399999999</v>
      </c>
      <c r="DB58" s="139">
        <f t="shared" si="148"/>
        <v>9762827.9199999999</v>
      </c>
      <c r="DC58" s="139">
        <f t="shared" si="148"/>
        <v>8497995.4100000001</v>
      </c>
      <c r="DD58" s="139">
        <f t="shared" si="148"/>
        <v>8696510.0800000001</v>
      </c>
      <c r="DE58" s="139">
        <f t="shared" si="148"/>
        <v>7121744.3100000005</v>
      </c>
      <c r="DF58" s="139">
        <f t="shared" si="148"/>
        <v>5473527.8500000006</v>
      </c>
      <c r="DG58" s="139">
        <f t="shared" si="148"/>
        <v>2965782.12</v>
      </c>
      <c r="DH58" s="139">
        <f t="shared" si="148"/>
        <v>2115698.7600000002</v>
      </c>
      <c r="DI58" s="139">
        <f t="shared" si="148"/>
        <v>2338642.38</v>
      </c>
      <c r="DJ58" s="139">
        <f t="shared" si="148"/>
        <v>2320111.56</v>
      </c>
      <c r="DK58" s="139">
        <f t="shared" si="148"/>
        <v>4329827.33</v>
      </c>
      <c r="DL58" s="139">
        <f t="shared" si="148"/>
        <v>2598692.8200000003</v>
      </c>
      <c r="DM58" s="139">
        <f t="shared" si="148"/>
        <v>2300936.37</v>
      </c>
      <c r="DN58" s="139">
        <f t="shared" si="148"/>
        <v>2359870.3200000003</v>
      </c>
      <c r="DO58" s="139">
        <f t="shared" si="148"/>
        <v>2321158.94</v>
      </c>
      <c r="DP58" s="139">
        <f t="shared" si="148"/>
        <v>1987097.49</v>
      </c>
      <c r="DQ58" s="139">
        <f t="shared" si="148"/>
        <v>1837887.2999999998</v>
      </c>
      <c r="DR58" s="139">
        <f t="shared" si="148"/>
        <v>1115168.7999999998</v>
      </c>
      <c r="DS58" s="139">
        <f t="shared" si="148"/>
        <v>733071.70000000007</v>
      </c>
      <c r="DT58" s="139">
        <f t="shared" si="148"/>
        <v>576465.1100000001</v>
      </c>
      <c r="DU58" s="139">
        <f t="shared" si="148"/>
        <v>750238.95000000007</v>
      </c>
      <c r="DV58" s="139">
        <f t="shared" si="148"/>
        <v>578884.51</v>
      </c>
      <c r="DW58" s="139">
        <f t="shared" si="148"/>
        <v>1221311.4599999997</v>
      </c>
      <c r="DX58" s="139">
        <f t="shared" si="148"/>
        <v>2742603.97</v>
      </c>
      <c r="DY58" s="139">
        <f t="shared" si="148"/>
        <v>3408849.19</v>
      </c>
      <c r="DZ58" s="139">
        <f t="shared" si="148"/>
        <v>3532297.5100000002</v>
      </c>
      <c r="EA58" s="139">
        <f t="shared" si="148"/>
        <v>2834906.74</v>
      </c>
      <c r="EB58" s="139">
        <f t="shared" si="148"/>
        <v>3205630.51</v>
      </c>
      <c r="EC58" s="139">
        <f t="shared" si="148"/>
        <v>1714819.0399999998</v>
      </c>
      <c r="ED58" s="139">
        <f t="shared" si="148"/>
        <v>1269080.3400000001</v>
      </c>
      <c r="EE58" s="139">
        <f t="shared" si="148"/>
        <v>976573.07</v>
      </c>
      <c r="EF58" s="139">
        <f t="shared" si="148"/>
        <v>722738.72</v>
      </c>
      <c r="EG58" s="139">
        <f t="shared" si="148"/>
        <v>643337.28</v>
      </c>
      <c r="EH58" s="139">
        <f t="shared" si="148"/>
        <v>734854.26</v>
      </c>
      <c r="EI58" s="139">
        <f t="shared" si="148"/>
        <v>1557925.55</v>
      </c>
      <c r="EJ58" s="139">
        <f t="shared" si="148"/>
        <v>3516428.47</v>
      </c>
      <c r="EK58" s="139">
        <f t="shared" si="148"/>
        <v>4970796.25</v>
      </c>
      <c r="EL58" s="139">
        <f t="shared" si="148"/>
        <v>5818303</v>
      </c>
      <c r="EM58" s="139">
        <f t="shared" si="148"/>
        <v>4132414</v>
      </c>
      <c r="EN58" s="139">
        <f t="shared" si="148"/>
        <v>3749439</v>
      </c>
      <c r="EO58" s="139">
        <f t="shared" si="148"/>
        <v>2741629</v>
      </c>
      <c r="EP58" s="139">
        <f t="shared" si="148"/>
        <v>1828489</v>
      </c>
      <c r="EQ58" s="139">
        <f t="shared" si="148"/>
        <v>1154555</v>
      </c>
      <c r="ER58" s="139">
        <f t="shared" si="148"/>
        <v>1048591</v>
      </c>
      <c r="ES58" s="139">
        <f t="shared" si="148"/>
        <v>891407</v>
      </c>
      <c r="ET58" s="139">
        <f t="shared" si="148"/>
        <v>1325337</v>
      </c>
      <c r="EU58" s="139">
        <f t="shared" si="148"/>
        <v>2804182</v>
      </c>
      <c r="EV58" s="139">
        <f t="shared" si="148"/>
        <v>1432761</v>
      </c>
      <c r="EW58" s="139">
        <f t="shared" si="148"/>
        <v>1833002</v>
      </c>
      <c r="EX58" s="139">
        <f t="shared" si="148"/>
        <v>1592064</v>
      </c>
      <c r="EY58" s="139">
        <f t="shared" si="148"/>
        <v>1596695</v>
      </c>
      <c r="EZ58" s="139">
        <f t="shared" si="148"/>
        <v>1208063</v>
      </c>
      <c r="FA58" s="139">
        <f t="shared" si="148"/>
        <v>829806</v>
      </c>
      <c r="FB58" s="139">
        <f t="shared" si="148"/>
        <v>532650</v>
      </c>
      <c r="FC58" s="139">
        <f t="shared" ref="FC58:HN58" si="149">FC8+FC17+FC28+FC39</f>
        <v>388339</v>
      </c>
      <c r="FD58" s="139">
        <f t="shared" si="149"/>
        <v>315608</v>
      </c>
      <c r="FE58" s="139">
        <f t="shared" si="149"/>
        <v>311113</v>
      </c>
      <c r="FF58" s="139">
        <f t="shared" si="149"/>
        <v>346284</v>
      </c>
      <c r="FG58" s="139">
        <f t="shared" si="149"/>
        <v>561068</v>
      </c>
      <c r="FH58" s="139">
        <f t="shared" si="149"/>
        <v>-2965898</v>
      </c>
      <c r="FI58" s="139">
        <f t="shared" si="149"/>
        <v>-3722484</v>
      </c>
      <c r="FJ58" s="139">
        <f t="shared" si="149"/>
        <v>-3541071</v>
      </c>
      <c r="FK58" s="139">
        <f t="shared" si="149"/>
        <v>-2717324</v>
      </c>
      <c r="FL58" s="139">
        <f t="shared" si="149"/>
        <v>-2637484</v>
      </c>
      <c r="FM58" s="139">
        <f t="shared" si="149"/>
        <v>-2245476</v>
      </c>
      <c r="FN58" s="139">
        <f t="shared" si="149"/>
        <v>-1359044</v>
      </c>
      <c r="FO58" s="139">
        <f t="shared" si="149"/>
        <v>-920261</v>
      </c>
      <c r="FP58" s="139">
        <f t="shared" si="149"/>
        <v>-761287</v>
      </c>
      <c r="FQ58" s="139">
        <f t="shared" si="149"/>
        <v>-795960</v>
      </c>
      <c r="FR58" s="139">
        <f t="shared" si="149"/>
        <v>-1075017</v>
      </c>
      <c r="FS58" s="139">
        <f t="shared" si="149"/>
        <v>-1540383</v>
      </c>
      <c r="FT58" s="139">
        <f t="shared" si="149"/>
        <v>2981672</v>
      </c>
      <c r="FU58" s="139">
        <f t="shared" si="149"/>
        <v>4764642</v>
      </c>
      <c r="FV58" s="139">
        <f t="shared" si="149"/>
        <v>4493402</v>
      </c>
      <c r="FW58" s="139">
        <f t="shared" si="149"/>
        <v>3497730</v>
      </c>
      <c r="FX58" s="139">
        <f t="shared" si="149"/>
        <v>3393187</v>
      </c>
      <c r="FY58" s="139">
        <f t="shared" si="149"/>
        <v>1881976</v>
      </c>
      <c r="FZ58" s="139">
        <f t="shared" si="149"/>
        <v>1466214</v>
      </c>
      <c r="GA58" s="139">
        <f t="shared" si="149"/>
        <v>1152038</v>
      </c>
      <c r="GB58" s="139">
        <f t="shared" si="149"/>
        <v>1090086</v>
      </c>
      <c r="GC58" s="139">
        <f t="shared" si="149"/>
        <v>914070</v>
      </c>
      <c r="GD58" s="139">
        <f t="shared" si="149"/>
        <v>1187881</v>
      </c>
      <c r="GE58" s="139">
        <f t="shared" si="149"/>
        <v>2065278</v>
      </c>
      <c r="GF58" s="139">
        <f t="shared" si="149"/>
        <v>1425166</v>
      </c>
      <c r="GG58" s="139">
        <f t="shared" si="149"/>
        <v>2453890</v>
      </c>
      <c r="GH58" s="139">
        <f t="shared" si="149"/>
        <v>2665062</v>
      </c>
      <c r="GI58" s="139">
        <f t="shared" si="149"/>
        <v>2111008</v>
      </c>
      <c r="GJ58" s="139">
        <f t="shared" si="149"/>
        <v>1883301</v>
      </c>
      <c r="GK58" s="139">
        <f t="shared" si="149"/>
        <v>1353261</v>
      </c>
      <c r="GL58" s="139">
        <f t="shared" si="149"/>
        <v>911994</v>
      </c>
      <c r="GM58" s="139">
        <f t="shared" si="149"/>
        <v>586014</v>
      </c>
      <c r="GN58" s="139">
        <f t="shared" si="149"/>
        <v>487336</v>
      </c>
      <c r="GO58" s="139">
        <f t="shared" si="149"/>
        <v>433118</v>
      </c>
      <c r="GP58" s="139">
        <f t="shared" si="149"/>
        <v>542640</v>
      </c>
      <c r="GQ58" s="139">
        <f t="shared" si="149"/>
        <v>1154977</v>
      </c>
      <c r="GR58" s="139">
        <f t="shared" si="149"/>
        <v>1708188</v>
      </c>
      <c r="GS58" s="139">
        <f t="shared" si="149"/>
        <v>2313890</v>
      </c>
      <c r="GT58" s="139">
        <f t="shared" si="149"/>
        <v>2055797</v>
      </c>
      <c r="GU58" s="139">
        <f t="shared" si="149"/>
        <v>2063629</v>
      </c>
      <c r="GV58" s="139">
        <f t="shared" si="149"/>
        <v>1862444</v>
      </c>
      <c r="GW58" s="139">
        <f t="shared" si="149"/>
        <v>1264292</v>
      </c>
      <c r="GX58" s="139">
        <f t="shared" si="149"/>
        <v>656475</v>
      </c>
      <c r="GY58" s="139">
        <f t="shared" si="149"/>
        <v>603626</v>
      </c>
      <c r="GZ58" s="139">
        <f t="shared" si="149"/>
        <v>386627</v>
      </c>
      <c r="HA58" s="139">
        <f t="shared" si="149"/>
        <v>473223</v>
      </c>
      <c r="HB58" s="139">
        <f t="shared" si="149"/>
        <v>530850</v>
      </c>
      <c r="HC58" s="139">
        <f t="shared" si="149"/>
        <v>1100872</v>
      </c>
      <c r="HD58" s="139">
        <f t="shared" si="149"/>
        <v>5015772</v>
      </c>
      <c r="HE58" s="139">
        <f t="shared" si="149"/>
        <v>7424759</v>
      </c>
      <c r="HF58" s="139">
        <f t="shared" si="149"/>
        <v>7132514</v>
      </c>
      <c r="HG58" s="139">
        <f t="shared" si="149"/>
        <v>8407917</v>
      </c>
      <c r="HH58" s="139">
        <f t="shared" si="149"/>
        <v>6318070</v>
      </c>
      <c r="HI58" s="139">
        <f t="shared" si="149"/>
        <v>4039455</v>
      </c>
      <c r="HJ58" s="139">
        <f t="shared" si="149"/>
        <v>170386</v>
      </c>
      <c r="HK58" s="139">
        <f t="shared" si="149"/>
        <v>122128</v>
      </c>
      <c r="HL58" s="139">
        <f t="shared" si="149"/>
        <v>102195</v>
      </c>
      <c r="HM58" s="139">
        <f t="shared" si="149"/>
        <v>98645</v>
      </c>
      <c r="HN58" s="139">
        <f t="shared" si="149"/>
        <v>128251</v>
      </c>
      <c r="HO58" s="139">
        <f t="shared" ref="HO58:JJ58" si="150">HO8+HO17+HO28+HO39</f>
        <v>301546</v>
      </c>
      <c r="HP58" s="139">
        <f t="shared" si="150"/>
        <v>-9599016</v>
      </c>
      <c r="HQ58" s="139">
        <f t="shared" si="150"/>
        <v>-12670036</v>
      </c>
      <c r="HR58" s="139">
        <f t="shared" si="150"/>
        <v>-12859516</v>
      </c>
      <c r="HS58" s="139">
        <f t="shared" si="150"/>
        <v>-11823948</v>
      </c>
      <c r="HT58" s="139">
        <f t="shared" si="150"/>
        <v>-11239902</v>
      </c>
      <c r="HU58" s="139">
        <f t="shared" si="150"/>
        <v>-6735550</v>
      </c>
      <c r="HV58" s="139">
        <f t="shared" si="150"/>
        <v>-1950530</v>
      </c>
      <c r="HW58" s="139">
        <f t="shared" si="150"/>
        <v>-1730464</v>
      </c>
      <c r="HX58" s="139">
        <f t="shared" si="150"/>
        <v>-1191731</v>
      </c>
      <c r="HY58" s="139">
        <f t="shared" si="150"/>
        <v>-1134554</v>
      </c>
      <c r="HZ58" s="139">
        <f t="shared" si="150"/>
        <v>-1319093</v>
      </c>
      <c r="IA58" s="139">
        <f t="shared" si="150"/>
        <v>-572069</v>
      </c>
      <c r="IB58" s="139">
        <f t="shared" si="150"/>
        <v>-4765692</v>
      </c>
      <c r="IC58" s="139">
        <f t="shared" si="150"/>
        <v>-5848267</v>
      </c>
      <c r="ID58" s="139">
        <f t="shared" si="150"/>
        <v>-5928200</v>
      </c>
      <c r="IE58" s="139">
        <f t="shared" si="150"/>
        <v>-6287814</v>
      </c>
      <c r="IF58" s="139">
        <f t="shared" si="150"/>
        <v>-5464900</v>
      </c>
      <c r="IG58" s="139">
        <f t="shared" si="150"/>
        <v>-3255301</v>
      </c>
      <c r="IH58" s="139">
        <f t="shared" si="150"/>
        <v>-2324247</v>
      </c>
      <c r="II58" s="139">
        <f t="shared" si="150"/>
        <v>-1515138</v>
      </c>
      <c r="IJ58" s="139">
        <f t="shared" si="150"/>
        <v>-1141334</v>
      </c>
      <c r="IK58" s="139">
        <f t="shared" si="150"/>
        <v>-1202631</v>
      </c>
      <c r="IL58" s="139">
        <f t="shared" si="150"/>
        <v>-1640877</v>
      </c>
      <c r="IM58" s="139">
        <f t="shared" si="150"/>
        <v>-3276239</v>
      </c>
      <c r="IN58" s="139">
        <f t="shared" si="150"/>
        <v>-2673135</v>
      </c>
      <c r="IO58" s="139">
        <f t="shared" si="150"/>
        <v>-3751397</v>
      </c>
      <c r="IP58" s="139">
        <f t="shared" si="150"/>
        <v>-3774186</v>
      </c>
      <c r="IQ58" s="139">
        <f t="shared" si="150"/>
        <v>-3091162</v>
      </c>
      <c r="IR58" s="139">
        <f t="shared" si="150"/>
        <v>-2706232</v>
      </c>
      <c r="IS58" s="139">
        <f t="shared" si="150"/>
        <v>-2336109</v>
      </c>
      <c r="IT58" s="139">
        <f t="shared" si="150"/>
        <v>-1630115</v>
      </c>
      <c r="IU58" s="139">
        <f t="shared" si="150"/>
        <v>-1024701</v>
      </c>
      <c r="IV58" s="139">
        <f t="shared" si="150"/>
        <v>-745240</v>
      </c>
      <c r="IW58" s="139">
        <f t="shared" si="150"/>
        <v>-590999</v>
      </c>
      <c r="IX58" s="139">
        <f t="shared" si="150"/>
        <v>-697860</v>
      </c>
      <c r="IY58" s="139">
        <f t="shared" si="150"/>
        <v>-1289529</v>
      </c>
      <c r="IZ58" s="139">
        <f t="shared" si="150"/>
        <v>-4827100</v>
      </c>
      <c r="JA58" s="139">
        <f t="shared" si="150"/>
        <v>-5944285</v>
      </c>
      <c r="JB58" s="139">
        <f t="shared" si="150"/>
        <v>-5254114</v>
      </c>
      <c r="JC58" s="139">
        <f t="shared" si="150"/>
        <v>-5146060</v>
      </c>
      <c r="JD58" s="139">
        <f t="shared" si="150"/>
        <v>-4728867</v>
      </c>
      <c r="JE58" s="139">
        <f t="shared" si="150"/>
        <v>-3730508</v>
      </c>
      <c r="JF58" s="139">
        <f t="shared" si="150"/>
        <v>-1582611</v>
      </c>
      <c r="JG58" s="139">
        <f t="shared" si="150"/>
        <v>-1339308</v>
      </c>
      <c r="JH58" s="139">
        <f t="shared" si="150"/>
        <v>-972253</v>
      </c>
      <c r="JI58" s="139">
        <f t="shared" si="150"/>
        <v>-996690</v>
      </c>
      <c r="JJ58" s="139">
        <f t="shared" si="150"/>
        <v>-1302660</v>
      </c>
      <c r="JK58" s="139">
        <f t="shared" ref="JK58:JU58" si="151">JK8+JK17+JK28+JK39</f>
        <v>-977655</v>
      </c>
      <c r="JL58" s="139">
        <f t="shared" si="151"/>
        <v>20576988</v>
      </c>
      <c r="JM58" s="139">
        <f t="shared" si="151"/>
        <v>22497538</v>
      </c>
      <c r="JN58" s="139">
        <f t="shared" si="151"/>
        <v>28160276</v>
      </c>
      <c r="JO58" s="139">
        <f t="shared" si="151"/>
        <v>21686472</v>
      </c>
      <c r="JP58" s="139">
        <f t="shared" si="151"/>
        <v>20633229</v>
      </c>
      <c r="JQ58" s="139">
        <f t="shared" si="151"/>
        <v>15620593</v>
      </c>
      <c r="JR58" s="139">
        <f t="shared" si="151"/>
        <v>10716729</v>
      </c>
      <c r="JS58" s="139">
        <f t="shared" si="151"/>
        <v>7445495</v>
      </c>
      <c r="JT58" s="139">
        <f t="shared" si="151"/>
        <v>5373026</v>
      </c>
      <c r="JU58" s="139">
        <f t="shared" si="151"/>
        <v>4668463</v>
      </c>
      <c r="JV58" s="632"/>
      <c r="JW58" s="414"/>
      <c r="JX58" s="414"/>
      <c r="JY58" s="414"/>
      <c r="JZ58" s="414"/>
      <c r="KA58" s="414"/>
      <c r="KB58" s="414"/>
      <c r="KC58" s="414"/>
      <c r="KD58" s="414"/>
      <c r="KE58" s="414"/>
      <c r="KF58" s="414"/>
      <c r="KG58" s="414"/>
      <c r="KH58" s="414"/>
      <c r="KI58" s="633"/>
    </row>
    <row r="59" spans="1:295" hidden="1" x14ac:dyDescent="0.2">
      <c r="B59" s="24" t="s">
        <v>117</v>
      </c>
      <c r="D59" s="141"/>
      <c r="E59" s="142">
        <v>-2799448.38</v>
      </c>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27"/>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27"/>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c r="IW59" s="139"/>
      <c r="IX59" s="139"/>
      <c r="IY59" s="139"/>
      <c r="IZ59" s="139"/>
      <c r="JA59" s="139"/>
      <c r="JB59" s="139"/>
      <c r="JC59" s="139"/>
      <c r="JD59" s="139"/>
      <c r="JE59" s="139"/>
      <c r="JF59" s="139"/>
      <c r="JG59" s="139"/>
      <c r="JH59" s="139"/>
      <c r="JI59" s="139"/>
      <c r="JJ59" s="139"/>
      <c r="JK59" s="139"/>
      <c r="JL59" s="139"/>
      <c r="JM59" s="139"/>
      <c r="JN59" s="139"/>
      <c r="JO59" s="139"/>
      <c r="JP59" s="139"/>
      <c r="JQ59" s="139"/>
      <c r="JR59" s="139"/>
      <c r="JS59" s="139"/>
      <c r="JT59" s="139"/>
      <c r="JU59" s="139"/>
      <c r="JV59" s="632"/>
      <c r="JW59" s="414"/>
      <c r="JX59" s="414"/>
      <c r="JY59" s="414"/>
      <c r="JZ59" s="414"/>
      <c r="KA59" s="414"/>
      <c r="KB59" s="414"/>
      <c r="KC59" s="414"/>
      <c r="KD59" s="414"/>
      <c r="KE59" s="414"/>
      <c r="KF59" s="414"/>
      <c r="KG59" s="414"/>
      <c r="KH59" s="414"/>
      <c r="KI59" s="633"/>
    </row>
    <row r="60" spans="1:295" hidden="1" x14ac:dyDescent="0.2">
      <c r="B60" s="24" t="s">
        <v>118</v>
      </c>
      <c r="D60" s="141"/>
      <c r="E60" s="141"/>
      <c r="F60" s="142">
        <v>-1826662.8</v>
      </c>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27"/>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27"/>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c r="IW60" s="139"/>
      <c r="IX60" s="139"/>
      <c r="IY60" s="139"/>
      <c r="IZ60" s="139"/>
      <c r="JA60" s="139"/>
      <c r="JB60" s="139"/>
      <c r="JC60" s="139"/>
      <c r="JD60" s="139"/>
      <c r="JE60" s="139"/>
      <c r="JF60" s="139"/>
      <c r="JG60" s="139"/>
      <c r="JH60" s="139"/>
      <c r="JI60" s="139"/>
      <c r="JJ60" s="139"/>
      <c r="JK60" s="139"/>
      <c r="JL60" s="139"/>
      <c r="JM60" s="139"/>
      <c r="JN60" s="139"/>
      <c r="JO60" s="139"/>
      <c r="JP60" s="139"/>
      <c r="JQ60" s="139"/>
      <c r="JR60" s="139"/>
      <c r="JS60" s="139"/>
      <c r="JT60" s="139"/>
      <c r="JU60" s="139"/>
      <c r="JV60" s="632"/>
      <c r="JW60" s="414"/>
      <c r="JX60" s="414"/>
      <c r="JY60" s="414"/>
      <c r="JZ60" s="414"/>
      <c r="KA60" s="414"/>
      <c r="KB60" s="414"/>
      <c r="KC60" s="414"/>
      <c r="KD60" s="414"/>
      <c r="KE60" s="414"/>
      <c r="KF60" s="414"/>
      <c r="KG60" s="414"/>
      <c r="KH60" s="414"/>
      <c r="KI60" s="633"/>
    </row>
    <row r="61" spans="1:295" hidden="1" x14ac:dyDescent="0.2">
      <c r="B61" s="24" t="s">
        <v>119</v>
      </c>
      <c r="D61" s="141"/>
      <c r="E61" s="141"/>
      <c r="F61" s="142">
        <v>2007549.31</v>
      </c>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27"/>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27"/>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c r="IW61" s="139"/>
      <c r="IX61" s="139"/>
      <c r="IY61" s="139"/>
      <c r="IZ61" s="139"/>
      <c r="JA61" s="139"/>
      <c r="JB61" s="139"/>
      <c r="JC61" s="139"/>
      <c r="JD61" s="139"/>
      <c r="JE61" s="139"/>
      <c r="JF61" s="139"/>
      <c r="JG61" s="139"/>
      <c r="JH61" s="139"/>
      <c r="JI61" s="139"/>
      <c r="JJ61" s="139"/>
      <c r="JK61" s="139"/>
      <c r="JL61" s="139"/>
      <c r="JM61" s="139"/>
      <c r="JN61" s="139"/>
      <c r="JO61" s="139"/>
      <c r="JP61" s="139"/>
      <c r="JQ61" s="139"/>
      <c r="JR61" s="139"/>
      <c r="JS61" s="139"/>
      <c r="JT61" s="139"/>
      <c r="JU61" s="139"/>
      <c r="JV61" s="632"/>
      <c r="JW61" s="414"/>
      <c r="JX61" s="414"/>
      <c r="JY61" s="414"/>
      <c r="JZ61" s="414"/>
      <c r="KA61" s="414"/>
      <c r="KB61" s="414"/>
      <c r="KC61" s="414"/>
      <c r="KD61" s="414"/>
      <c r="KE61" s="414"/>
      <c r="KF61" s="414"/>
      <c r="KG61" s="414"/>
      <c r="KH61" s="414"/>
      <c r="KI61" s="633"/>
    </row>
    <row r="62" spans="1:295" hidden="1" x14ac:dyDescent="0.2">
      <c r="B62" s="24" t="s">
        <v>120</v>
      </c>
      <c r="D62" s="141"/>
      <c r="E62" s="141"/>
      <c r="F62" s="141"/>
      <c r="G62" s="141"/>
      <c r="H62" s="141"/>
      <c r="I62" s="141"/>
      <c r="J62" s="141"/>
      <c r="K62" s="141"/>
      <c r="L62" s="141"/>
      <c r="M62" s="141"/>
      <c r="N62" s="141"/>
      <c r="O62" s="142">
        <v>173771.79</v>
      </c>
      <c r="P62" s="141"/>
      <c r="Q62" s="141"/>
      <c r="R62" s="141"/>
      <c r="S62" s="141"/>
      <c r="T62" s="141"/>
      <c r="U62" s="141"/>
      <c r="V62" s="141"/>
      <c r="W62" s="141"/>
      <c r="X62" s="141"/>
      <c r="Y62" s="141"/>
      <c r="Z62" s="141"/>
      <c r="AA62" s="141"/>
      <c r="AB62" s="141"/>
      <c r="AC62" s="141"/>
      <c r="AD62" s="141"/>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27"/>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27"/>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c r="IW62" s="139"/>
      <c r="IX62" s="139"/>
      <c r="IY62" s="139"/>
      <c r="IZ62" s="139"/>
      <c r="JA62" s="139"/>
      <c r="JB62" s="139"/>
      <c r="JC62" s="139"/>
      <c r="JD62" s="139"/>
      <c r="JE62" s="139"/>
      <c r="JF62" s="139"/>
      <c r="JG62" s="139"/>
      <c r="JH62" s="139"/>
      <c r="JI62" s="139"/>
      <c r="JJ62" s="139"/>
      <c r="JK62" s="139"/>
      <c r="JL62" s="139"/>
      <c r="JM62" s="139"/>
      <c r="JN62" s="139"/>
      <c r="JO62" s="139"/>
      <c r="JP62" s="139"/>
      <c r="JQ62" s="139"/>
      <c r="JR62" s="139"/>
      <c r="JS62" s="139"/>
      <c r="JT62" s="139"/>
      <c r="JU62" s="139"/>
      <c r="JV62" s="632"/>
      <c r="JW62" s="414"/>
      <c r="JX62" s="414"/>
      <c r="JY62" s="414"/>
      <c r="JZ62" s="414"/>
      <c r="KA62" s="414"/>
      <c r="KB62" s="414"/>
      <c r="KC62" s="414"/>
      <c r="KD62" s="414"/>
      <c r="KE62" s="414"/>
      <c r="KF62" s="414"/>
      <c r="KG62" s="414"/>
      <c r="KH62" s="414"/>
      <c r="KI62" s="633"/>
    </row>
    <row r="63" spans="1:295" x14ac:dyDescent="0.2">
      <c r="B63" s="24" t="s">
        <v>107</v>
      </c>
      <c r="D63" s="142"/>
      <c r="E63" s="142"/>
      <c r="F63" s="142"/>
      <c r="G63" s="142"/>
      <c r="H63" s="142"/>
      <c r="I63" s="142"/>
      <c r="J63" s="142"/>
      <c r="K63" s="142"/>
      <c r="L63" s="142"/>
      <c r="M63" s="142"/>
      <c r="N63" s="142"/>
      <c r="O63" s="142"/>
      <c r="P63" s="142"/>
      <c r="Q63" s="142"/>
      <c r="R63" s="142">
        <v>564611.4</v>
      </c>
      <c r="S63" s="142"/>
      <c r="T63" s="142">
        <v>601204.69999999995</v>
      </c>
      <c r="U63" s="142">
        <v>341464.43</v>
      </c>
      <c r="V63" s="142">
        <v>330830.59999999998</v>
      </c>
      <c r="W63" s="142">
        <v>319595.78545416164</v>
      </c>
      <c r="X63" s="142">
        <v>328019.44519326882</v>
      </c>
      <c r="Y63" s="142">
        <v>297731.57</v>
      </c>
      <c r="Z63" s="142">
        <v>216505.71</v>
      </c>
      <c r="AA63" s="142">
        <v>50878</v>
      </c>
      <c r="AB63" s="142">
        <v>36150.39</v>
      </c>
      <c r="AC63" s="142">
        <v>28892.2</v>
      </c>
      <c r="AD63" s="142">
        <v>22871.759999999998</v>
      </c>
      <c r="AE63" s="139">
        <f t="shared" ref="AE63:CP63" si="152">AE9+AE18+AE29+AE40</f>
        <v>4406.75</v>
      </c>
      <c r="AF63" s="139">
        <f t="shared" si="152"/>
        <v>2610.86</v>
      </c>
      <c r="AG63" s="139">
        <f t="shared" si="152"/>
        <v>1292.44</v>
      </c>
      <c r="AH63" s="139">
        <f t="shared" si="152"/>
        <v>0</v>
      </c>
      <c r="AI63" s="139">
        <f t="shared" si="152"/>
        <v>5644.3200000000015</v>
      </c>
      <c r="AJ63" s="139">
        <f t="shared" si="152"/>
        <v>4698.4500000000007</v>
      </c>
      <c r="AK63" s="139">
        <f t="shared" si="152"/>
        <v>-32343.659999999996</v>
      </c>
      <c r="AL63" s="139">
        <f t="shared" si="152"/>
        <v>-4907.33</v>
      </c>
      <c r="AM63" s="139">
        <f t="shared" si="152"/>
        <v>-2477.0600000000004</v>
      </c>
      <c r="AN63" s="139">
        <f t="shared" si="152"/>
        <v>-2159.8900000000003</v>
      </c>
      <c r="AO63" s="139">
        <f t="shared" si="152"/>
        <v>-2048.83</v>
      </c>
      <c r="AP63" s="139">
        <f t="shared" si="152"/>
        <v>-2102.91</v>
      </c>
      <c r="AQ63" s="139">
        <f t="shared" si="152"/>
        <v>-2853.28</v>
      </c>
      <c r="AR63" s="139">
        <f t="shared" si="152"/>
        <v>3810.5600000000004</v>
      </c>
      <c r="AS63" s="139">
        <f t="shared" si="152"/>
        <v>4070.28</v>
      </c>
      <c r="AT63" s="139">
        <f t="shared" si="152"/>
        <v>3971.92</v>
      </c>
      <c r="AU63" s="139">
        <f t="shared" si="152"/>
        <v>3770.62</v>
      </c>
      <c r="AV63" s="139">
        <f t="shared" si="152"/>
        <v>3366.2400000000002</v>
      </c>
      <c r="AW63" s="139">
        <f t="shared" si="152"/>
        <v>2951.7400000000002</v>
      </c>
      <c r="AX63" s="139">
        <f t="shared" si="152"/>
        <v>676.27</v>
      </c>
      <c r="AY63" s="139">
        <f t="shared" si="152"/>
        <v>-80.799999999999955</v>
      </c>
      <c r="AZ63" s="139">
        <f t="shared" si="152"/>
        <v>-194.57999999999993</v>
      </c>
      <c r="BA63" s="139">
        <f t="shared" si="152"/>
        <v>-1631.6799999999998</v>
      </c>
      <c r="BB63" s="139">
        <f t="shared" si="152"/>
        <v>102.70000000000005</v>
      </c>
      <c r="BC63" s="139">
        <f t="shared" si="152"/>
        <v>45.350000000000023</v>
      </c>
      <c r="BD63" s="139">
        <f t="shared" si="152"/>
        <v>13711.01</v>
      </c>
      <c r="BE63" s="139">
        <f t="shared" si="152"/>
        <v>13509.49</v>
      </c>
      <c r="BF63" s="139">
        <f t="shared" si="152"/>
        <v>12877.59</v>
      </c>
      <c r="BG63" s="139">
        <f t="shared" si="152"/>
        <v>13416.45</v>
      </c>
      <c r="BH63" s="139">
        <f t="shared" si="152"/>
        <v>14386.08</v>
      </c>
      <c r="BI63" s="139">
        <f t="shared" si="152"/>
        <v>15334.29</v>
      </c>
      <c r="BJ63" s="139">
        <f t="shared" si="152"/>
        <v>16586.02</v>
      </c>
      <c r="BK63" s="139">
        <f t="shared" si="152"/>
        <v>16063.83</v>
      </c>
      <c r="BL63" s="139">
        <f t="shared" si="152"/>
        <v>14859.57</v>
      </c>
      <c r="BM63" s="139">
        <f t="shared" si="152"/>
        <v>14862.210000000001</v>
      </c>
      <c r="BN63" s="139">
        <f t="shared" si="152"/>
        <v>15053</v>
      </c>
      <c r="BO63" s="139">
        <f t="shared" si="152"/>
        <v>14788.41</v>
      </c>
      <c r="BP63" s="139">
        <f t="shared" si="152"/>
        <v>-19272.379999999997</v>
      </c>
      <c r="BQ63" s="139">
        <f t="shared" si="152"/>
        <v>-17173.93</v>
      </c>
      <c r="BR63" s="127">
        <f t="shared" si="152"/>
        <v>-15270.2</v>
      </c>
      <c r="BS63" s="139">
        <f t="shared" si="152"/>
        <v>-13970.7</v>
      </c>
      <c r="BT63" s="139">
        <f t="shared" si="152"/>
        <v>-15736.900000000001</v>
      </c>
      <c r="BU63" s="139">
        <f t="shared" si="152"/>
        <v>-15373.18</v>
      </c>
      <c r="BV63" s="139">
        <f t="shared" si="152"/>
        <v>-14933.73</v>
      </c>
      <c r="BW63" s="139">
        <f t="shared" si="152"/>
        <v>-14610.900000000001</v>
      </c>
      <c r="BX63" s="139">
        <f t="shared" si="152"/>
        <v>-13739.669999999998</v>
      </c>
      <c r="BY63" s="139">
        <f t="shared" si="152"/>
        <v>-7460.38</v>
      </c>
      <c r="BZ63" s="139">
        <f t="shared" si="152"/>
        <v>-7617.2900000000009</v>
      </c>
      <c r="CA63" s="139">
        <f t="shared" si="152"/>
        <v>-9450.48</v>
      </c>
      <c r="CB63" s="139">
        <f t="shared" si="152"/>
        <v>5568.21</v>
      </c>
      <c r="CC63" s="139">
        <f t="shared" si="152"/>
        <v>30657.690000000002</v>
      </c>
      <c r="CD63" s="139">
        <f t="shared" si="152"/>
        <v>37224.71</v>
      </c>
      <c r="CE63" s="139">
        <f t="shared" si="152"/>
        <v>30445.159999999996</v>
      </c>
      <c r="CF63" s="139">
        <f t="shared" si="152"/>
        <v>53635.009999999995</v>
      </c>
      <c r="CG63" s="139">
        <f t="shared" si="152"/>
        <v>48047.76</v>
      </c>
      <c r="CH63" s="139">
        <f t="shared" si="152"/>
        <v>46732.43</v>
      </c>
      <c r="CI63" s="139">
        <f t="shared" si="152"/>
        <v>45035.31</v>
      </c>
      <c r="CJ63" s="139">
        <f t="shared" si="152"/>
        <v>43322.38</v>
      </c>
      <c r="CK63" s="139">
        <f t="shared" si="152"/>
        <v>42271.509999999995</v>
      </c>
      <c r="CL63" s="139">
        <f t="shared" si="152"/>
        <v>42488.2</v>
      </c>
      <c r="CM63" s="139">
        <f t="shared" si="152"/>
        <v>45542.71</v>
      </c>
      <c r="CN63" s="139">
        <f t="shared" si="152"/>
        <v>42999.689999999995</v>
      </c>
      <c r="CO63" s="127">
        <f t="shared" si="152"/>
        <v>22810.350000000002</v>
      </c>
      <c r="CP63" s="139">
        <f t="shared" si="152"/>
        <v>23321.11</v>
      </c>
      <c r="CQ63" s="139">
        <f t="shared" ref="CQ63:FB63" si="153">CQ9+CQ18+CQ29+CQ40</f>
        <v>17735.099999999999</v>
      </c>
      <c r="CR63" s="139">
        <f t="shared" si="153"/>
        <v>5754.39</v>
      </c>
      <c r="CS63" s="139">
        <f t="shared" si="153"/>
        <v>6921.39</v>
      </c>
      <c r="CT63" s="139">
        <f t="shared" si="153"/>
        <v>7975.4299999999994</v>
      </c>
      <c r="CU63" s="139">
        <f t="shared" si="153"/>
        <v>8652.91</v>
      </c>
      <c r="CV63" s="139">
        <f t="shared" si="153"/>
        <v>8159.96</v>
      </c>
      <c r="CW63" s="139">
        <f t="shared" si="153"/>
        <v>10914.009999999998</v>
      </c>
      <c r="CX63" s="139">
        <f t="shared" si="153"/>
        <v>11642.79</v>
      </c>
      <c r="CY63" s="139">
        <f t="shared" si="153"/>
        <v>14610.62</v>
      </c>
      <c r="CZ63" s="139">
        <f t="shared" si="153"/>
        <v>16305.02</v>
      </c>
      <c r="DA63" s="139">
        <f t="shared" si="153"/>
        <v>20010.37</v>
      </c>
      <c r="DB63" s="139">
        <f t="shared" si="153"/>
        <v>19118.59</v>
      </c>
      <c r="DC63" s="139">
        <f t="shared" si="153"/>
        <v>17978.11</v>
      </c>
      <c r="DD63" s="139">
        <f t="shared" si="153"/>
        <v>18145.02</v>
      </c>
      <c r="DE63" s="139">
        <f t="shared" si="153"/>
        <v>17060.95</v>
      </c>
      <c r="DF63" s="139">
        <f t="shared" si="153"/>
        <v>12806.51</v>
      </c>
      <c r="DG63" s="139">
        <f t="shared" si="153"/>
        <v>11840.36</v>
      </c>
      <c r="DH63" s="139">
        <f t="shared" si="153"/>
        <v>10552.49</v>
      </c>
      <c r="DI63" s="139">
        <f t="shared" si="153"/>
        <v>5296.77</v>
      </c>
      <c r="DJ63" s="139">
        <f t="shared" si="153"/>
        <v>4937.8899999999994</v>
      </c>
      <c r="DK63" s="139">
        <f t="shared" si="153"/>
        <v>4129.4900000000007</v>
      </c>
      <c r="DL63" s="139">
        <f t="shared" si="153"/>
        <v>-1366.38</v>
      </c>
      <c r="DM63" s="139">
        <f t="shared" si="153"/>
        <v>-352.71000000000004</v>
      </c>
      <c r="DN63" s="139">
        <f t="shared" si="153"/>
        <v>-118.19999999999982</v>
      </c>
      <c r="DO63" s="139">
        <f t="shared" si="153"/>
        <v>1891.7299999999996</v>
      </c>
      <c r="DP63" s="139">
        <f t="shared" si="153"/>
        <v>1412.1399999999994</v>
      </c>
      <c r="DQ63" s="139">
        <f t="shared" si="153"/>
        <v>477.94999999999982</v>
      </c>
      <c r="DR63" s="139">
        <f t="shared" si="153"/>
        <v>-1.0500000000001819</v>
      </c>
      <c r="DS63" s="139">
        <f t="shared" si="153"/>
        <v>1015.4099999999999</v>
      </c>
      <c r="DT63" s="139">
        <f t="shared" si="153"/>
        <v>1443.67</v>
      </c>
      <c r="DU63" s="139">
        <f t="shared" si="153"/>
        <v>1136.3499999999999</v>
      </c>
      <c r="DV63" s="139">
        <f t="shared" si="153"/>
        <v>2519.63</v>
      </c>
      <c r="DW63" s="139">
        <f t="shared" si="153"/>
        <v>4255.6400000000003</v>
      </c>
      <c r="DX63" s="139">
        <f t="shared" si="153"/>
        <v>4781.9000000000005</v>
      </c>
      <c r="DY63" s="139">
        <f t="shared" si="153"/>
        <v>3868.39</v>
      </c>
      <c r="DZ63" s="139">
        <f t="shared" si="153"/>
        <v>4666.3</v>
      </c>
      <c r="EA63" s="139">
        <f t="shared" si="153"/>
        <v>8119.87</v>
      </c>
      <c r="EB63" s="139">
        <f t="shared" si="153"/>
        <v>10183.450000000001</v>
      </c>
      <c r="EC63" s="139">
        <f t="shared" si="153"/>
        <v>11137.22</v>
      </c>
      <c r="ED63" s="139">
        <f t="shared" si="153"/>
        <v>12796.3</v>
      </c>
      <c r="EE63" s="139">
        <f t="shared" si="153"/>
        <v>12151.669999999998</v>
      </c>
      <c r="EF63" s="139">
        <f t="shared" si="153"/>
        <v>34533.54</v>
      </c>
      <c r="EG63" s="139">
        <f t="shared" si="153"/>
        <v>33718.5</v>
      </c>
      <c r="EH63" s="139">
        <f t="shared" si="153"/>
        <v>41155.070000000007</v>
      </c>
      <c r="EI63" s="139">
        <f t="shared" si="153"/>
        <v>12898.59</v>
      </c>
      <c r="EJ63" s="139">
        <f t="shared" si="153"/>
        <v>11205.630000000001</v>
      </c>
      <c r="EK63" s="139">
        <f t="shared" si="153"/>
        <v>12084.07</v>
      </c>
      <c r="EL63" s="139">
        <f t="shared" si="153"/>
        <v>-32003.62</v>
      </c>
      <c r="EM63" s="139">
        <f t="shared" si="153"/>
        <v>2164.8200000000002</v>
      </c>
      <c r="EN63" s="139">
        <f t="shared" si="153"/>
        <v>0</v>
      </c>
      <c r="EO63" s="139">
        <f t="shared" si="153"/>
        <v>2488.4300000000003</v>
      </c>
      <c r="EP63" s="139">
        <f t="shared" si="153"/>
        <v>1304.52</v>
      </c>
      <c r="EQ63" s="139">
        <f t="shared" si="153"/>
        <v>6701.59</v>
      </c>
      <c r="ER63" s="139">
        <f t="shared" si="153"/>
        <v>309.72000000000003</v>
      </c>
      <c r="ES63" s="139">
        <f t="shared" si="153"/>
        <v>-608.66</v>
      </c>
      <c r="ET63" s="139">
        <f t="shared" si="153"/>
        <v>9292.06</v>
      </c>
      <c r="EU63" s="139">
        <f t="shared" si="153"/>
        <v>11023.32</v>
      </c>
      <c r="EV63" s="139">
        <f t="shared" si="153"/>
        <v>-279.89000000000004</v>
      </c>
      <c r="EW63" s="139">
        <f t="shared" si="153"/>
        <v>0</v>
      </c>
      <c r="EX63" s="139">
        <f t="shared" si="153"/>
        <v>0</v>
      </c>
      <c r="EY63" s="139">
        <f t="shared" si="153"/>
        <v>463.37</v>
      </c>
      <c r="EZ63" s="139">
        <f t="shared" si="153"/>
        <v>514.77</v>
      </c>
      <c r="FA63" s="139">
        <f t="shared" si="153"/>
        <v>-955.13000000000011</v>
      </c>
      <c r="FB63" s="139">
        <f t="shared" si="153"/>
        <v>-166.51000000000002</v>
      </c>
      <c r="FC63" s="139">
        <f t="shared" ref="FC63:HN63" si="154">FC9+FC18+FC29+FC40</f>
        <v>0</v>
      </c>
      <c r="FD63" s="139">
        <f t="shared" si="154"/>
        <v>0</v>
      </c>
      <c r="FE63" s="139">
        <f t="shared" si="154"/>
        <v>0</v>
      </c>
      <c r="FF63" s="139">
        <f t="shared" si="154"/>
        <v>0</v>
      </c>
      <c r="FG63" s="139">
        <f t="shared" si="154"/>
        <v>0</v>
      </c>
      <c r="FH63" s="139">
        <f t="shared" si="154"/>
        <v>-3855.33</v>
      </c>
      <c r="FI63" s="139">
        <f t="shared" si="154"/>
        <v>0</v>
      </c>
      <c r="FJ63" s="139">
        <f t="shared" si="154"/>
        <v>0</v>
      </c>
      <c r="FK63" s="139">
        <f t="shared" si="154"/>
        <v>0</v>
      </c>
      <c r="FL63" s="139">
        <f t="shared" si="154"/>
        <v>-452.69</v>
      </c>
      <c r="FM63" s="139">
        <f t="shared" si="154"/>
        <v>24.26</v>
      </c>
      <c r="FN63" s="139">
        <f t="shared" si="154"/>
        <v>6180.43</v>
      </c>
      <c r="FO63" s="139">
        <f t="shared" si="154"/>
        <v>11805.18</v>
      </c>
      <c r="FP63" s="139">
        <f t="shared" si="154"/>
        <v>2233.27</v>
      </c>
      <c r="FQ63" s="139">
        <f t="shared" si="154"/>
        <v>0</v>
      </c>
      <c r="FR63" s="139">
        <f t="shared" si="154"/>
        <v>0</v>
      </c>
      <c r="FS63" s="139">
        <f t="shared" si="154"/>
        <v>0</v>
      </c>
      <c r="FT63" s="139">
        <f t="shared" si="154"/>
        <v>0</v>
      </c>
      <c r="FU63" s="139">
        <f t="shared" si="154"/>
        <v>0</v>
      </c>
      <c r="FV63" s="139">
        <f t="shared" si="154"/>
        <v>14023.8</v>
      </c>
      <c r="FW63" s="139">
        <f t="shared" si="154"/>
        <v>-1665.5199999999998</v>
      </c>
      <c r="FX63" s="139">
        <f t="shared" si="154"/>
        <v>0</v>
      </c>
      <c r="FY63" s="139">
        <f t="shared" si="154"/>
        <v>0</v>
      </c>
      <c r="FZ63" s="139">
        <f t="shared" si="154"/>
        <v>10466.890000000001</v>
      </c>
      <c r="GA63" s="139">
        <f t="shared" si="154"/>
        <v>2665.56</v>
      </c>
      <c r="GB63" s="139">
        <f t="shared" si="154"/>
        <v>12251.34</v>
      </c>
      <c r="GC63" s="139">
        <f t="shared" si="154"/>
        <v>0</v>
      </c>
      <c r="GD63" s="139">
        <f t="shared" si="154"/>
        <v>0</v>
      </c>
      <c r="GE63" s="139">
        <f t="shared" si="154"/>
        <v>0</v>
      </c>
      <c r="GF63" s="139">
        <f t="shared" si="154"/>
        <v>0</v>
      </c>
      <c r="GG63" s="139">
        <f t="shared" si="154"/>
        <v>0</v>
      </c>
      <c r="GH63" s="139">
        <f t="shared" si="154"/>
        <v>1296.29</v>
      </c>
      <c r="GI63" s="139">
        <f t="shared" si="154"/>
        <v>1656.75</v>
      </c>
      <c r="GJ63" s="139">
        <f t="shared" si="154"/>
        <v>0</v>
      </c>
      <c r="GK63" s="139">
        <f t="shared" si="154"/>
        <v>-91.97999999999999</v>
      </c>
      <c r="GL63" s="139">
        <f t="shared" si="154"/>
        <v>0</v>
      </c>
      <c r="GM63" s="139">
        <f t="shared" si="154"/>
        <v>0</v>
      </c>
      <c r="GN63" s="139">
        <f t="shared" si="154"/>
        <v>2580.58</v>
      </c>
      <c r="GO63" s="139">
        <f t="shared" si="154"/>
        <v>-2.76</v>
      </c>
      <c r="GP63" s="139">
        <f t="shared" si="154"/>
        <v>0</v>
      </c>
      <c r="GQ63" s="139">
        <f t="shared" si="154"/>
        <v>0</v>
      </c>
      <c r="GR63" s="139">
        <f t="shared" si="154"/>
        <v>1005.7</v>
      </c>
      <c r="GS63" s="139">
        <f t="shared" si="154"/>
        <v>-3277.37</v>
      </c>
      <c r="GT63" s="139">
        <f t="shared" si="154"/>
        <v>243.86</v>
      </c>
      <c r="GU63" s="139">
        <f t="shared" si="154"/>
        <v>382.70000000000005</v>
      </c>
      <c r="GV63" s="139">
        <f t="shared" si="154"/>
        <v>0</v>
      </c>
      <c r="GW63" s="139">
        <f t="shared" si="154"/>
        <v>0</v>
      </c>
      <c r="GX63" s="139">
        <f t="shared" si="154"/>
        <v>13597.99</v>
      </c>
      <c r="GY63" s="139">
        <f t="shared" si="154"/>
        <v>48651.9</v>
      </c>
      <c r="GZ63" s="139">
        <f t="shared" si="154"/>
        <v>0</v>
      </c>
      <c r="HA63" s="139">
        <f t="shared" si="154"/>
        <v>2660.5099999999998</v>
      </c>
      <c r="HB63" s="139">
        <f t="shared" si="154"/>
        <v>-102.6</v>
      </c>
      <c r="HC63" s="139">
        <f t="shared" si="154"/>
        <v>0</v>
      </c>
      <c r="HD63" s="139">
        <f t="shared" si="154"/>
        <v>-640.55999999999995</v>
      </c>
      <c r="HE63" s="139">
        <f t="shared" si="154"/>
        <v>-863.83999999999992</v>
      </c>
      <c r="HF63" s="139">
        <f t="shared" si="154"/>
        <v>-766.98</v>
      </c>
      <c r="HG63" s="139">
        <f t="shared" si="154"/>
        <v>-591.67999999999995</v>
      </c>
      <c r="HH63" s="139">
        <f t="shared" si="154"/>
        <v>-839.8900000000001</v>
      </c>
      <c r="HI63" s="139">
        <f t="shared" si="154"/>
        <v>1044.29</v>
      </c>
      <c r="HJ63" s="139">
        <f t="shared" si="154"/>
        <v>2657.3900000000003</v>
      </c>
      <c r="HK63" s="139">
        <f t="shared" si="154"/>
        <v>2915.4199999999996</v>
      </c>
      <c r="HL63" s="139">
        <f t="shared" si="154"/>
        <v>4060.7400000000002</v>
      </c>
      <c r="HM63" s="139">
        <f t="shared" si="154"/>
        <v>5612.73</v>
      </c>
      <c r="HN63" s="139">
        <f t="shared" si="154"/>
        <v>6260.22</v>
      </c>
      <c r="HO63" s="139">
        <f t="shared" ref="HO63:JJ63" si="155">HO9+HO18+HO29+HO40</f>
        <v>6856.14</v>
      </c>
      <c r="HP63" s="139">
        <f t="shared" si="155"/>
        <v>28111.9</v>
      </c>
      <c r="HQ63" s="139">
        <f t="shared" si="155"/>
        <v>28259.82</v>
      </c>
      <c r="HR63" s="139">
        <f t="shared" si="155"/>
        <v>28512.5</v>
      </c>
      <c r="HS63" s="139">
        <f t="shared" si="155"/>
        <v>30860.47</v>
      </c>
      <c r="HT63" s="139">
        <f t="shared" si="155"/>
        <v>29787.899999999998</v>
      </c>
      <c r="HU63" s="139">
        <f t="shared" si="155"/>
        <v>21722.54</v>
      </c>
      <c r="HV63" s="139">
        <f t="shared" si="155"/>
        <v>19505.27</v>
      </c>
      <c r="HW63" s="139">
        <f t="shared" si="155"/>
        <v>24855.52</v>
      </c>
      <c r="HX63" s="139">
        <f t="shared" si="155"/>
        <v>18372.759999999998</v>
      </c>
      <c r="HY63" s="139">
        <f t="shared" si="155"/>
        <v>12833.25</v>
      </c>
      <c r="HZ63" s="139">
        <f t="shared" si="155"/>
        <v>27199.61</v>
      </c>
      <c r="IA63" s="139">
        <f t="shared" si="155"/>
        <v>6315.52</v>
      </c>
      <c r="IB63" s="139">
        <f t="shared" si="155"/>
        <v>6315.52</v>
      </c>
      <c r="IC63" s="139">
        <f t="shared" si="155"/>
        <v>8105.35</v>
      </c>
      <c r="ID63" s="139">
        <f t="shared" si="155"/>
        <v>7911.99</v>
      </c>
      <c r="IE63" s="139">
        <f t="shared" si="155"/>
        <v>11485.82</v>
      </c>
      <c r="IF63" s="139">
        <f t="shared" si="155"/>
        <v>19021.420000000002</v>
      </c>
      <c r="IG63" s="139">
        <f t="shared" si="155"/>
        <v>4972.2199999999993</v>
      </c>
      <c r="IH63" s="139">
        <f t="shared" si="155"/>
        <v>-20139.37</v>
      </c>
      <c r="II63" s="139">
        <f t="shared" si="155"/>
        <v>7669.75</v>
      </c>
      <c r="IJ63" s="139">
        <f t="shared" si="155"/>
        <v>14500.57</v>
      </c>
      <c r="IK63" s="139">
        <f t="shared" si="155"/>
        <v>14280.28</v>
      </c>
      <c r="IL63" s="139">
        <f t="shared" si="155"/>
        <v>12384.28</v>
      </c>
      <c r="IM63" s="139">
        <f t="shared" si="155"/>
        <v>10201.700000000001</v>
      </c>
      <c r="IN63" s="139">
        <f t="shared" si="155"/>
        <v>3393.7599999999998</v>
      </c>
      <c r="IO63" s="139">
        <f t="shared" si="155"/>
        <v>4274.82</v>
      </c>
      <c r="IP63" s="139">
        <f t="shared" si="155"/>
        <v>3512.2</v>
      </c>
      <c r="IQ63" s="139">
        <f t="shared" si="155"/>
        <v>999.76</v>
      </c>
      <c r="IR63" s="139">
        <f t="shared" si="155"/>
        <v>940.05</v>
      </c>
      <c r="IS63" s="139">
        <f t="shared" si="155"/>
        <v>893.73</v>
      </c>
      <c r="IT63" s="139">
        <f t="shared" si="155"/>
        <v>1.03</v>
      </c>
      <c r="IU63" s="139">
        <f t="shared" si="155"/>
        <v>0.76</v>
      </c>
      <c r="IV63" s="139">
        <f t="shared" si="155"/>
        <v>6083.84</v>
      </c>
      <c r="IW63" s="139">
        <f t="shared" si="155"/>
        <v>5164.53</v>
      </c>
      <c r="IX63" s="139">
        <f t="shared" si="155"/>
        <v>6920.68</v>
      </c>
      <c r="IY63" s="139">
        <f t="shared" si="155"/>
        <v>16206.08</v>
      </c>
      <c r="IZ63" s="139">
        <f t="shared" si="155"/>
        <v>20538.5</v>
      </c>
      <c r="JA63" s="139">
        <f t="shared" si="155"/>
        <v>21620.82</v>
      </c>
      <c r="JB63" s="139">
        <f t="shared" si="155"/>
        <v>26437.65</v>
      </c>
      <c r="JC63" s="139">
        <f t="shared" si="155"/>
        <v>27808.45</v>
      </c>
      <c r="JD63" s="139">
        <f t="shared" si="155"/>
        <v>31187.79</v>
      </c>
      <c r="JE63" s="139">
        <f t="shared" si="155"/>
        <v>29603.96</v>
      </c>
      <c r="JF63" s="139">
        <f t="shared" si="155"/>
        <v>25528.34</v>
      </c>
      <c r="JG63" s="139">
        <f t="shared" si="155"/>
        <v>21908.19</v>
      </c>
      <c r="JH63" s="139">
        <f t="shared" si="155"/>
        <v>19770.25</v>
      </c>
      <c r="JI63" s="139">
        <f t="shared" si="155"/>
        <v>18801.77</v>
      </c>
      <c r="JJ63" s="139">
        <f t="shared" si="155"/>
        <v>7684.6</v>
      </c>
      <c r="JK63" s="139">
        <f t="shared" ref="JK63:JU63" si="156">JK9+JK18+JK29+JK40</f>
        <v>7671.46</v>
      </c>
      <c r="JL63" s="139">
        <f t="shared" si="156"/>
        <v>0</v>
      </c>
      <c r="JM63" s="139">
        <f t="shared" si="156"/>
        <v>0</v>
      </c>
      <c r="JN63" s="139">
        <f t="shared" si="156"/>
        <v>0</v>
      </c>
      <c r="JO63" s="139">
        <f t="shared" si="156"/>
        <v>0</v>
      </c>
      <c r="JP63" s="139">
        <f t="shared" si="156"/>
        <v>0</v>
      </c>
      <c r="JQ63" s="139">
        <f t="shared" si="156"/>
        <v>0</v>
      </c>
      <c r="JR63" s="139">
        <f t="shared" si="156"/>
        <v>0</v>
      </c>
      <c r="JS63" s="139">
        <f t="shared" si="156"/>
        <v>0</v>
      </c>
      <c r="JT63" s="139">
        <f t="shared" si="156"/>
        <v>16203.9</v>
      </c>
      <c r="JU63" s="139">
        <f t="shared" si="156"/>
        <v>0</v>
      </c>
      <c r="JV63" s="632"/>
      <c r="JW63" s="414"/>
      <c r="JX63" s="414"/>
      <c r="JY63" s="414"/>
      <c r="JZ63" s="414"/>
      <c r="KA63" s="414"/>
      <c r="KB63" s="414"/>
      <c r="KC63" s="414"/>
      <c r="KD63" s="414"/>
      <c r="KE63" s="414"/>
      <c r="KF63" s="414"/>
      <c r="KG63" s="414"/>
      <c r="KH63" s="414"/>
      <c r="KI63" s="633"/>
    </row>
    <row r="64" spans="1:295" hidden="1" x14ac:dyDescent="0.2">
      <c r="B64" s="24" t="s">
        <v>121</v>
      </c>
      <c r="D64" s="141"/>
      <c r="E64" s="141"/>
      <c r="F64" s="141"/>
      <c r="G64" s="141"/>
      <c r="H64" s="141"/>
      <c r="I64" s="141"/>
      <c r="J64" s="141"/>
      <c r="K64" s="141"/>
      <c r="L64" s="141"/>
      <c r="M64" s="141"/>
      <c r="N64" s="141"/>
      <c r="O64" s="141"/>
      <c r="P64" s="141"/>
      <c r="Q64" s="141"/>
      <c r="R64" s="141"/>
      <c r="S64" s="142">
        <v>267127.90999999997</v>
      </c>
      <c r="T64" s="141"/>
      <c r="U64" s="141"/>
      <c r="V64" s="141"/>
      <c r="W64" s="141"/>
      <c r="X64" s="141"/>
      <c r="Y64" s="141"/>
      <c r="Z64" s="141"/>
      <c r="AA64" s="141"/>
      <c r="AB64" s="141"/>
      <c r="AC64" s="141"/>
      <c r="AD64" s="141"/>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27"/>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27"/>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c r="IW64" s="139"/>
      <c r="IX64" s="139"/>
      <c r="IY64" s="139"/>
      <c r="IZ64" s="139"/>
      <c r="JA64" s="139"/>
      <c r="JB64" s="139"/>
      <c r="JC64" s="139"/>
      <c r="JD64" s="139"/>
      <c r="JE64" s="139"/>
      <c r="JF64" s="139"/>
      <c r="JG64" s="139"/>
      <c r="JH64" s="139"/>
      <c r="JI64" s="139"/>
      <c r="JJ64" s="139"/>
      <c r="JK64" s="139"/>
      <c r="JL64" s="139"/>
      <c r="JM64" s="139"/>
      <c r="JN64" s="139"/>
      <c r="JO64" s="139"/>
      <c r="JP64" s="139"/>
      <c r="JQ64" s="139"/>
      <c r="JR64" s="139"/>
      <c r="JS64" s="139"/>
      <c r="JT64" s="139"/>
      <c r="JU64" s="139"/>
      <c r="JV64" s="632"/>
      <c r="JW64" s="414"/>
      <c r="JX64" s="414"/>
      <c r="JY64" s="414"/>
      <c r="JZ64" s="414"/>
      <c r="KA64" s="414"/>
      <c r="KB64" s="414"/>
      <c r="KC64" s="414"/>
      <c r="KD64" s="414"/>
      <c r="KE64" s="414"/>
      <c r="KF64" s="414"/>
      <c r="KG64" s="414"/>
      <c r="KH64" s="414"/>
      <c r="KI64" s="633"/>
    </row>
    <row r="65" spans="1:295" x14ac:dyDescent="0.2">
      <c r="B65" s="24" t="s">
        <v>71</v>
      </c>
      <c r="D65" s="142">
        <v>370514.88</v>
      </c>
      <c r="E65" s="142">
        <v>349679.34</v>
      </c>
      <c r="F65" s="142">
        <v>530914.01</v>
      </c>
      <c r="G65" s="142">
        <v>605901.99</v>
      </c>
      <c r="H65" s="142">
        <v>516534.46</v>
      </c>
      <c r="I65" s="142">
        <v>434977.81</v>
      </c>
      <c r="J65" s="142">
        <v>267943.88</v>
      </c>
      <c r="K65" s="142">
        <v>167714.03</v>
      </c>
      <c r="L65" s="142">
        <v>97589.45</v>
      </c>
      <c r="M65" s="142">
        <v>22788.62</v>
      </c>
      <c r="N65" s="142">
        <v>-18515.009999999998</v>
      </c>
      <c r="O65" s="142">
        <v>-33225.15</v>
      </c>
      <c r="P65" s="142">
        <v>-33790.03</v>
      </c>
      <c r="Q65" s="142">
        <v>-33790.03</v>
      </c>
      <c r="R65" s="142">
        <v>-31524.400000000001</v>
      </c>
      <c r="S65" s="142">
        <v>-30921.279999999999</v>
      </c>
      <c r="T65" s="142">
        <v>-13907.7</v>
      </c>
      <c r="U65" s="142">
        <v>19933.22</v>
      </c>
      <c r="V65" s="142">
        <v>-1020607.02</v>
      </c>
      <c r="W65" s="142">
        <v>-301422.31</v>
      </c>
      <c r="X65" s="142">
        <v>-300392.63</v>
      </c>
      <c r="Y65" s="142">
        <v>-173475.34</v>
      </c>
      <c r="Z65" s="142">
        <v>-100679.67999999999</v>
      </c>
      <c r="AA65" s="142">
        <v>-91410.68</v>
      </c>
      <c r="AB65" s="142">
        <v>-90071.35</v>
      </c>
      <c r="AC65" s="142">
        <v>-85199.38</v>
      </c>
      <c r="AD65" s="142">
        <v>-77532.240000000005</v>
      </c>
      <c r="AE65" s="139">
        <f t="shared" ref="AE65:CP65" si="157">AE10+AE19+AE30+AE41</f>
        <v>-17912.59</v>
      </c>
      <c r="AF65" s="139">
        <f t="shared" si="157"/>
        <v>-29114.53</v>
      </c>
      <c r="AG65" s="139">
        <f t="shared" si="157"/>
        <v>-22252.489999999998</v>
      </c>
      <c r="AH65" s="139">
        <f t="shared" si="157"/>
        <v>-22346.350000000002</v>
      </c>
      <c r="AI65" s="139">
        <f t="shared" si="157"/>
        <v>-13031.71</v>
      </c>
      <c r="AJ65" s="139">
        <f t="shared" si="157"/>
        <v>-10295.07</v>
      </c>
      <c r="AK65" s="139">
        <f t="shared" si="157"/>
        <v>-7178.7100000000009</v>
      </c>
      <c r="AL65" s="139">
        <f t="shared" si="157"/>
        <v>-5396.1900000000005</v>
      </c>
      <c r="AM65" s="139">
        <f t="shared" si="157"/>
        <v>-3761.4799999999996</v>
      </c>
      <c r="AN65" s="139">
        <f t="shared" si="157"/>
        <v>-2669.2299999999996</v>
      </c>
      <c r="AO65" s="139">
        <f t="shared" si="157"/>
        <v>-1503.2199999999998</v>
      </c>
      <c r="AP65" s="139">
        <f t="shared" si="157"/>
        <v>-144.42999999999995</v>
      </c>
      <c r="AQ65" s="139">
        <f t="shared" si="157"/>
        <v>23.189999999999998</v>
      </c>
      <c r="AR65" s="139">
        <f t="shared" si="157"/>
        <v>46990.380000000005</v>
      </c>
      <c r="AS65" s="139">
        <f t="shared" si="157"/>
        <v>25671.129999999997</v>
      </c>
      <c r="AT65" s="139">
        <f t="shared" si="157"/>
        <v>23272.34</v>
      </c>
      <c r="AU65" s="139">
        <f t="shared" si="157"/>
        <v>16535.22</v>
      </c>
      <c r="AV65" s="139">
        <f t="shared" si="157"/>
        <v>14105.79</v>
      </c>
      <c r="AW65" s="139">
        <f t="shared" si="157"/>
        <v>-11830.55</v>
      </c>
      <c r="AX65" s="139">
        <f t="shared" si="157"/>
        <v>33217.57</v>
      </c>
      <c r="AY65" s="139">
        <f t="shared" si="157"/>
        <v>7510.71</v>
      </c>
      <c r="AZ65" s="139">
        <f t="shared" si="157"/>
        <v>6831.12</v>
      </c>
      <c r="BA65" s="139">
        <f t="shared" si="157"/>
        <v>5371.4400000000005</v>
      </c>
      <c r="BB65" s="139">
        <f t="shared" si="157"/>
        <v>3588.27</v>
      </c>
      <c r="BC65" s="139">
        <f t="shared" si="157"/>
        <v>89758.43</v>
      </c>
      <c r="BD65" s="139">
        <f t="shared" si="157"/>
        <v>144572.93</v>
      </c>
      <c r="BE65" s="139">
        <f t="shared" si="157"/>
        <v>124876.81</v>
      </c>
      <c r="BF65" s="139">
        <f t="shared" si="157"/>
        <v>109188.23</v>
      </c>
      <c r="BG65" s="139">
        <f t="shared" si="157"/>
        <v>76518.180000000008</v>
      </c>
      <c r="BH65" s="139">
        <f t="shared" si="157"/>
        <v>59507.64</v>
      </c>
      <c r="BI65" s="139">
        <f t="shared" si="157"/>
        <v>42911.96</v>
      </c>
      <c r="BJ65" s="139">
        <f t="shared" si="157"/>
        <v>30619.440000000002</v>
      </c>
      <c r="BK65" s="139">
        <f t="shared" si="157"/>
        <v>21179.829999999998</v>
      </c>
      <c r="BL65" s="139">
        <f t="shared" si="157"/>
        <v>16197.599999999999</v>
      </c>
      <c r="BM65" s="139">
        <f t="shared" si="157"/>
        <v>9760.2000000000007</v>
      </c>
      <c r="BN65" s="139">
        <f t="shared" si="157"/>
        <v>2442.3100000000004</v>
      </c>
      <c r="BO65" s="139">
        <f t="shared" si="157"/>
        <v>261301.31</v>
      </c>
      <c r="BP65" s="139">
        <f t="shared" si="157"/>
        <v>445850.73</v>
      </c>
      <c r="BQ65" s="139">
        <f t="shared" si="157"/>
        <v>424999.04000000004</v>
      </c>
      <c r="BR65" s="127">
        <f t="shared" si="157"/>
        <v>387661.36</v>
      </c>
      <c r="BS65" s="139">
        <f t="shared" si="157"/>
        <v>317773.59999999998</v>
      </c>
      <c r="BT65" s="139">
        <f t="shared" si="157"/>
        <v>320726.18</v>
      </c>
      <c r="BU65" s="139">
        <f t="shared" si="157"/>
        <v>287150.56</v>
      </c>
      <c r="BV65" s="139">
        <f t="shared" si="157"/>
        <v>278735.31</v>
      </c>
      <c r="BW65" s="139">
        <f t="shared" si="157"/>
        <v>257901.98</v>
      </c>
      <c r="BX65" s="139">
        <f t="shared" si="157"/>
        <v>257348.16999999579</v>
      </c>
      <c r="BY65" s="139">
        <f t="shared" si="157"/>
        <v>249300</v>
      </c>
      <c r="BZ65" s="139">
        <f t="shared" si="157"/>
        <v>231993.85</v>
      </c>
      <c r="CA65" s="139">
        <f t="shared" si="157"/>
        <v>-124954.70000000001</v>
      </c>
      <c r="CB65" s="139">
        <f t="shared" si="157"/>
        <v>-692682.96</v>
      </c>
      <c r="CC65" s="139">
        <f t="shared" si="157"/>
        <v>-336866.95999999996</v>
      </c>
      <c r="CD65" s="139">
        <f t="shared" si="157"/>
        <v>-253899.28999999998</v>
      </c>
      <c r="CE65" s="139">
        <f t="shared" si="157"/>
        <v>-185924.01</v>
      </c>
      <c r="CF65" s="139">
        <f t="shared" si="157"/>
        <v>-147047.29</v>
      </c>
      <c r="CG65" s="139">
        <f t="shared" si="157"/>
        <v>-86689.23000000001</v>
      </c>
      <c r="CH65" s="139">
        <f t="shared" si="157"/>
        <v>-61871.44</v>
      </c>
      <c r="CI65" s="139">
        <f t="shared" si="157"/>
        <v>-41809.919999999998</v>
      </c>
      <c r="CJ65" s="139">
        <f t="shared" si="157"/>
        <v>-22604.71</v>
      </c>
      <c r="CK65" s="139">
        <f t="shared" si="157"/>
        <v>-12795.9</v>
      </c>
      <c r="CL65" s="139">
        <f t="shared" si="157"/>
        <v>-2332.6200000000008</v>
      </c>
      <c r="CM65" s="139">
        <f t="shared" si="157"/>
        <v>-79303.56</v>
      </c>
      <c r="CN65" s="139">
        <f t="shared" si="157"/>
        <v>-70194.509999999995</v>
      </c>
      <c r="CO65" s="127">
        <f t="shared" si="157"/>
        <v>-62828.62</v>
      </c>
      <c r="CP65" s="139">
        <f t="shared" si="157"/>
        <v>-46179.94</v>
      </c>
      <c r="CQ65" s="139">
        <f t="shared" ref="CQ65:FB65" si="158">CQ10+CQ19+CQ30+CQ41</f>
        <v>-33585.130000000005</v>
      </c>
      <c r="CR65" s="139">
        <f t="shared" si="158"/>
        <v>-28076.11</v>
      </c>
      <c r="CS65" s="139">
        <f t="shared" si="158"/>
        <v>-15220.699999999999</v>
      </c>
      <c r="CT65" s="139">
        <f t="shared" si="158"/>
        <v>-12259.300000000001</v>
      </c>
      <c r="CU65" s="139">
        <f t="shared" si="158"/>
        <v>-67642.28</v>
      </c>
      <c r="CV65" s="139">
        <f t="shared" si="158"/>
        <v>-64388.57</v>
      </c>
      <c r="CW65" s="139">
        <f t="shared" si="158"/>
        <v>-61006.57</v>
      </c>
      <c r="CX65" s="139">
        <f t="shared" si="158"/>
        <v>-55560.25</v>
      </c>
      <c r="CY65" s="139">
        <f t="shared" si="158"/>
        <v>-222965.46000000002</v>
      </c>
      <c r="CZ65" s="139">
        <f t="shared" si="158"/>
        <v>-196041.88</v>
      </c>
      <c r="DA65" s="139">
        <f t="shared" si="158"/>
        <v>-169549.46</v>
      </c>
      <c r="DB65" s="139">
        <f t="shared" si="158"/>
        <v>-137056.88999999998</v>
      </c>
      <c r="DC65" s="139">
        <f t="shared" si="158"/>
        <v>-102163.65000000001</v>
      </c>
      <c r="DD65" s="139">
        <f t="shared" si="158"/>
        <v>-88165.19</v>
      </c>
      <c r="DE65" s="139">
        <f t="shared" si="158"/>
        <v>-64637.75</v>
      </c>
      <c r="DF65" s="139">
        <f t="shared" si="158"/>
        <v>-49291.990000000005</v>
      </c>
      <c r="DG65" s="139">
        <f t="shared" si="158"/>
        <v>-36841.32</v>
      </c>
      <c r="DH65" s="139">
        <f t="shared" si="158"/>
        <v>-25951.870000000003</v>
      </c>
      <c r="DI65" s="139">
        <f t="shared" si="158"/>
        <v>-19501.939999999999</v>
      </c>
      <c r="DJ65" s="139">
        <f t="shared" si="158"/>
        <v>-12732.810000000001</v>
      </c>
      <c r="DK65" s="139">
        <f t="shared" si="158"/>
        <v>-3601.9800000000005</v>
      </c>
      <c r="DL65" s="139">
        <f t="shared" si="158"/>
        <v>-39985.050000000003</v>
      </c>
      <c r="DM65" s="139">
        <f t="shared" si="158"/>
        <v>-34489.810000000005</v>
      </c>
      <c r="DN65" s="139">
        <f t="shared" si="158"/>
        <v>-28050.000000000004</v>
      </c>
      <c r="DO65" s="139">
        <f t="shared" si="158"/>
        <v>-19782.679999999997</v>
      </c>
      <c r="DP65" s="139">
        <f t="shared" si="158"/>
        <v>-15686.13</v>
      </c>
      <c r="DQ65" s="139">
        <f t="shared" si="158"/>
        <v>-10162.219999999998</v>
      </c>
      <c r="DR65" s="139">
        <f t="shared" si="158"/>
        <v>-6444.89</v>
      </c>
      <c r="DS65" s="139">
        <f t="shared" si="158"/>
        <v>-3845.87</v>
      </c>
      <c r="DT65" s="139">
        <f t="shared" si="158"/>
        <v>-2153.6799999999998</v>
      </c>
      <c r="DU65" s="139">
        <f t="shared" si="158"/>
        <v>-295.91999999999996</v>
      </c>
      <c r="DV65" s="139">
        <f t="shared" si="158"/>
        <v>1448.3600000000001</v>
      </c>
      <c r="DW65" s="139">
        <f t="shared" si="158"/>
        <v>4100.7000000000007</v>
      </c>
      <c r="DX65" s="139">
        <f t="shared" si="158"/>
        <v>-52298.34</v>
      </c>
      <c r="DY65" s="139">
        <f t="shared" si="158"/>
        <v>-45336.81</v>
      </c>
      <c r="DZ65" s="139">
        <f t="shared" si="158"/>
        <v>-35728.71</v>
      </c>
      <c r="EA65" s="139">
        <f t="shared" si="158"/>
        <v>-25512.639999999999</v>
      </c>
      <c r="EB65" s="139">
        <f t="shared" si="158"/>
        <v>-18626.72</v>
      </c>
      <c r="EC65" s="139">
        <f t="shared" si="158"/>
        <v>-11665.83</v>
      </c>
      <c r="ED65" s="139">
        <f t="shared" si="158"/>
        <v>-7891.06</v>
      </c>
      <c r="EE65" s="139">
        <f t="shared" si="158"/>
        <v>-4681.5099999999993</v>
      </c>
      <c r="EF65" s="139">
        <f t="shared" si="158"/>
        <v>-2417.6799999999998</v>
      </c>
      <c r="EG65" s="139">
        <f t="shared" si="158"/>
        <v>-448.81999999999971</v>
      </c>
      <c r="EH65" s="139">
        <f t="shared" si="158"/>
        <v>1487.9800000000005</v>
      </c>
      <c r="EI65" s="139">
        <f t="shared" si="158"/>
        <v>4914.9400000000005</v>
      </c>
      <c r="EJ65" s="139">
        <f t="shared" si="158"/>
        <v>-83380.78</v>
      </c>
      <c r="EK65" s="139">
        <f t="shared" si="158"/>
        <v>-74073.51999999999</v>
      </c>
      <c r="EL65" s="139">
        <f t="shared" si="158"/>
        <v>-59103.270000000004</v>
      </c>
      <c r="EM65" s="139">
        <f t="shared" si="158"/>
        <v>-41714.520000000004</v>
      </c>
      <c r="EN65" s="139">
        <f t="shared" si="158"/>
        <v>-34801.120000000003</v>
      </c>
      <c r="EO65" s="139">
        <f t="shared" si="158"/>
        <v>-25246.86</v>
      </c>
      <c r="EP65" s="139">
        <f t="shared" si="158"/>
        <v>-19783.89</v>
      </c>
      <c r="EQ65" s="139">
        <f t="shared" si="158"/>
        <v>-15283.91</v>
      </c>
      <c r="ER65" s="139">
        <f t="shared" si="158"/>
        <v>-12709.82</v>
      </c>
      <c r="ES65" s="139">
        <f t="shared" si="158"/>
        <v>-10053.880000000001</v>
      </c>
      <c r="ET65" s="139">
        <f t="shared" si="158"/>
        <v>-6753.51</v>
      </c>
      <c r="EU65" s="139">
        <f t="shared" si="158"/>
        <v>-998.11999999999989</v>
      </c>
      <c r="EV65" s="139">
        <f t="shared" si="158"/>
        <v>-22615.14</v>
      </c>
      <c r="EW65" s="139">
        <f t="shared" si="158"/>
        <v>-18749.16</v>
      </c>
      <c r="EX65" s="139">
        <f t="shared" si="158"/>
        <v>-14054.27</v>
      </c>
      <c r="EY65" s="139">
        <f t="shared" si="158"/>
        <v>-8910.6299999999992</v>
      </c>
      <c r="EZ65" s="139">
        <f t="shared" si="158"/>
        <v>-5831.63</v>
      </c>
      <c r="FA65" s="139">
        <f t="shared" si="158"/>
        <v>-3004.7</v>
      </c>
      <c r="FB65" s="139">
        <f t="shared" si="158"/>
        <v>-1231.17</v>
      </c>
      <c r="FC65" s="139">
        <f t="shared" ref="FC65:HN65" si="159">FC10+FC19+FC30+FC41</f>
        <v>4.1599999999998545</v>
      </c>
      <c r="FD65" s="139">
        <f t="shared" si="159"/>
        <v>982.27000000000044</v>
      </c>
      <c r="FE65" s="139">
        <f t="shared" si="159"/>
        <v>1846.62</v>
      </c>
      <c r="FF65" s="139">
        <f t="shared" si="159"/>
        <v>2655.71</v>
      </c>
      <c r="FG65" s="139">
        <f t="shared" si="159"/>
        <v>4039.5800000000004</v>
      </c>
      <c r="FH65" s="139">
        <f t="shared" si="159"/>
        <v>80949.61</v>
      </c>
      <c r="FI65" s="139">
        <f t="shared" si="159"/>
        <v>74187.790000000008</v>
      </c>
      <c r="FJ65" s="139">
        <f t="shared" si="159"/>
        <v>64187.32</v>
      </c>
      <c r="FK65" s="139">
        <f t="shared" si="159"/>
        <v>50601.27</v>
      </c>
      <c r="FL65" s="139">
        <f t="shared" si="159"/>
        <v>48280.2</v>
      </c>
      <c r="FM65" s="139">
        <f t="shared" si="159"/>
        <v>40340.11</v>
      </c>
      <c r="FN65" s="139">
        <f t="shared" si="159"/>
        <v>36745.24</v>
      </c>
      <c r="FO65" s="139">
        <f t="shared" si="159"/>
        <v>32633.620000000003</v>
      </c>
      <c r="FP65" s="139">
        <f t="shared" si="159"/>
        <v>31402.230000000003</v>
      </c>
      <c r="FQ65" s="139">
        <f t="shared" si="159"/>
        <v>29251.160000000003</v>
      </c>
      <c r="FR65" s="139">
        <f t="shared" si="159"/>
        <v>25815.82</v>
      </c>
      <c r="FS65" s="139">
        <f t="shared" si="159"/>
        <v>22959.919999999998</v>
      </c>
      <c r="FT65" s="139">
        <f t="shared" si="159"/>
        <v>-82033.539999999994</v>
      </c>
      <c r="FU65" s="139">
        <f t="shared" si="159"/>
        <v>-73714.990000000005</v>
      </c>
      <c r="FV65" s="139">
        <f t="shared" si="159"/>
        <v>-60952.61</v>
      </c>
      <c r="FW65" s="139">
        <f t="shared" si="159"/>
        <v>-47094.45</v>
      </c>
      <c r="FX65" s="139">
        <f t="shared" si="159"/>
        <v>-40547.410000000003</v>
      </c>
      <c r="FY65" s="139">
        <f t="shared" si="159"/>
        <v>-34562.57</v>
      </c>
      <c r="FZ65" s="139">
        <f t="shared" si="159"/>
        <v>-30754.109999999997</v>
      </c>
      <c r="GA65" s="139">
        <f t="shared" si="159"/>
        <v>-26114.16</v>
      </c>
      <c r="GB65" s="139">
        <f t="shared" si="159"/>
        <v>-23897.81</v>
      </c>
      <c r="GC65" s="139">
        <f t="shared" si="159"/>
        <v>-20927.900000000001</v>
      </c>
      <c r="GD65" s="139">
        <f t="shared" si="159"/>
        <v>-17242.780000000002</v>
      </c>
      <c r="GE65" s="139">
        <f t="shared" si="159"/>
        <v>-12803.02</v>
      </c>
      <c r="GF65" s="139">
        <f t="shared" si="159"/>
        <v>-38766.810000000005</v>
      </c>
      <c r="GG65" s="139">
        <f t="shared" si="159"/>
        <v>-34081.850000000006</v>
      </c>
      <c r="GH65" s="139">
        <f t="shared" si="159"/>
        <v>-26441.060000000005</v>
      </c>
      <c r="GI65" s="139">
        <f t="shared" si="159"/>
        <v>-17812.969999999998</v>
      </c>
      <c r="GJ65" s="139">
        <f t="shared" si="159"/>
        <v>-13511.41</v>
      </c>
      <c r="GK65" s="139">
        <f t="shared" si="159"/>
        <v>-9065.91</v>
      </c>
      <c r="GL65" s="139">
        <f t="shared" si="159"/>
        <v>-5802.48</v>
      </c>
      <c r="GM65" s="139">
        <f t="shared" si="159"/>
        <v>-3406.3499999999995</v>
      </c>
      <c r="GN65" s="139">
        <f t="shared" si="159"/>
        <v>-1933.7199999999998</v>
      </c>
      <c r="GO65" s="139">
        <f t="shared" si="159"/>
        <v>-390.75</v>
      </c>
      <c r="GP65" s="139">
        <f t="shared" si="159"/>
        <v>1200.46</v>
      </c>
      <c r="GQ65" s="139">
        <f t="shared" si="159"/>
        <v>4488.95</v>
      </c>
      <c r="GR65" s="139">
        <f t="shared" si="159"/>
        <v>-43437.82</v>
      </c>
      <c r="GS65" s="139">
        <f t="shared" si="159"/>
        <v>-37503.050000000003</v>
      </c>
      <c r="GT65" s="139">
        <f t="shared" si="159"/>
        <v>-30022.93</v>
      </c>
      <c r="GU65" s="139">
        <f t="shared" si="159"/>
        <v>-20725.579999999998</v>
      </c>
      <c r="GV65" s="139">
        <f t="shared" si="159"/>
        <v>-15534.439999999999</v>
      </c>
      <c r="GW65" s="139">
        <f t="shared" si="159"/>
        <v>-10244.01</v>
      </c>
      <c r="GX65" s="139">
        <f t="shared" si="159"/>
        <v>-6950.54</v>
      </c>
      <c r="GY65" s="139">
        <f t="shared" si="159"/>
        <v>-4336.42</v>
      </c>
      <c r="GZ65" s="139">
        <f t="shared" si="159"/>
        <v>-2644.4700000000003</v>
      </c>
      <c r="HA65" s="139">
        <f t="shared" si="159"/>
        <v>-909.44999999999982</v>
      </c>
      <c r="HB65" s="139">
        <f t="shared" si="159"/>
        <v>1039.5</v>
      </c>
      <c r="HC65" s="139">
        <f t="shared" si="159"/>
        <v>4722.5400000000009</v>
      </c>
      <c r="HD65" s="139">
        <f t="shared" si="159"/>
        <v>-203318.58</v>
      </c>
      <c r="HE65" s="139">
        <f t="shared" si="159"/>
        <v>-183086.5</v>
      </c>
      <c r="HF65" s="139">
        <f t="shared" si="159"/>
        <v>-159251.03</v>
      </c>
      <c r="HG65" s="139">
        <f t="shared" si="159"/>
        <v>-114337.11</v>
      </c>
      <c r="HH65" s="139">
        <f t="shared" si="159"/>
        <v>-92852.74</v>
      </c>
      <c r="HI65" s="139">
        <f t="shared" si="159"/>
        <v>-72108.63</v>
      </c>
      <c r="HJ65" s="139">
        <f t="shared" si="159"/>
        <v>173294.04</v>
      </c>
      <c r="HK65" s="139">
        <f t="shared" si="159"/>
        <v>168352.71</v>
      </c>
      <c r="HL65" s="139">
        <f t="shared" si="159"/>
        <v>176105.23</v>
      </c>
      <c r="HM65" s="139">
        <f t="shared" si="159"/>
        <v>176596.46</v>
      </c>
      <c r="HN65" s="139">
        <f t="shared" si="159"/>
        <v>171436.95</v>
      </c>
      <c r="HO65" s="139">
        <f t="shared" ref="HO65:JJ65" si="160">HO10+HO19+HO30+HO41</f>
        <v>175642.25</v>
      </c>
      <c r="HP65" s="139">
        <f t="shared" si="160"/>
        <v>609306.75</v>
      </c>
      <c r="HQ65" s="139">
        <f t="shared" si="160"/>
        <v>577144.05000000005</v>
      </c>
      <c r="HR65" s="139">
        <f t="shared" si="160"/>
        <v>474469.41</v>
      </c>
      <c r="HS65" s="139">
        <f t="shared" si="160"/>
        <v>396984.31</v>
      </c>
      <c r="HT65" s="139">
        <f t="shared" si="160"/>
        <v>374482.37999999995</v>
      </c>
      <c r="HU65" s="139">
        <f t="shared" si="160"/>
        <v>313314.10000000003</v>
      </c>
      <c r="HV65" s="139">
        <f t="shared" si="160"/>
        <v>130879.47999999998</v>
      </c>
      <c r="HW65" s="139">
        <f t="shared" si="160"/>
        <v>296194.5</v>
      </c>
      <c r="HX65" s="139">
        <f t="shared" si="160"/>
        <v>216819.85</v>
      </c>
      <c r="HY65" s="139">
        <f t="shared" si="160"/>
        <v>213484.18000000002</v>
      </c>
      <c r="HZ65" s="139">
        <f t="shared" si="160"/>
        <v>203227</v>
      </c>
      <c r="IA65" s="139">
        <f t="shared" si="160"/>
        <v>196460.26</v>
      </c>
      <c r="IB65" s="139">
        <f t="shared" si="160"/>
        <v>225972.6</v>
      </c>
      <c r="IC65" s="139">
        <f t="shared" si="160"/>
        <v>218534.09999999998</v>
      </c>
      <c r="ID65" s="139">
        <f t="shared" si="160"/>
        <v>202292.37</v>
      </c>
      <c r="IE65" s="139">
        <f t="shared" si="160"/>
        <v>168225.88</v>
      </c>
      <c r="IF65" s="139">
        <f t="shared" si="160"/>
        <v>166293.38</v>
      </c>
      <c r="IG65" s="139">
        <f t="shared" si="160"/>
        <v>155732.54</v>
      </c>
      <c r="IH65" s="139">
        <f t="shared" si="160"/>
        <v>150035.28</v>
      </c>
      <c r="II65" s="139">
        <f t="shared" si="160"/>
        <v>140219.63</v>
      </c>
      <c r="IJ65" s="139">
        <f t="shared" si="160"/>
        <v>141246.11000000002</v>
      </c>
      <c r="IK65" s="139">
        <f t="shared" si="160"/>
        <v>138042.63</v>
      </c>
      <c r="IL65" s="139">
        <f t="shared" si="160"/>
        <v>129836.01000000001</v>
      </c>
      <c r="IM65" s="139">
        <f t="shared" si="160"/>
        <v>127122.37</v>
      </c>
      <c r="IN65" s="139">
        <f t="shared" si="160"/>
        <v>115353.27</v>
      </c>
      <c r="IO65" s="139">
        <f t="shared" si="160"/>
        <v>110087.41</v>
      </c>
      <c r="IP65" s="139">
        <f t="shared" si="160"/>
        <v>99708.66</v>
      </c>
      <c r="IQ65" s="139">
        <f t="shared" si="160"/>
        <v>81961.78</v>
      </c>
      <c r="IR65" s="139">
        <f t="shared" si="160"/>
        <v>82383.56</v>
      </c>
      <c r="IS65" s="139">
        <f t="shared" si="160"/>
        <v>73135.570000000007</v>
      </c>
      <c r="IT65" s="139">
        <f t="shared" si="160"/>
        <v>70097.87</v>
      </c>
      <c r="IU65" s="139">
        <f t="shared" si="160"/>
        <v>64410.289999999994</v>
      </c>
      <c r="IV65" s="139">
        <f t="shared" si="160"/>
        <v>71023.56</v>
      </c>
      <c r="IW65" s="139">
        <f t="shared" si="160"/>
        <v>69020.639999999999</v>
      </c>
      <c r="IX65" s="139">
        <f t="shared" si="160"/>
        <v>64920.97</v>
      </c>
      <c r="IY65" s="139">
        <f t="shared" si="160"/>
        <v>87239.98000000001</v>
      </c>
      <c r="IZ65" s="139">
        <f t="shared" si="160"/>
        <v>126676.69</v>
      </c>
      <c r="JA65" s="139">
        <f t="shared" si="160"/>
        <v>108001.13</v>
      </c>
      <c r="JB65" s="139">
        <f t="shared" si="160"/>
        <v>109097.64</v>
      </c>
      <c r="JC65" s="139">
        <f t="shared" si="160"/>
        <v>74724.25</v>
      </c>
      <c r="JD65" s="139">
        <f t="shared" si="160"/>
        <v>55209.58</v>
      </c>
      <c r="JE65" s="139">
        <f t="shared" si="160"/>
        <v>38259.409999999996</v>
      </c>
      <c r="JF65" s="139">
        <f t="shared" si="160"/>
        <v>23094.28</v>
      </c>
      <c r="JG65" s="139">
        <f t="shared" si="160"/>
        <v>13683.340000000004</v>
      </c>
      <c r="JH65" s="139">
        <f t="shared" si="160"/>
        <v>7374.3299999999945</v>
      </c>
      <c r="JI65" s="139">
        <f t="shared" si="160"/>
        <v>791.56999999999971</v>
      </c>
      <c r="JJ65" s="139">
        <f t="shared" si="160"/>
        <v>-6697.7000000000007</v>
      </c>
      <c r="JK65" s="139">
        <f t="shared" ref="JK65:JU65" si="161">JK10+JK19+JK30+JK41</f>
        <v>-15263.769999999997</v>
      </c>
      <c r="JL65" s="139">
        <f t="shared" si="161"/>
        <v>-1124780.29</v>
      </c>
      <c r="JM65" s="139">
        <f t="shared" si="161"/>
        <v>-1006679.62</v>
      </c>
      <c r="JN65" s="139">
        <f t="shared" si="161"/>
        <v>-839931.71000000008</v>
      </c>
      <c r="JO65" s="139">
        <f t="shared" si="161"/>
        <v>-624101.48</v>
      </c>
      <c r="JP65" s="139">
        <f t="shared" si="161"/>
        <v>-509878.02</v>
      </c>
      <c r="JQ65" s="139">
        <f t="shared" si="161"/>
        <v>-370127.61</v>
      </c>
      <c r="JR65" s="139">
        <f t="shared" si="161"/>
        <v>-287413.7</v>
      </c>
      <c r="JS65" s="139">
        <f t="shared" si="161"/>
        <v>-216587.78</v>
      </c>
      <c r="JT65" s="139">
        <f t="shared" si="161"/>
        <v>-177388.43</v>
      </c>
      <c r="JU65" s="139">
        <f t="shared" si="161"/>
        <v>-141336.06</v>
      </c>
      <c r="JV65" s="632"/>
      <c r="JW65" s="414"/>
      <c r="JX65" s="414"/>
      <c r="JY65" s="414"/>
      <c r="JZ65" s="414"/>
      <c r="KA65" s="414"/>
      <c r="KB65" s="414"/>
      <c r="KC65" s="414"/>
      <c r="KD65" s="414"/>
      <c r="KE65" s="414"/>
      <c r="KF65" s="414"/>
      <c r="KG65" s="414"/>
      <c r="KH65" s="414"/>
      <c r="KI65" s="633"/>
    </row>
    <row r="66" spans="1:295" x14ac:dyDescent="0.2">
      <c r="B66" s="24" t="s">
        <v>108</v>
      </c>
      <c r="D66" s="154">
        <f t="shared" ref="D66:AB66" si="162">SUM(D57:D65)</f>
        <v>-1296744.77</v>
      </c>
      <c r="E66" s="154">
        <f t="shared" si="162"/>
        <v>60933186.93</v>
      </c>
      <c r="F66" s="154">
        <f t="shared" si="162"/>
        <v>-4345484.9399999995</v>
      </c>
      <c r="G66" s="154">
        <f t="shared" si="162"/>
        <v>-10415037.259936625</v>
      </c>
      <c r="H66" s="154">
        <f t="shared" si="162"/>
        <v>-13575060.197434431</v>
      </c>
      <c r="I66" s="154">
        <f t="shared" si="162"/>
        <v>-18760793.746504363</v>
      </c>
      <c r="J66" s="154">
        <f t="shared" si="162"/>
        <v>-19263382.55894516</v>
      </c>
      <c r="K66" s="154">
        <f t="shared" si="162"/>
        <v>-16536867.341991866</v>
      </c>
      <c r="L66" s="154">
        <f t="shared" si="162"/>
        <v>-18207734.331115156</v>
      </c>
      <c r="M66" s="154">
        <f t="shared" si="162"/>
        <v>-11800260.422422776</v>
      </c>
      <c r="N66" s="154">
        <f t="shared" si="162"/>
        <v>-8851111.0828453321</v>
      </c>
      <c r="O66" s="154">
        <f t="shared" si="162"/>
        <v>140546.64000000001</v>
      </c>
      <c r="P66" s="154">
        <f t="shared" si="162"/>
        <v>-33790.03</v>
      </c>
      <c r="Q66" s="154">
        <f t="shared" si="162"/>
        <v>-33790.03</v>
      </c>
      <c r="R66" s="154">
        <f t="shared" si="162"/>
        <v>533087</v>
      </c>
      <c r="S66" s="154">
        <f t="shared" si="162"/>
        <v>236206.62999999998</v>
      </c>
      <c r="T66" s="154">
        <f t="shared" si="162"/>
        <v>7451842.7226132955</v>
      </c>
      <c r="U66" s="154">
        <f t="shared" si="162"/>
        <v>9172789.787644336</v>
      </c>
      <c r="V66" s="154">
        <f t="shared" si="162"/>
        <v>-99476890.203796163</v>
      </c>
      <c r="W66" s="154">
        <f t="shared" si="162"/>
        <v>8364419.5705117183</v>
      </c>
      <c r="X66" s="154">
        <f t="shared" si="162"/>
        <v>7285536.4114677524</v>
      </c>
      <c r="Y66" s="154">
        <f t="shared" si="162"/>
        <v>43829766.439690538</v>
      </c>
      <c r="Z66" s="154">
        <f t="shared" si="162"/>
        <v>2150355.9200901622</v>
      </c>
      <c r="AA66" s="154">
        <f t="shared" si="162"/>
        <v>1234464.3538693828</v>
      </c>
      <c r="AB66" s="154">
        <f t="shared" si="162"/>
        <v>997631.43999999983</v>
      </c>
      <c r="AC66" s="154">
        <f>SUM(AC57:AC65)</f>
        <v>1480356.12</v>
      </c>
      <c r="AD66" s="154">
        <f>SUM(AD57:AD65)</f>
        <v>1237018.23</v>
      </c>
      <c r="AE66" s="156">
        <f>SUM(AE57:AE65)</f>
        <v>6973132.5918453792</v>
      </c>
      <c r="AF66" s="156">
        <f t="shared" ref="AF66:BQ66" si="163">SUM(AF57:AF65)</f>
        <v>1369856.9100000001</v>
      </c>
      <c r="AG66" s="156">
        <f t="shared" si="163"/>
        <v>1507853.1899999997</v>
      </c>
      <c r="AH66" s="156">
        <f t="shared" si="163"/>
        <v>1574150.3000000003</v>
      </c>
      <c r="AI66" s="156">
        <f t="shared" si="163"/>
        <v>1278463.08</v>
      </c>
      <c r="AJ66" s="156">
        <f t="shared" si="163"/>
        <v>1087485.17</v>
      </c>
      <c r="AK66" s="156">
        <f t="shared" si="163"/>
        <v>651143.53999999992</v>
      </c>
      <c r="AL66" s="156">
        <f t="shared" si="163"/>
        <v>519618.13000000006</v>
      </c>
      <c r="AM66" s="156">
        <f t="shared" si="163"/>
        <v>384694.36000000004</v>
      </c>
      <c r="AN66" s="156">
        <f t="shared" si="163"/>
        <v>318182.44999999995</v>
      </c>
      <c r="AO66" s="156">
        <f t="shared" si="163"/>
        <v>358360.08</v>
      </c>
      <c r="AP66" s="156">
        <f t="shared" si="163"/>
        <v>442415.14</v>
      </c>
      <c r="AQ66" s="156">
        <f t="shared" si="163"/>
        <v>8818690.6929453164</v>
      </c>
      <c r="AR66" s="156">
        <f t="shared" si="163"/>
        <v>-1044911.17</v>
      </c>
      <c r="AS66" s="156">
        <f t="shared" si="163"/>
        <v>-1295874.3500000001</v>
      </c>
      <c r="AT66" s="156">
        <f t="shared" si="163"/>
        <v>-1430011.92</v>
      </c>
      <c r="AU66" s="156">
        <f t="shared" si="163"/>
        <v>-1132496.5799999998</v>
      </c>
      <c r="AV66" s="156">
        <f t="shared" si="163"/>
        <v>-837172.59</v>
      </c>
      <c r="AW66" s="156">
        <f t="shared" si="163"/>
        <v>-754797.01</v>
      </c>
      <c r="AX66" s="156">
        <f t="shared" si="163"/>
        <v>-415525.61999999994</v>
      </c>
      <c r="AY66" s="156">
        <f t="shared" si="163"/>
        <v>-360359.01</v>
      </c>
      <c r="AZ66" s="156">
        <f t="shared" si="163"/>
        <v>-282259.40999999997</v>
      </c>
      <c r="BA66" s="156">
        <f t="shared" si="163"/>
        <v>-299713.25</v>
      </c>
      <c r="BB66" s="156">
        <f t="shared" si="163"/>
        <v>-374566.81</v>
      </c>
      <c r="BC66" s="156">
        <f t="shared" si="163"/>
        <v>29965476.48</v>
      </c>
      <c r="BD66" s="156">
        <f t="shared" si="163"/>
        <v>-4021665.49</v>
      </c>
      <c r="BE66" s="156">
        <f t="shared" si="163"/>
        <v>-4778466.41</v>
      </c>
      <c r="BF66" s="156">
        <f t="shared" si="163"/>
        <v>-4312122.8899999997</v>
      </c>
      <c r="BG66" s="156">
        <f t="shared" si="163"/>
        <v>-4429572.7</v>
      </c>
      <c r="BH66" s="156">
        <f t="shared" si="163"/>
        <v>-3815046.79</v>
      </c>
      <c r="BI66" s="156">
        <f t="shared" si="163"/>
        <v>-2642724.61</v>
      </c>
      <c r="BJ66" s="156">
        <f t="shared" si="163"/>
        <v>-1720112.8900000001</v>
      </c>
      <c r="BK66" s="156">
        <f t="shared" si="163"/>
        <v>-1137561.17</v>
      </c>
      <c r="BL66" s="156">
        <f t="shared" si="163"/>
        <v>-941562.62</v>
      </c>
      <c r="BM66" s="156">
        <f t="shared" si="163"/>
        <v>-987215.3600000001</v>
      </c>
      <c r="BN66" s="156">
        <f t="shared" si="163"/>
        <v>-1217389.24</v>
      </c>
      <c r="BO66" s="156">
        <f t="shared" si="163"/>
        <v>69268714.75</v>
      </c>
      <c r="BP66" s="156">
        <f t="shared" si="163"/>
        <v>-4103858.9</v>
      </c>
      <c r="BQ66" s="156">
        <f t="shared" si="163"/>
        <v>-5088687.6499999994</v>
      </c>
      <c r="BR66" s="154">
        <f>ROUND(SUM(BR57:BR65),2)</f>
        <v>-5892441.2000000002</v>
      </c>
      <c r="BS66" s="156">
        <f t="shared" ref="BS66:ED66" si="164">ROUND(SUM(BS57:BS65),2)</f>
        <v>-4192357.15</v>
      </c>
      <c r="BT66" s="156">
        <f t="shared" si="164"/>
        <v>-3682292.2</v>
      </c>
      <c r="BU66" s="156">
        <f t="shared" si="164"/>
        <v>-2746535.14</v>
      </c>
      <c r="BV66" s="156">
        <f t="shared" si="164"/>
        <v>-1820747.98</v>
      </c>
      <c r="BW66" s="156">
        <f t="shared" si="164"/>
        <v>-1238768.58</v>
      </c>
      <c r="BX66" s="156">
        <f t="shared" si="164"/>
        <v>-850437.27</v>
      </c>
      <c r="BY66" s="156">
        <f t="shared" si="164"/>
        <v>-932940.29</v>
      </c>
      <c r="BZ66" s="156">
        <f t="shared" si="164"/>
        <v>-1328609.56</v>
      </c>
      <c r="CA66" s="156">
        <f t="shared" si="164"/>
        <v>-93705158.730000004</v>
      </c>
      <c r="CB66" s="156">
        <f t="shared" si="164"/>
        <v>6342058.0099999998</v>
      </c>
      <c r="CC66" s="156">
        <f t="shared" si="164"/>
        <v>8751058.4199999999</v>
      </c>
      <c r="CD66" s="156">
        <f t="shared" si="164"/>
        <v>9681823.5</v>
      </c>
      <c r="CE66" s="156">
        <f t="shared" si="164"/>
        <v>7317763.0300000003</v>
      </c>
      <c r="CF66" s="156">
        <f t="shared" si="164"/>
        <v>7551513.3099999996</v>
      </c>
      <c r="CG66" s="156">
        <f t="shared" si="164"/>
        <v>6017014.2999999998</v>
      </c>
      <c r="CH66" s="156">
        <f t="shared" si="164"/>
        <v>3531217.65</v>
      </c>
      <c r="CI66" s="156">
        <f t="shared" si="164"/>
        <v>3003144.19</v>
      </c>
      <c r="CJ66" s="156">
        <f t="shared" si="164"/>
        <v>1930626.92</v>
      </c>
      <c r="CK66" s="156">
        <f t="shared" si="164"/>
        <v>2352259.92</v>
      </c>
      <c r="CL66" s="156">
        <f t="shared" si="164"/>
        <v>2321417.2000000002</v>
      </c>
      <c r="CM66" s="156">
        <f t="shared" si="164"/>
        <v>-18566443.260000002</v>
      </c>
      <c r="CN66" s="156">
        <f t="shared" si="164"/>
        <v>1537255.09</v>
      </c>
      <c r="CO66" s="154">
        <f t="shared" si="164"/>
        <v>2737003.71</v>
      </c>
      <c r="CP66" s="156">
        <f t="shared" si="164"/>
        <v>2691357.92</v>
      </c>
      <c r="CQ66" s="156">
        <f t="shared" si="164"/>
        <v>2180754.58</v>
      </c>
      <c r="CR66" s="156">
        <f t="shared" si="164"/>
        <v>2279116.33</v>
      </c>
      <c r="CS66" s="156">
        <f t="shared" si="164"/>
        <v>1440733.1</v>
      </c>
      <c r="CT66" s="156">
        <f t="shared" si="164"/>
        <v>958729.93</v>
      </c>
      <c r="CU66" s="156">
        <f t="shared" si="164"/>
        <v>-20132380.760000002</v>
      </c>
      <c r="CV66" s="156">
        <f t="shared" si="164"/>
        <v>997876.12</v>
      </c>
      <c r="CW66" s="156">
        <f t="shared" si="164"/>
        <v>1298452.02</v>
      </c>
      <c r="CX66" s="156">
        <f t="shared" si="164"/>
        <v>1234836.25</v>
      </c>
      <c r="CY66" s="156">
        <f t="shared" si="164"/>
        <v>-58198557.549999997</v>
      </c>
      <c r="CZ66" s="156">
        <f t="shared" si="164"/>
        <v>8771796.3300000001</v>
      </c>
      <c r="DA66" s="156">
        <f t="shared" si="164"/>
        <v>14017837.310000001</v>
      </c>
      <c r="DB66" s="156">
        <f t="shared" si="164"/>
        <v>9644889.6199999992</v>
      </c>
      <c r="DC66" s="156">
        <f t="shared" si="164"/>
        <v>8413809.8699999992</v>
      </c>
      <c r="DD66" s="156">
        <f t="shared" si="164"/>
        <v>8626489.9100000001</v>
      </c>
      <c r="DE66" s="156">
        <f t="shared" si="164"/>
        <v>7074167.5099999998</v>
      </c>
      <c r="DF66" s="156">
        <f t="shared" si="164"/>
        <v>5437042.3700000001</v>
      </c>
      <c r="DG66" s="156">
        <f t="shared" si="164"/>
        <v>2940781.16</v>
      </c>
      <c r="DH66" s="156">
        <f t="shared" si="164"/>
        <v>2100299.38</v>
      </c>
      <c r="DI66" s="156">
        <f t="shared" si="164"/>
        <v>2324437.21</v>
      </c>
      <c r="DJ66" s="156">
        <f t="shared" si="164"/>
        <v>2312316.64</v>
      </c>
      <c r="DK66" s="156">
        <f t="shared" si="164"/>
        <v>4330354.84</v>
      </c>
      <c r="DL66" s="156">
        <f t="shared" si="164"/>
        <v>-14448999.609999999</v>
      </c>
      <c r="DM66" s="156">
        <f t="shared" si="164"/>
        <v>2266093.85</v>
      </c>
      <c r="DN66" s="156">
        <f t="shared" si="164"/>
        <v>2331702.12</v>
      </c>
      <c r="DO66" s="156">
        <f t="shared" si="164"/>
        <v>2303267.9900000002</v>
      </c>
      <c r="DP66" s="156">
        <f t="shared" si="164"/>
        <v>1972823.5</v>
      </c>
      <c r="DQ66" s="156">
        <f t="shared" si="164"/>
        <v>1828203.03</v>
      </c>
      <c r="DR66" s="156">
        <f t="shared" si="164"/>
        <v>1108722.8600000001</v>
      </c>
      <c r="DS66" s="156">
        <f t="shared" si="164"/>
        <v>730241.24</v>
      </c>
      <c r="DT66" s="156">
        <f t="shared" si="164"/>
        <v>575755.1</v>
      </c>
      <c r="DU66" s="156">
        <f t="shared" si="164"/>
        <v>751079.38</v>
      </c>
      <c r="DV66" s="156">
        <f t="shared" si="164"/>
        <v>582852.5</v>
      </c>
      <c r="DW66" s="156">
        <f t="shared" si="164"/>
        <v>1229667.8</v>
      </c>
      <c r="DX66" s="156">
        <f t="shared" si="164"/>
        <v>-20387635.469999999</v>
      </c>
      <c r="DY66" s="156">
        <f t="shared" si="164"/>
        <v>3367380.77</v>
      </c>
      <c r="DZ66" s="156">
        <f t="shared" si="164"/>
        <v>3501235.1</v>
      </c>
      <c r="EA66" s="156">
        <f t="shared" si="164"/>
        <v>2817513.97</v>
      </c>
      <c r="EB66" s="156">
        <f t="shared" si="164"/>
        <v>3197187.24</v>
      </c>
      <c r="EC66" s="156">
        <f t="shared" si="164"/>
        <v>1714290.43</v>
      </c>
      <c r="ED66" s="156">
        <f t="shared" si="164"/>
        <v>1273985.58</v>
      </c>
      <c r="EE66" s="156">
        <f t="shared" ref="EE66:GP66" si="165">ROUND(SUM(EE57:EE65),2)</f>
        <v>984043.23</v>
      </c>
      <c r="EF66" s="156">
        <f t="shared" si="165"/>
        <v>754854.58</v>
      </c>
      <c r="EG66" s="156">
        <f t="shared" si="165"/>
        <v>676606.96</v>
      </c>
      <c r="EH66" s="156">
        <f t="shared" si="165"/>
        <v>777497.31</v>
      </c>
      <c r="EI66" s="156">
        <f t="shared" si="165"/>
        <v>1575739.08</v>
      </c>
      <c r="EJ66" s="156">
        <f t="shared" si="165"/>
        <v>-32141496.68</v>
      </c>
      <c r="EK66" s="156">
        <f t="shared" si="165"/>
        <v>4908806.8</v>
      </c>
      <c r="EL66" s="156">
        <f t="shared" si="165"/>
        <v>5727196.1100000003</v>
      </c>
      <c r="EM66" s="156">
        <f t="shared" si="165"/>
        <v>4092864.3</v>
      </c>
      <c r="EN66" s="156">
        <f t="shared" si="165"/>
        <v>3714637.88</v>
      </c>
      <c r="EO66" s="156">
        <f t="shared" si="165"/>
        <v>2718870.57</v>
      </c>
      <c r="EP66" s="156">
        <f t="shared" si="165"/>
        <v>1810009.63</v>
      </c>
      <c r="EQ66" s="156">
        <f t="shared" si="165"/>
        <v>1145972.68</v>
      </c>
      <c r="ER66" s="156">
        <f t="shared" si="165"/>
        <v>1036190.9</v>
      </c>
      <c r="ES66" s="156">
        <f t="shared" si="165"/>
        <v>880744.46</v>
      </c>
      <c r="ET66" s="156">
        <f t="shared" si="165"/>
        <v>1327875.55</v>
      </c>
      <c r="EU66" s="156">
        <f t="shared" si="165"/>
        <v>2814207.2</v>
      </c>
      <c r="EV66" s="156">
        <f t="shared" si="165"/>
        <v>-8730090.0299999993</v>
      </c>
      <c r="EW66" s="156">
        <f t="shared" si="165"/>
        <v>1814252.84</v>
      </c>
      <c r="EX66" s="156">
        <f t="shared" si="165"/>
        <v>1578009.73</v>
      </c>
      <c r="EY66" s="156">
        <f t="shared" si="165"/>
        <v>1588247.74</v>
      </c>
      <c r="EZ66" s="156">
        <f t="shared" si="165"/>
        <v>1202746.1399999999</v>
      </c>
      <c r="FA66" s="156">
        <f t="shared" si="165"/>
        <v>825846.17</v>
      </c>
      <c r="FB66" s="156">
        <f t="shared" si="165"/>
        <v>531252.31999999995</v>
      </c>
      <c r="FC66" s="156">
        <f t="shared" si="165"/>
        <v>388343.16</v>
      </c>
      <c r="FD66" s="156">
        <f t="shared" si="165"/>
        <v>316590.27</v>
      </c>
      <c r="FE66" s="156">
        <f t="shared" si="165"/>
        <v>312959.62</v>
      </c>
      <c r="FF66" s="156">
        <f t="shared" si="165"/>
        <v>348939.71</v>
      </c>
      <c r="FG66" s="156">
        <f t="shared" si="165"/>
        <v>565107.57999999996</v>
      </c>
      <c r="FH66" s="156">
        <f t="shared" si="165"/>
        <v>27282422.280000001</v>
      </c>
      <c r="FI66" s="156">
        <f t="shared" si="165"/>
        <v>-3648296.21</v>
      </c>
      <c r="FJ66" s="156">
        <f t="shared" si="165"/>
        <v>-3476883.68</v>
      </c>
      <c r="FK66" s="156">
        <f t="shared" si="165"/>
        <v>-2666722.73</v>
      </c>
      <c r="FL66" s="156">
        <f t="shared" si="165"/>
        <v>-2589656.4900000002</v>
      </c>
      <c r="FM66" s="156">
        <f t="shared" si="165"/>
        <v>-2205111.63</v>
      </c>
      <c r="FN66" s="156">
        <f t="shared" si="165"/>
        <v>-1316118.33</v>
      </c>
      <c r="FO66" s="156">
        <f t="shared" si="165"/>
        <v>-875822.2</v>
      </c>
      <c r="FP66" s="156">
        <f t="shared" si="165"/>
        <v>-727651.5</v>
      </c>
      <c r="FQ66" s="156">
        <f t="shared" si="165"/>
        <v>-766708.84</v>
      </c>
      <c r="FR66" s="156">
        <f t="shared" si="165"/>
        <v>-1049201.18</v>
      </c>
      <c r="FS66" s="156">
        <f t="shared" si="165"/>
        <v>-1517423.08</v>
      </c>
      <c r="FT66" s="156">
        <f t="shared" si="165"/>
        <v>-37022906.539999999</v>
      </c>
      <c r="FU66" s="156">
        <f t="shared" si="165"/>
        <v>4690927.01</v>
      </c>
      <c r="FV66" s="156">
        <f t="shared" si="165"/>
        <v>4446473.1900000004</v>
      </c>
      <c r="FW66" s="156">
        <f t="shared" si="165"/>
        <v>3448970.03</v>
      </c>
      <c r="FX66" s="156">
        <f t="shared" si="165"/>
        <v>3352639.59</v>
      </c>
      <c r="FY66" s="156">
        <f t="shared" si="165"/>
        <v>1847413.43</v>
      </c>
      <c r="FZ66" s="156">
        <f t="shared" si="165"/>
        <v>1445926.78</v>
      </c>
      <c r="GA66" s="156">
        <f t="shared" si="165"/>
        <v>1128589.3999999999</v>
      </c>
      <c r="GB66" s="156">
        <f t="shared" si="165"/>
        <v>1078439.53</v>
      </c>
      <c r="GC66" s="156">
        <f t="shared" si="165"/>
        <v>893142.1</v>
      </c>
      <c r="GD66" s="156">
        <f t="shared" si="165"/>
        <v>1170638.22</v>
      </c>
      <c r="GE66" s="156">
        <f t="shared" si="165"/>
        <v>2052474.98</v>
      </c>
      <c r="GF66" s="156">
        <f t="shared" si="165"/>
        <v>-9475471.8100000005</v>
      </c>
      <c r="GG66" s="156">
        <f t="shared" si="165"/>
        <v>2419808.15</v>
      </c>
      <c r="GH66" s="156">
        <f t="shared" si="165"/>
        <v>2639917.23</v>
      </c>
      <c r="GI66" s="156">
        <f t="shared" si="165"/>
        <v>2094851.78</v>
      </c>
      <c r="GJ66" s="156">
        <f t="shared" si="165"/>
        <v>1869789.59</v>
      </c>
      <c r="GK66" s="156">
        <f t="shared" si="165"/>
        <v>1344103.11</v>
      </c>
      <c r="GL66" s="156">
        <f t="shared" si="165"/>
        <v>906191.52</v>
      </c>
      <c r="GM66" s="156">
        <f t="shared" si="165"/>
        <v>582607.65</v>
      </c>
      <c r="GN66" s="156">
        <f t="shared" si="165"/>
        <v>487982.86</v>
      </c>
      <c r="GO66" s="156">
        <f t="shared" si="165"/>
        <v>432724.49</v>
      </c>
      <c r="GP66" s="156">
        <f t="shared" si="165"/>
        <v>543840.46</v>
      </c>
      <c r="GQ66" s="156">
        <f t="shared" ref="GQ66:IW66" si="166">ROUND(SUM(GQ57:GQ65),2)</f>
        <v>1159465.95</v>
      </c>
      <c r="GR66" s="156">
        <f t="shared" si="166"/>
        <v>-13576139.119999999</v>
      </c>
      <c r="GS66" s="156">
        <f t="shared" si="166"/>
        <v>2273109.58</v>
      </c>
      <c r="GT66" s="156">
        <f t="shared" si="166"/>
        <v>2026017.93</v>
      </c>
      <c r="GU66" s="156">
        <f t="shared" si="166"/>
        <v>2043286.12</v>
      </c>
      <c r="GV66" s="156">
        <f t="shared" si="166"/>
        <v>1846909.56</v>
      </c>
      <c r="GW66" s="156">
        <f t="shared" si="166"/>
        <v>1254047.99</v>
      </c>
      <c r="GX66" s="156">
        <f t="shared" si="166"/>
        <v>663122.44999999995</v>
      </c>
      <c r="GY66" s="156">
        <f t="shared" si="166"/>
        <v>647941.48</v>
      </c>
      <c r="GZ66" s="156">
        <f t="shared" si="166"/>
        <v>383982.53</v>
      </c>
      <c r="HA66" s="156">
        <f t="shared" si="166"/>
        <v>474974.06</v>
      </c>
      <c r="HB66" s="156">
        <f t="shared" si="166"/>
        <v>531786.9</v>
      </c>
      <c r="HC66" s="156">
        <f t="shared" si="166"/>
        <v>1105594.54</v>
      </c>
      <c r="HD66" s="156">
        <f t="shared" si="166"/>
        <v>-49354313.140000001</v>
      </c>
      <c r="HE66" s="156">
        <f t="shared" si="166"/>
        <v>7240808.6600000001</v>
      </c>
      <c r="HF66" s="156">
        <f t="shared" si="166"/>
        <v>6972495.9900000002</v>
      </c>
      <c r="HG66" s="156">
        <f t="shared" si="166"/>
        <v>8292988.21</v>
      </c>
      <c r="HH66" s="156">
        <f t="shared" si="166"/>
        <v>6224377.3700000001</v>
      </c>
      <c r="HI66" s="156">
        <f t="shared" si="166"/>
        <v>3968390.66</v>
      </c>
      <c r="HJ66" s="156">
        <f t="shared" si="166"/>
        <v>51902009.630000003</v>
      </c>
      <c r="HK66" s="156">
        <f t="shared" si="166"/>
        <v>293396.13</v>
      </c>
      <c r="HL66" s="156">
        <f t="shared" si="166"/>
        <v>282360.96999999997</v>
      </c>
      <c r="HM66" s="156">
        <f t="shared" si="166"/>
        <v>280854.19</v>
      </c>
      <c r="HN66" s="156">
        <f t="shared" si="166"/>
        <v>305948.17</v>
      </c>
      <c r="HO66" s="156">
        <f t="shared" si="166"/>
        <v>484044.39</v>
      </c>
      <c r="HP66" s="156">
        <f t="shared" si="166"/>
        <v>94623277.359999999</v>
      </c>
      <c r="HQ66" s="156">
        <f t="shared" si="166"/>
        <v>-12064632.130000001</v>
      </c>
      <c r="HR66" s="156">
        <f t="shared" si="166"/>
        <v>-12356534.09</v>
      </c>
      <c r="HS66" s="156">
        <f t="shared" si="166"/>
        <v>-11396103.220000001</v>
      </c>
      <c r="HT66" s="156">
        <f t="shared" si="166"/>
        <v>-10835631.720000001</v>
      </c>
      <c r="HU66" s="156">
        <f t="shared" si="166"/>
        <v>-6400513.3600000003</v>
      </c>
      <c r="HV66" s="156">
        <f t="shared" si="166"/>
        <v>-1800145.25</v>
      </c>
      <c r="HW66" s="156">
        <f t="shared" si="166"/>
        <v>-1409413.98</v>
      </c>
      <c r="HX66" s="156">
        <f t="shared" si="166"/>
        <v>-956538.39</v>
      </c>
      <c r="HY66" s="156">
        <f t="shared" si="166"/>
        <v>-908236.57</v>
      </c>
      <c r="HZ66" s="156">
        <f t="shared" si="166"/>
        <v>-1088666.3899999999</v>
      </c>
      <c r="IA66" s="156">
        <f t="shared" si="166"/>
        <v>-369293.22</v>
      </c>
      <c r="IB66" s="156">
        <f t="shared" si="166"/>
        <v>11681117.220000001</v>
      </c>
      <c r="IC66" s="156">
        <f t="shared" si="166"/>
        <v>-5621627.5499999998</v>
      </c>
      <c r="ID66" s="156">
        <f t="shared" si="166"/>
        <v>-5717995.6399999997</v>
      </c>
      <c r="IE66" s="156">
        <f t="shared" si="166"/>
        <v>-6108102.2999999998</v>
      </c>
      <c r="IF66" s="156">
        <f t="shared" si="166"/>
        <v>-5279585.2</v>
      </c>
      <c r="IG66" s="156">
        <f t="shared" si="166"/>
        <v>-3094596.24</v>
      </c>
      <c r="IH66" s="156">
        <f t="shared" si="166"/>
        <v>-2194351.09</v>
      </c>
      <c r="II66" s="156">
        <f t="shared" si="166"/>
        <v>-1367248.62</v>
      </c>
      <c r="IJ66" s="156">
        <f t="shared" si="166"/>
        <v>-985587.32</v>
      </c>
      <c r="IK66" s="156">
        <f t="shared" si="166"/>
        <v>-1050308.0900000001</v>
      </c>
      <c r="IL66" s="156">
        <f t="shared" si="166"/>
        <v>-1498656.71</v>
      </c>
      <c r="IM66" s="156">
        <f t="shared" si="166"/>
        <v>-3138914.93</v>
      </c>
      <c r="IN66" s="156">
        <f t="shared" si="166"/>
        <v>-2526267.7999999998</v>
      </c>
      <c r="IO66" s="156">
        <f t="shared" si="166"/>
        <v>-3637034.77</v>
      </c>
      <c r="IP66" s="156">
        <f t="shared" si="166"/>
        <v>-3670965.14</v>
      </c>
      <c r="IQ66" s="156">
        <f t="shared" si="166"/>
        <v>-3008200.46</v>
      </c>
      <c r="IR66" s="156">
        <f t="shared" si="166"/>
        <v>-2622908.39</v>
      </c>
      <c r="IS66" s="156">
        <f t="shared" si="166"/>
        <v>-2262079.7000000002</v>
      </c>
      <c r="IT66" s="156">
        <f t="shared" si="166"/>
        <v>-1560016.1</v>
      </c>
      <c r="IU66" s="156">
        <f t="shared" si="166"/>
        <v>-960289.95</v>
      </c>
      <c r="IV66" s="156">
        <f t="shared" si="166"/>
        <v>-668132.6</v>
      </c>
      <c r="IW66" s="156">
        <f t="shared" si="166"/>
        <v>-516813.83</v>
      </c>
      <c r="IX66" s="156">
        <f t="shared" ref="IX66:JJ66" si="167">ROUND(SUM(IX57:IX65),2)</f>
        <v>-626018.35</v>
      </c>
      <c r="IY66" s="156">
        <f t="shared" si="167"/>
        <v>-1186082.94</v>
      </c>
      <c r="IZ66" s="156">
        <f t="shared" si="167"/>
        <v>8928166.8499999996</v>
      </c>
      <c r="JA66" s="156">
        <f t="shared" si="167"/>
        <v>-5814663.0499999998</v>
      </c>
      <c r="JB66" s="156">
        <f t="shared" si="167"/>
        <v>-5118578.71</v>
      </c>
      <c r="JC66" s="156">
        <f t="shared" si="167"/>
        <v>-5043527.3</v>
      </c>
      <c r="JD66" s="156">
        <f t="shared" si="167"/>
        <v>-4642469.63</v>
      </c>
      <c r="JE66" s="156">
        <f t="shared" si="167"/>
        <v>-3662644.63</v>
      </c>
      <c r="JF66" s="156">
        <f t="shared" si="167"/>
        <v>-1533988.38</v>
      </c>
      <c r="JG66" s="156">
        <f t="shared" si="167"/>
        <v>-1303716.47</v>
      </c>
      <c r="JH66" s="156">
        <f t="shared" si="167"/>
        <v>-945108.42</v>
      </c>
      <c r="JI66" s="156">
        <f t="shared" si="167"/>
        <v>-977096.66</v>
      </c>
      <c r="JJ66" s="172">
        <f t="shared" si="167"/>
        <v>-1301673.1000000001</v>
      </c>
      <c r="JK66" s="172">
        <f t="shared" ref="JK66:JU66" si="168">ROUND(SUM(JK57:JK65),2)</f>
        <v>-985247.31</v>
      </c>
      <c r="JL66" s="172">
        <f t="shared" si="168"/>
        <v>-152821953.47</v>
      </c>
      <c r="JM66" s="172">
        <f t="shared" si="168"/>
        <v>21490858.379999999</v>
      </c>
      <c r="JN66" s="172">
        <f t="shared" si="168"/>
        <v>27320344.289999999</v>
      </c>
      <c r="JO66" s="172">
        <f t="shared" si="168"/>
        <v>21062370.52</v>
      </c>
      <c r="JP66" s="172">
        <f t="shared" si="168"/>
        <v>20123350.98</v>
      </c>
      <c r="JQ66" s="172">
        <f t="shared" si="168"/>
        <v>15250465.390000001</v>
      </c>
      <c r="JR66" s="172">
        <f t="shared" si="168"/>
        <v>10429315.300000001</v>
      </c>
      <c r="JS66" s="172">
        <f t="shared" si="168"/>
        <v>7228907.2199999997</v>
      </c>
      <c r="JT66" s="172">
        <f t="shared" si="168"/>
        <v>5211841.47</v>
      </c>
      <c r="JU66" s="172">
        <f t="shared" si="168"/>
        <v>4527126.9400000004</v>
      </c>
      <c r="JV66" s="632"/>
      <c r="JW66" s="414"/>
      <c r="JX66" s="414"/>
      <c r="JY66" s="414"/>
      <c r="JZ66" s="414"/>
      <c r="KA66" s="414"/>
      <c r="KB66" s="414"/>
      <c r="KC66" s="414"/>
      <c r="KD66" s="414"/>
      <c r="KE66" s="414"/>
      <c r="KF66" s="414"/>
      <c r="KG66" s="414"/>
      <c r="KH66" s="414"/>
      <c r="KI66" s="633"/>
    </row>
    <row r="67" spans="1:295" x14ac:dyDescent="0.2">
      <c r="B67" s="24" t="s">
        <v>109</v>
      </c>
      <c r="D67" s="50">
        <f t="shared" ref="D67:AI67" si="169">+D56+D66</f>
        <v>59812470.350000001</v>
      </c>
      <c r="E67" s="50">
        <f t="shared" si="169"/>
        <v>120745657.28</v>
      </c>
      <c r="F67" s="50">
        <f t="shared" si="169"/>
        <v>116400172.34</v>
      </c>
      <c r="G67" s="50">
        <f t="shared" si="169"/>
        <v>105985135.08006337</v>
      </c>
      <c r="H67" s="50">
        <f t="shared" si="169"/>
        <v>92410074.882628947</v>
      </c>
      <c r="I67" s="50">
        <f t="shared" si="169"/>
        <v>73649281.133495629</v>
      </c>
      <c r="J67" s="50">
        <f t="shared" si="169"/>
        <v>54385898.571054831</v>
      </c>
      <c r="K67" s="50">
        <f t="shared" si="169"/>
        <v>37849031.228008136</v>
      </c>
      <c r="L67" s="50">
        <f t="shared" si="169"/>
        <v>19641296.89888484</v>
      </c>
      <c r="M67" s="50">
        <f t="shared" si="169"/>
        <v>7841036.4775772225</v>
      </c>
      <c r="N67" s="50">
        <f t="shared" si="169"/>
        <v>-1010074.6028453317</v>
      </c>
      <c r="O67" s="50">
        <f t="shared" si="169"/>
        <v>-869527.96</v>
      </c>
      <c r="P67" s="50">
        <f t="shared" si="169"/>
        <v>-903317.99</v>
      </c>
      <c r="Q67" s="50">
        <f t="shared" si="169"/>
        <v>-937108.02</v>
      </c>
      <c r="R67" s="50">
        <f t="shared" si="169"/>
        <v>-404021.02</v>
      </c>
      <c r="S67" s="50">
        <f t="shared" si="169"/>
        <v>-167814.39000000004</v>
      </c>
      <c r="T67" s="50">
        <f t="shared" si="169"/>
        <v>7284028.3326132959</v>
      </c>
      <c r="U67" s="50">
        <f t="shared" si="169"/>
        <v>16456818.117644336</v>
      </c>
      <c r="V67" s="50">
        <f t="shared" si="169"/>
        <v>-83020072.083796158</v>
      </c>
      <c r="W67" s="50">
        <f t="shared" si="169"/>
        <v>-74655652.509488285</v>
      </c>
      <c r="X67" s="50">
        <f t="shared" si="169"/>
        <v>-67370116.098532259</v>
      </c>
      <c r="Y67" s="50">
        <f t="shared" si="169"/>
        <v>-23540349.660309456</v>
      </c>
      <c r="Z67" s="50">
        <f t="shared" si="169"/>
        <v>-21389993.739909839</v>
      </c>
      <c r="AA67" s="50">
        <f t="shared" si="169"/>
        <v>-20155529.386130616</v>
      </c>
      <c r="AB67" s="50">
        <f t="shared" si="169"/>
        <v>-19157897.949999999</v>
      </c>
      <c r="AC67" s="50">
        <f t="shared" si="169"/>
        <v>-17677541.829999998</v>
      </c>
      <c r="AD67" s="50">
        <f t="shared" si="169"/>
        <v>-16440523.599999998</v>
      </c>
      <c r="AE67" s="139">
        <f t="shared" si="169"/>
        <v>-9467391.0081546195</v>
      </c>
      <c r="AF67" s="139">
        <f t="shared" si="169"/>
        <v>-8097534.0999999996</v>
      </c>
      <c r="AG67" s="139">
        <f t="shared" si="169"/>
        <v>-6589680.9100000001</v>
      </c>
      <c r="AH67" s="139">
        <f t="shared" si="169"/>
        <v>-5015530.6099999994</v>
      </c>
      <c r="AI67" s="139">
        <f t="shared" si="169"/>
        <v>-3737067.5300000003</v>
      </c>
      <c r="AJ67" s="139">
        <f t="shared" ref="AJ67:BO67" si="170">+AJ56+AJ66</f>
        <v>-2649582.36</v>
      </c>
      <c r="AK67" s="139">
        <f t="shared" si="170"/>
        <v>-1998438.8199999998</v>
      </c>
      <c r="AL67" s="139">
        <f t="shared" si="170"/>
        <v>-1478820.69</v>
      </c>
      <c r="AM67" s="139">
        <f t="shared" si="170"/>
        <v>-1094126.3299999998</v>
      </c>
      <c r="AN67" s="139">
        <f t="shared" si="170"/>
        <v>-775943.88000000012</v>
      </c>
      <c r="AO67" s="139">
        <f t="shared" si="170"/>
        <v>-417583.8</v>
      </c>
      <c r="AP67" s="139">
        <f t="shared" si="170"/>
        <v>24831.340000000026</v>
      </c>
      <c r="AQ67" s="139">
        <f t="shared" si="170"/>
        <v>8843522.0329453163</v>
      </c>
      <c r="AR67" s="139">
        <f t="shared" si="170"/>
        <v>7798610.8599999994</v>
      </c>
      <c r="AS67" s="139">
        <f t="shared" si="170"/>
        <v>6502736.5099999998</v>
      </c>
      <c r="AT67" s="139">
        <f t="shared" si="170"/>
        <v>5072724.59</v>
      </c>
      <c r="AU67" s="139">
        <f t="shared" si="170"/>
        <v>3940228.01</v>
      </c>
      <c r="AV67" s="139">
        <f t="shared" si="170"/>
        <v>3103055.42</v>
      </c>
      <c r="AW67" s="139">
        <f t="shared" si="170"/>
        <v>2348258.41</v>
      </c>
      <c r="AX67" s="139">
        <f t="shared" si="170"/>
        <v>1932732.7900000003</v>
      </c>
      <c r="AY67" s="139">
        <f t="shared" si="170"/>
        <v>1572373.78</v>
      </c>
      <c r="AZ67" s="139">
        <f t="shared" si="170"/>
        <v>1290114.3700000001</v>
      </c>
      <c r="BA67" s="139">
        <f t="shared" si="170"/>
        <v>990401.12000000011</v>
      </c>
      <c r="BB67" s="139">
        <f t="shared" si="170"/>
        <v>615834.31000000006</v>
      </c>
      <c r="BC67" s="139">
        <f t="shared" si="170"/>
        <v>30581310.789999999</v>
      </c>
      <c r="BD67" s="139">
        <f t="shared" si="170"/>
        <v>26559645.299999997</v>
      </c>
      <c r="BE67" s="139">
        <f t="shared" si="170"/>
        <v>21781178.890000001</v>
      </c>
      <c r="BF67" s="139">
        <f t="shared" si="170"/>
        <v>17469056</v>
      </c>
      <c r="BG67" s="139">
        <f t="shared" si="170"/>
        <v>13039483.300000001</v>
      </c>
      <c r="BH67" s="139">
        <f t="shared" si="170"/>
        <v>9224436.5100000016</v>
      </c>
      <c r="BI67" s="139">
        <f t="shared" si="170"/>
        <v>6581711.9000000004</v>
      </c>
      <c r="BJ67" s="139">
        <f t="shared" si="170"/>
        <v>4861599.01</v>
      </c>
      <c r="BK67" s="139">
        <f t="shared" si="170"/>
        <v>3724037.84</v>
      </c>
      <c r="BL67" s="139">
        <f t="shared" si="170"/>
        <v>2782475.2199999997</v>
      </c>
      <c r="BM67" s="139">
        <f t="shared" si="170"/>
        <v>1795259.86</v>
      </c>
      <c r="BN67" s="139">
        <f t="shared" si="170"/>
        <v>577870.62000000011</v>
      </c>
      <c r="BO67" s="139">
        <f t="shared" si="170"/>
        <v>69846585.370000005</v>
      </c>
      <c r="BP67" s="139">
        <f t="shared" ref="BP67:BQ67" si="171">+BP56+BP66</f>
        <v>65742726.470000006</v>
      </c>
      <c r="BQ67" s="139">
        <f t="shared" si="171"/>
        <v>60654038.82</v>
      </c>
      <c r="BR67" s="127">
        <f t="shared" ref="BR67:EC67" si="172">ROUND(+BR56+BR66,2)</f>
        <v>54761598.049999997</v>
      </c>
      <c r="BS67" s="139">
        <f t="shared" si="172"/>
        <v>50569240.899999999</v>
      </c>
      <c r="BT67" s="139">
        <f t="shared" si="172"/>
        <v>46886948.700000003</v>
      </c>
      <c r="BU67" s="139">
        <f t="shared" si="172"/>
        <v>44140413.560000002</v>
      </c>
      <c r="BV67" s="139">
        <f t="shared" si="172"/>
        <v>42319665.579999998</v>
      </c>
      <c r="BW67" s="139">
        <f t="shared" si="172"/>
        <v>41080897</v>
      </c>
      <c r="BX67" s="139">
        <f t="shared" si="172"/>
        <v>40230459.729999997</v>
      </c>
      <c r="BY67" s="139">
        <f t="shared" si="172"/>
        <v>39297519.439999998</v>
      </c>
      <c r="BZ67" s="139">
        <f t="shared" si="172"/>
        <v>37968909.880000003</v>
      </c>
      <c r="CA67" s="139">
        <f t="shared" si="172"/>
        <v>-55736248.850000001</v>
      </c>
      <c r="CB67" s="139">
        <f t="shared" si="172"/>
        <v>-49394190.840000004</v>
      </c>
      <c r="CC67" s="139">
        <f t="shared" si="172"/>
        <v>-40643132.420000002</v>
      </c>
      <c r="CD67" s="139">
        <f t="shared" si="172"/>
        <v>-30961308.920000002</v>
      </c>
      <c r="CE67" s="139">
        <f t="shared" si="172"/>
        <v>-23643545.890000001</v>
      </c>
      <c r="CF67" s="139">
        <f t="shared" si="172"/>
        <v>-16092032.58</v>
      </c>
      <c r="CG67" s="139">
        <f t="shared" si="172"/>
        <v>-10075018.279999999</v>
      </c>
      <c r="CH67" s="139">
        <f t="shared" si="172"/>
        <v>-6543800.6299999999</v>
      </c>
      <c r="CI67" s="139">
        <f t="shared" si="172"/>
        <v>-3540656.44</v>
      </c>
      <c r="CJ67" s="139">
        <f t="shared" si="172"/>
        <v>-1610029.52</v>
      </c>
      <c r="CK67" s="139">
        <f t="shared" si="172"/>
        <v>742230.4</v>
      </c>
      <c r="CL67" s="139">
        <f t="shared" si="172"/>
        <v>3063647.6</v>
      </c>
      <c r="CM67" s="139">
        <f t="shared" si="172"/>
        <v>-15502795.66</v>
      </c>
      <c r="CN67" s="139">
        <f t="shared" si="172"/>
        <v>-13965540.57</v>
      </c>
      <c r="CO67" s="127">
        <f t="shared" si="172"/>
        <v>-11228536.859999999</v>
      </c>
      <c r="CP67" s="139">
        <f t="shared" si="172"/>
        <v>-8537178.9399999995</v>
      </c>
      <c r="CQ67" s="139">
        <f t="shared" si="172"/>
        <v>-6356424.3600000003</v>
      </c>
      <c r="CR67" s="139">
        <f t="shared" si="172"/>
        <v>-4077308.03</v>
      </c>
      <c r="CS67" s="139">
        <f t="shared" si="172"/>
        <v>-2636574.9300000002</v>
      </c>
      <c r="CT67" s="139">
        <f t="shared" si="172"/>
        <v>-1677845</v>
      </c>
      <c r="CU67" s="139">
        <f t="shared" si="172"/>
        <v>-21810225.760000002</v>
      </c>
      <c r="CV67" s="139">
        <f t="shared" si="172"/>
        <v>-20812349.640000001</v>
      </c>
      <c r="CW67" s="139">
        <f t="shared" si="172"/>
        <v>-19513897.620000001</v>
      </c>
      <c r="CX67" s="139">
        <f t="shared" si="172"/>
        <v>-18279061.370000001</v>
      </c>
      <c r="CY67" s="139">
        <f t="shared" si="172"/>
        <v>-76477618.920000002</v>
      </c>
      <c r="CZ67" s="139">
        <f t="shared" si="172"/>
        <v>-67705822.590000004</v>
      </c>
      <c r="DA67" s="139">
        <f t="shared" si="172"/>
        <v>-53687985.280000001</v>
      </c>
      <c r="DB67" s="139">
        <f t="shared" si="172"/>
        <v>-44043095.659999996</v>
      </c>
      <c r="DC67" s="139">
        <f t="shared" si="172"/>
        <v>-35629285.789999999</v>
      </c>
      <c r="DD67" s="139">
        <f t="shared" si="172"/>
        <v>-27002795.879999999</v>
      </c>
      <c r="DE67" s="139">
        <f t="shared" si="172"/>
        <v>-19928628.370000001</v>
      </c>
      <c r="DF67" s="139">
        <f t="shared" si="172"/>
        <v>-14491586</v>
      </c>
      <c r="DG67" s="139">
        <f t="shared" si="172"/>
        <v>-11550804.84</v>
      </c>
      <c r="DH67" s="139">
        <f t="shared" si="172"/>
        <v>-9450505.4600000009</v>
      </c>
      <c r="DI67" s="139">
        <f t="shared" si="172"/>
        <v>-7126068.25</v>
      </c>
      <c r="DJ67" s="139">
        <f t="shared" si="172"/>
        <v>-4813751.6100000003</v>
      </c>
      <c r="DK67" s="139">
        <f t="shared" si="172"/>
        <v>-483396.77</v>
      </c>
      <c r="DL67" s="139">
        <f t="shared" si="172"/>
        <v>-14932396.380000001</v>
      </c>
      <c r="DM67" s="139">
        <f t="shared" si="172"/>
        <v>-12666302.529999999</v>
      </c>
      <c r="DN67" s="139">
        <f t="shared" si="172"/>
        <v>-10334600.41</v>
      </c>
      <c r="DO67" s="139">
        <f t="shared" si="172"/>
        <v>-8031332.4199999999</v>
      </c>
      <c r="DP67" s="139">
        <f t="shared" si="172"/>
        <v>-6058508.9199999999</v>
      </c>
      <c r="DQ67" s="139">
        <f t="shared" si="172"/>
        <v>-4230305.8899999997</v>
      </c>
      <c r="DR67" s="139">
        <f t="shared" si="172"/>
        <v>-3121583.03</v>
      </c>
      <c r="DS67" s="139">
        <f t="shared" si="172"/>
        <v>-2391341.79</v>
      </c>
      <c r="DT67" s="139">
        <f t="shared" si="172"/>
        <v>-1815586.69</v>
      </c>
      <c r="DU67" s="139">
        <f t="shared" si="172"/>
        <v>-1064507.31</v>
      </c>
      <c r="DV67" s="139">
        <f t="shared" si="172"/>
        <v>-481654.81</v>
      </c>
      <c r="DW67" s="139">
        <f t="shared" si="172"/>
        <v>748012.99</v>
      </c>
      <c r="DX67" s="139">
        <f t="shared" si="172"/>
        <v>-19639622.48</v>
      </c>
      <c r="DY67" s="139">
        <f t="shared" si="172"/>
        <v>-16272241.710000001</v>
      </c>
      <c r="DZ67" s="139">
        <f t="shared" si="172"/>
        <v>-12771006.609999999</v>
      </c>
      <c r="EA67" s="139">
        <f t="shared" si="172"/>
        <v>-9953492.6400000006</v>
      </c>
      <c r="EB67" s="139">
        <f t="shared" si="172"/>
        <v>-6756305.4000000004</v>
      </c>
      <c r="EC67" s="139">
        <f t="shared" si="172"/>
        <v>-5042014.97</v>
      </c>
      <c r="ED67" s="139">
        <f t="shared" ref="ED67:GO67" si="173">ROUND(+ED56+ED66,2)</f>
        <v>-3768029.39</v>
      </c>
      <c r="EE67" s="139">
        <f t="shared" si="173"/>
        <v>-2783986.16</v>
      </c>
      <c r="EF67" s="139">
        <f t="shared" si="173"/>
        <v>-2029131.58</v>
      </c>
      <c r="EG67" s="139">
        <f t="shared" si="173"/>
        <v>-1352524.62</v>
      </c>
      <c r="EH67" s="139">
        <f t="shared" si="173"/>
        <v>-575027.31000000006</v>
      </c>
      <c r="EI67" s="139">
        <f t="shared" si="173"/>
        <v>1000711.77</v>
      </c>
      <c r="EJ67" s="139">
        <f t="shared" si="173"/>
        <v>-31140784.91</v>
      </c>
      <c r="EK67" s="139">
        <f t="shared" si="173"/>
        <v>-26231978.109999999</v>
      </c>
      <c r="EL67" s="139">
        <f t="shared" si="173"/>
        <v>-20504782</v>
      </c>
      <c r="EM67" s="139">
        <f t="shared" si="173"/>
        <v>-16411917.699999999</v>
      </c>
      <c r="EN67" s="139">
        <f t="shared" si="173"/>
        <v>-12697279.82</v>
      </c>
      <c r="EO67" s="139">
        <f t="shared" si="173"/>
        <v>-9978409.25</v>
      </c>
      <c r="EP67" s="139">
        <f t="shared" si="173"/>
        <v>-8168399.6200000001</v>
      </c>
      <c r="EQ67" s="139">
        <f t="shared" si="173"/>
        <v>-7022426.9400000004</v>
      </c>
      <c r="ER67" s="139">
        <f t="shared" si="173"/>
        <v>-5986236.04</v>
      </c>
      <c r="ES67" s="139">
        <f t="shared" si="173"/>
        <v>-5105491.58</v>
      </c>
      <c r="ET67" s="139">
        <f t="shared" si="173"/>
        <v>-3777616.03</v>
      </c>
      <c r="EU67" s="139">
        <f t="shared" si="173"/>
        <v>-963408.83</v>
      </c>
      <c r="EV67" s="139">
        <f t="shared" si="173"/>
        <v>-9693498.8599999994</v>
      </c>
      <c r="EW67" s="139">
        <f t="shared" si="173"/>
        <v>-7879246.0199999996</v>
      </c>
      <c r="EX67" s="139">
        <f t="shared" si="173"/>
        <v>-6301236.29</v>
      </c>
      <c r="EY67" s="139">
        <f t="shared" si="173"/>
        <v>-4712988.55</v>
      </c>
      <c r="EZ67" s="139">
        <f t="shared" si="173"/>
        <v>-3510242.41</v>
      </c>
      <c r="FA67" s="139">
        <f t="shared" si="173"/>
        <v>-2684396.24</v>
      </c>
      <c r="FB67" s="139">
        <f t="shared" si="173"/>
        <v>-2153143.92</v>
      </c>
      <c r="FC67" s="139">
        <f t="shared" si="173"/>
        <v>-1764800.76</v>
      </c>
      <c r="FD67" s="139">
        <f t="shared" si="173"/>
        <v>-1448210.49</v>
      </c>
      <c r="FE67" s="139">
        <f t="shared" si="173"/>
        <v>-1135250.8700000001</v>
      </c>
      <c r="FF67" s="139">
        <f t="shared" si="173"/>
        <v>-786311.16</v>
      </c>
      <c r="FG67" s="139">
        <f t="shared" si="173"/>
        <v>-221203.58</v>
      </c>
      <c r="FH67" s="139">
        <f t="shared" si="173"/>
        <v>27061218.699999999</v>
      </c>
      <c r="FI67" s="139">
        <f t="shared" si="173"/>
        <v>23412922.489999998</v>
      </c>
      <c r="FJ67" s="139">
        <f t="shared" si="173"/>
        <v>19936038.809999999</v>
      </c>
      <c r="FK67" s="139">
        <f t="shared" si="173"/>
        <v>17269316.079999998</v>
      </c>
      <c r="FL67" s="139">
        <f t="shared" si="173"/>
        <v>14679659.59</v>
      </c>
      <c r="FM67" s="139">
        <f t="shared" si="173"/>
        <v>12474547.960000001</v>
      </c>
      <c r="FN67" s="139">
        <f t="shared" si="173"/>
        <v>11158429.630000001</v>
      </c>
      <c r="FO67" s="139">
        <f t="shared" si="173"/>
        <v>10282607.43</v>
      </c>
      <c r="FP67" s="139">
        <f t="shared" si="173"/>
        <v>9554955.9299999997</v>
      </c>
      <c r="FQ67" s="139">
        <f t="shared" si="173"/>
        <v>8788247.0899999999</v>
      </c>
      <c r="FR67" s="139">
        <f t="shared" si="173"/>
        <v>7739045.9100000001</v>
      </c>
      <c r="FS67" s="139">
        <f t="shared" si="173"/>
        <v>6221622.8300000001</v>
      </c>
      <c r="FT67" s="139">
        <f t="shared" si="173"/>
        <v>-30801283.710000001</v>
      </c>
      <c r="FU67" s="139">
        <f t="shared" si="173"/>
        <v>-26110356.699999999</v>
      </c>
      <c r="FV67" s="139">
        <f t="shared" si="173"/>
        <v>-21663883.510000002</v>
      </c>
      <c r="FW67" s="139">
        <f t="shared" si="173"/>
        <v>-18214913.48</v>
      </c>
      <c r="FX67" s="139">
        <f t="shared" si="173"/>
        <v>-14862273.890000001</v>
      </c>
      <c r="FY67" s="139">
        <f t="shared" si="173"/>
        <v>-13014860.460000001</v>
      </c>
      <c r="FZ67" s="139">
        <f t="shared" si="173"/>
        <v>-11568933.68</v>
      </c>
      <c r="GA67" s="139">
        <f t="shared" si="173"/>
        <v>-10440344.279999999</v>
      </c>
      <c r="GB67" s="139">
        <f t="shared" si="173"/>
        <v>-9361904.75</v>
      </c>
      <c r="GC67" s="139">
        <f t="shared" si="173"/>
        <v>-8468762.6500000004</v>
      </c>
      <c r="GD67" s="139">
        <f t="shared" si="173"/>
        <v>-7298124.4299999997</v>
      </c>
      <c r="GE67" s="139">
        <f t="shared" si="173"/>
        <v>-5245649.45</v>
      </c>
      <c r="GF67" s="139">
        <f t="shared" si="173"/>
        <v>-14721121.26</v>
      </c>
      <c r="GG67" s="139">
        <f t="shared" si="173"/>
        <v>-12301313.109999999</v>
      </c>
      <c r="GH67" s="139">
        <f t="shared" si="173"/>
        <v>-9661395.8800000008</v>
      </c>
      <c r="GI67" s="139">
        <f t="shared" si="173"/>
        <v>-7566544.0999999996</v>
      </c>
      <c r="GJ67" s="139">
        <f t="shared" si="173"/>
        <v>-5696754.5099999998</v>
      </c>
      <c r="GK67" s="139">
        <f t="shared" si="173"/>
        <v>-4352651.4000000004</v>
      </c>
      <c r="GL67" s="139">
        <f t="shared" si="173"/>
        <v>-3446459.88</v>
      </c>
      <c r="GM67" s="139">
        <f t="shared" si="173"/>
        <v>-2863852.23</v>
      </c>
      <c r="GN67" s="139">
        <f t="shared" si="173"/>
        <v>-2375869.37</v>
      </c>
      <c r="GO67" s="139">
        <f t="shared" si="173"/>
        <v>-1943144.88</v>
      </c>
      <c r="GP67" s="139">
        <f t="shared" ref="GP67:JA67" si="174">ROUND(+GP56+GP66,2)</f>
        <v>-1399304.42</v>
      </c>
      <c r="GQ67" s="139">
        <f t="shared" si="174"/>
        <v>-239838.47</v>
      </c>
      <c r="GR67" s="139">
        <f t="shared" si="174"/>
        <v>-13815977.59</v>
      </c>
      <c r="GS67" s="139">
        <f t="shared" si="174"/>
        <v>-11542868.01</v>
      </c>
      <c r="GT67" s="139">
        <f t="shared" si="174"/>
        <v>-9516850.0800000001</v>
      </c>
      <c r="GU67" s="139">
        <f t="shared" si="174"/>
        <v>-7473563.96</v>
      </c>
      <c r="GV67" s="139">
        <f t="shared" si="174"/>
        <v>-5626654.4000000004</v>
      </c>
      <c r="GW67" s="139">
        <f t="shared" si="174"/>
        <v>-4372606.41</v>
      </c>
      <c r="GX67" s="139">
        <f t="shared" si="174"/>
        <v>-3709483.96</v>
      </c>
      <c r="GY67" s="139">
        <f t="shared" si="174"/>
        <v>-3061542.48</v>
      </c>
      <c r="GZ67" s="139">
        <f t="shared" si="174"/>
        <v>-2677559.9500000002</v>
      </c>
      <c r="HA67" s="139">
        <f t="shared" si="174"/>
        <v>-2202585.89</v>
      </c>
      <c r="HB67" s="139">
        <f t="shared" si="174"/>
        <v>-1670798.99</v>
      </c>
      <c r="HC67" s="139">
        <f t="shared" si="174"/>
        <v>-565204.44999999995</v>
      </c>
      <c r="HD67" s="139">
        <f t="shared" si="174"/>
        <v>-49919517.590000004</v>
      </c>
      <c r="HE67" s="139">
        <f t="shared" si="174"/>
        <v>-42678708.93</v>
      </c>
      <c r="HF67" s="139">
        <f t="shared" si="174"/>
        <v>-35706212.939999998</v>
      </c>
      <c r="HG67" s="139">
        <f t="shared" si="174"/>
        <v>-27413224.73</v>
      </c>
      <c r="HH67" s="139">
        <f t="shared" si="174"/>
        <v>-21188847.359999999</v>
      </c>
      <c r="HI67" s="139">
        <f t="shared" si="174"/>
        <v>-17220456.699999999</v>
      </c>
      <c r="HJ67" s="139">
        <f t="shared" si="174"/>
        <v>34681552.93</v>
      </c>
      <c r="HK67" s="139">
        <f t="shared" si="174"/>
        <v>34974949.060000002</v>
      </c>
      <c r="HL67" s="139">
        <f t="shared" si="174"/>
        <v>35257310.030000001</v>
      </c>
      <c r="HM67" s="139">
        <f t="shared" si="174"/>
        <v>35538164.219999999</v>
      </c>
      <c r="HN67" s="139">
        <f t="shared" si="174"/>
        <v>35844112.390000001</v>
      </c>
      <c r="HO67" s="139">
        <f t="shared" si="174"/>
        <v>36328156.780000001</v>
      </c>
      <c r="HP67" s="139">
        <f t="shared" si="174"/>
        <v>130951434.14</v>
      </c>
      <c r="HQ67" s="139">
        <f t="shared" si="174"/>
        <v>118886802.01000001</v>
      </c>
      <c r="HR67" s="139">
        <f t="shared" si="174"/>
        <v>106530267.92</v>
      </c>
      <c r="HS67" s="139">
        <f t="shared" si="174"/>
        <v>95134164.700000003</v>
      </c>
      <c r="HT67" s="139">
        <f t="shared" si="174"/>
        <v>84298532.980000004</v>
      </c>
      <c r="HU67" s="139">
        <f t="shared" si="174"/>
        <v>77898019.620000005</v>
      </c>
      <c r="HV67" s="139">
        <f t="shared" si="174"/>
        <v>76097874.370000005</v>
      </c>
      <c r="HW67" s="139">
        <f t="shared" si="174"/>
        <v>74688460.390000001</v>
      </c>
      <c r="HX67" s="139">
        <f t="shared" si="174"/>
        <v>73731922</v>
      </c>
      <c r="HY67" s="139">
        <f t="shared" si="174"/>
        <v>72823685.430000007</v>
      </c>
      <c r="HZ67" s="139">
        <f t="shared" si="174"/>
        <v>71735019.040000007</v>
      </c>
      <c r="IA67" s="139">
        <f t="shared" si="174"/>
        <v>71365725.819999993</v>
      </c>
      <c r="IB67" s="139">
        <f t="shared" si="174"/>
        <v>83046843.040000007</v>
      </c>
      <c r="IC67" s="139">
        <f t="shared" si="174"/>
        <v>77425215.489999995</v>
      </c>
      <c r="ID67" s="139">
        <f t="shared" si="174"/>
        <v>71707219.849999994</v>
      </c>
      <c r="IE67" s="139">
        <f t="shared" si="174"/>
        <v>65599117.549999997</v>
      </c>
      <c r="IF67" s="139">
        <f t="shared" si="174"/>
        <v>60319532.350000001</v>
      </c>
      <c r="IG67" s="139">
        <f t="shared" si="174"/>
        <v>57224936.109999999</v>
      </c>
      <c r="IH67" s="139">
        <f t="shared" si="174"/>
        <v>55030585.020000003</v>
      </c>
      <c r="II67" s="139">
        <f t="shared" si="174"/>
        <v>53663336.399999999</v>
      </c>
      <c r="IJ67" s="139">
        <f t="shared" si="174"/>
        <v>52677749.079999998</v>
      </c>
      <c r="IK67" s="139">
        <f t="shared" si="174"/>
        <v>51627440.990000002</v>
      </c>
      <c r="IL67" s="139">
        <f t="shared" si="174"/>
        <v>50128784.280000001</v>
      </c>
      <c r="IM67" s="139">
        <f t="shared" si="174"/>
        <v>46989869.350000001</v>
      </c>
      <c r="IN67" s="139">
        <f t="shared" si="174"/>
        <v>44463601.549999997</v>
      </c>
      <c r="IO67" s="139">
        <f t="shared" si="174"/>
        <v>40826566.780000001</v>
      </c>
      <c r="IP67" s="139">
        <f t="shared" si="174"/>
        <v>37155601.640000001</v>
      </c>
      <c r="IQ67" s="139">
        <f t="shared" si="174"/>
        <v>34147401.18</v>
      </c>
      <c r="IR67" s="139">
        <f t="shared" si="174"/>
        <v>31524492.789999999</v>
      </c>
      <c r="IS67" s="139">
        <f t="shared" si="174"/>
        <v>29262413.09</v>
      </c>
      <c r="IT67" s="139">
        <f t="shared" si="174"/>
        <v>27702396.989999998</v>
      </c>
      <c r="IU67" s="139">
        <f t="shared" si="174"/>
        <v>26742107.039999999</v>
      </c>
      <c r="IV67" s="139">
        <f t="shared" si="174"/>
        <v>26073974.440000001</v>
      </c>
      <c r="IW67" s="139">
        <f t="shared" si="174"/>
        <v>25557160.609999999</v>
      </c>
      <c r="IX67" s="139">
        <f t="shared" si="174"/>
        <v>24931142.260000002</v>
      </c>
      <c r="IY67" s="139">
        <f t="shared" si="174"/>
        <v>23745059.32</v>
      </c>
      <c r="IZ67" s="139">
        <f t="shared" si="174"/>
        <v>32673226.170000002</v>
      </c>
      <c r="JA67" s="139">
        <f t="shared" si="174"/>
        <v>26858563.120000001</v>
      </c>
      <c r="JB67" s="139">
        <f t="shared" ref="JB67:JJ67" si="175">ROUND(+JB56+JB66,2)</f>
        <v>21739984.41</v>
      </c>
      <c r="JC67" s="139">
        <f t="shared" si="175"/>
        <v>16696457.109999999</v>
      </c>
      <c r="JD67" s="139">
        <f t="shared" si="175"/>
        <v>12053987.48</v>
      </c>
      <c r="JE67" s="139">
        <f t="shared" si="175"/>
        <v>8391342.8499999996</v>
      </c>
      <c r="JF67" s="139">
        <f t="shared" si="175"/>
        <v>6857354.4699999997</v>
      </c>
      <c r="JG67" s="139">
        <f t="shared" si="175"/>
        <v>5553638</v>
      </c>
      <c r="JH67" s="139">
        <f t="shared" si="175"/>
        <v>4608529.58</v>
      </c>
      <c r="JI67" s="139">
        <f t="shared" si="175"/>
        <v>3631432.92</v>
      </c>
      <c r="JJ67" s="139">
        <f t="shared" si="175"/>
        <v>2329759.8199999998</v>
      </c>
      <c r="JK67" s="139">
        <f t="shared" ref="JK67:JU67" si="176">ROUND(+JK56+JK66,2)</f>
        <v>1344512.51</v>
      </c>
      <c r="JL67" s="139">
        <f t="shared" si="176"/>
        <v>-151477440.96000001</v>
      </c>
      <c r="JM67" s="139">
        <f t="shared" si="176"/>
        <v>-129986582.58</v>
      </c>
      <c r="JN67" s="139">
        <f t="shared" si="176"/>
        <v>-102666238.29000001</v>
      </c>
      <c r="JO67" s="139">
        <f t="shared" si="176"/>
        <v>-81603867.769999996</v>
      </c>
      <c r="JP67" s="139">
        <f t="shared" si="176"/>
        <v>-61480516.789999999</v>
      </c>
      <c r="JQ67" s="139">
        <f t="shared" si="176"/>
        <v>-46230051.399999999</v>
      </c>
      <c r="JR67" s="139">
        <f t="shared" si="176"/>
        <v>-35800736.100000001</v>
      </c>
      <c r="JS67" s="139">
        <f t="shared" si="176"/>
        <v>-28571828.879999999</v>
      </c>
      <c r="JT67" s="139">
        <f t="shared" si="176"/>
        <v>-23359987.41</v>
      </c>
      <c r="JU67" s="139">
        <f t="shared" si="176"/>
        <v>-18832860.469999999</v>
      </c>
      <c r="JV67" s="632"/>
      <c r="JW67" s="414"/>
      <c r="JX67" s="414"/>
      <c r="JY67" s="414"/>
      <c r="JZ67" s="414"/>
      <c r="KA67" s="414"/>
      <c r="KB67" s="414"/>
      <c r="KC67" s="414"/>
      <c r="KD67" s="414"/>
      <c r="KE67" s="414"/>
      <c r="KF67" s="414"/>
      <c r="KG67" s="414"/>
      <c r="KH67" s="414"/>
      <c r="KI67" s="633"/>
    </row>
    <row r="68" spans="1:295" x14ac:dyDescent="0.2">
      <c r="D68" s="173"/>
      <c r="E68" s="73"/>
      <c r="F68" s="164"/>
      <c r="G68" s="149"/>
      <c r="H68" s="73"/>
      <c r="I68" s="73"/>
      <c r="J68" s="73"/>
      <c r="K68" s="73"/>
      <c r="L68" s="73"/>
      <c r="M68" s="73"/>
      <c r="N68" s="73"/>
      <c r="O68" s="73"/>
      <c r="P68" s="73"/>
      <c r="Q68" s="73"/>
      <c r="R68" s="73"/>
      <c r="S68" s="73"/>
      <c r="T68" s="73"/>
      <c r="U68" s="73"/>
      <c r="V68" s="73"/>
      <c r="W68" s="73"/>
      <c r="X68" s="73"/>
      <c r="Y68" s="73"/>
      <c r="Z68" s="73"/>
      <c r="AA68" s="73"/>
      <c r="AB68" s="73"/>
      <c r="AC68" s="73"/>
      <c r="AD68" s="73"/>
      <c r="AE68" s="175"/>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50"/>
      <c r="BS68" s="73"/>
      <c r="BT68" s="73"/>
      <c r="BU68" s="73"/>
      <c r="BV68" s="73"/>
      <c r="BW68" s="73"/>
      <c r="BX68" s="73"/>
      <c r="BY68" s="73"/>
      <c r="BZ68" s="73"/>
      <c r="CA68" s="73"/>
      <c r="CB68" s="73"/>
      <c r="CC68" s="73"/>
      <c r="CD68" s="73"/>
      <c r="CE68" s="73"/>
      <c r="CF68" s="73"/>
      <c r="CG68" s="73"/>
      <c r="CH68" s="73"/>
      <c r="CI68" s="73"/>
      <c r="CJ68" s="73"/>
      <c r="CK68" s="73"/>
      <c r="CL68" s="73"/>
      <c r="CN68" s="73"/>
      <c r="CO68" s="50"/>
      <c r="CP68" s="73"/>
      <c r="CQ68" s="73"/>
      <c r="CR68" s="73"/>
      <c r="CS68" s="73"/>
      <c r="CT68" s="73"/>
      <c r="CU68" s="73"/>
      <c r="CV68" s="73"/>
      <c r="CW68" s="165"/>
      <c r="CX68" s="165"/>
      <c r="CY68" s="165"/>
      <c r="CZ68" s="165"/>
      <c r="DA68" s="165"/>
      <c r="DB68" s="165"/>
      <c r="DC68" s="165"/>
      <c r="DD68" s="165"/>
      <c r="DE68" s="165"/>
      <c r="DF68" s="165"/>
      <c r="DG68" s="121"/>
      <c r="DH68" s="121"/>
      <c r="DI68" s="121"/>
      <c r="DJ68" s="121"/>
      <c r="DK68" s="121"/>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632"/>
      <c r="JW68" s="414"/>
      <c r="JX68" s="414"/>
      <c r="JY68" s="414"/>
      <c r="JZ68" s="414"/>
      <c r="KA68" s="414"/>
      <c r="KB68" s="414"/>
      <c r="KC68" s="414"/>
      <c r="KD68" s="414"/>
      <c r="KE68" s="414"/>
      <c r="KF68" s="414"/>
      <c r="KG68" s="414"/>
      <c r="KH68" s="414"/>
      <c r="KI68" s="633"/>
    </row>
    <row r="69" spans="1:295" x14ac:dyDescent="0.2">
      <c r="A69" s="23" t="s">
        <v>122</v>
      </c>
      <c r="C69" s="24">
        <v>19100012</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127"/>
      <c r="DJ69" s="127"/>
      <c r="DK69" s="127"/>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632"/>
      <c r="JW69" s="414"/>
      <c r="JX69" s="414"/>
      <c r="JY69" s="414"/>
      <c r="JZ69" s="414"/>
      <c r="KA69" s="414"/>
      <c r="KB69" s="414"/>
      <c r="KC69" s="414"/>
      <c r="KD69" s="414"/>
      <c r="KE69" s="414"/>
      <c r="KF69" s="414"/>
      <c r="KG69" s="414"/>
      <c r="KH69" s="414"/>
      <c r="KI69" s="633"/>
    </row>
    <row r="70" spans="1:295" x14ac:dyDescent="0.2">
      <c r="B70" s="24" t="s">
        <v>104</v>
      </c>
      <c r="D70" s="50">
        <v>1588024.97</v>
      </c>
      <c r="E70" s="50">
        <f>+D78</f>
        <v>6582659.4399999995</v>
      </c>
      <c r="F70" s="50">
        <f>+E78</f>
        <v>5149738.0699999994</v>
      </c>
      <c r="G70" s="50">
        <f>+F78</f>
        <v>9736881.959999999</v>
      </c>
      <c r="H70" s="50">
        <f>+G78</f>
        <v>9465493.7632345539</v>
      </c>
      <c r="I70" s="50">
        <f t="shared" ref="I70:AA70" si="177">ROUND(+H78,2)</f>
        <v>8173201.3600000003</v>
      </c>
      <c r="J70" s="50">
        <f t="shared" si="177"/>
        <v>524523.13</v>
      </c>
      <c r="K70" s="50">
        <f t="shared" si="177"/>
        <v>-5891876.8600000003</v>
      </c>
      <c r="L70" s="50">
        <f t="shared" si="177"/>
        <v>-10979374.390000001</v>
      </c>
      <c r="M70" s="50">
        <f t="shared" si="177"/>
        <v>-16753543.960000001</v>
      </c>
      <c r="N70" s="50">
        <f t="shared" si="177"/>
        <v>-18109970.579999998</v>
      </c>
      <c r="O70" s="50">
        <f t="shared" si="177"/>
        <v>-16625041.869999999</v>
      </c>
      <c r="P70" s="50">
        <f t="shared" si="177"/>
        <v>-11933883.35</v>
      </c>
      <c r="Q70" s="50">
        <f t="shared" si="177"/>
        <v>-5815922.6699999999</v>
      </c>
      <c r="R70" s="50">
        <f t="shared" si="177"/>
        <v>-761260.19</v>
      </c>
      <c r="S70" s="50">
        <f t="shared" si="177"/>
        <v>3474860.95</v>
      </c>
      <c r="T70" s="50">
        <f t="shared" si="177"/>
        <v>4513502.49</v>
      </c>
      <c r="U70" s="50">
        <f t="shared" si="177"/>
        <v>2972009.22</v>
      </c>
      <c r="V70" s="50">
        <f>ROUND(+U78,2)</f>
        <v>-595559.25</v>
      </c>
      <c r="W70" s="50">
        <f t="shared" si="177"/>
        <v>1285637.8600000001</v>
      </c>
      <c r="X70" s="50">
        <f t="shared" si="177"/>
        <v>-2473429.0699999998</v>
      </c>
      <c r="Y70" s="50">
        <f t="shared" si="177"/>
        <v>-3511047.84</v>
      </c>
      <c r="Z70" s="50">
        <f>ROUND(+Y78,2)</f>
        <v>-4104772.36</v>
      </c>
      <c r="AA70" s="50">
        <f t="shared" si="177"/>
        <v>-2009785.02</v>
      </c>
      <c r="AB70" s="50">
        <f>+AA78</f>
        <v>2741768.1679445463</v>
      </c>
      <c r="AC70" s="50">
        <f>+AB78</f>
        <v>7865588.6069445461</v>
      </c>
      <c r="AD70" s="50">
        <f>+AC78</f>
        <v>12194523.546944547</v>
      </c>
      <c r="AE70" s="50">
        <f t="shared" ref="AE70:AM70" si="178">+AD78</f>
        <v>16933402.656944547</v>
      </c>
      <c r="AF70" s="50">
        <f t="shared" si="178"/>
        <v>13097949.356944546</v>
      </c>
      <c r="AG70" s="50">
        <f t="shared" si="178"/>
        <v>8583069.6869445462</v>
      </c>
      <c r="AH70" s="50">
        <f t="shared" si="178"/>
        <v>4214314.8869445464</v>
      </c>
      <c r="AI70" s="50">
        <f t="shared" si="178"/>
        <v>-1264872.9630554533</v>
      </c>
      <c r="AJ70" s="50">
        <f t="shared" si="178"/>
        <v>-4362046.3830554532</v>
      </c>
      <c r="AK70" s="50">
        <f t="shared" si="178"/>
        <v>-5712635.0630554538</v>
      </c>
      <c r="AL70" s="50">
        <f t="shared" si="178"/>
        <v>-3875780.5730554536</v>
      </c>
      <c r="AM70" s="50">
        <f t="shared" si="178"/>
        <v>-522518.99305545352</v>
      </c>
      <c r="AN70" s="50">
        <f>+AM78</f>
        <v>3766785.0469445465</v>
      </c>
      <c r="AO70" s="50">
        <f>+AN78</f>
        <v>8723362.9969445467</v>
      </c>
      <c r="AP70" s="50">
        <f>+AO78</f>
        <v>13464257.476944547</v>
      </c>
      <c r="AQ70" s="50">
        <f>AP78</f>
        <v>17594509.646944545</v>
      </c>
      <c r="AR70" s="50">
        <f>+AQ78</f>
        <v>14864994.622064564</v>
      </c>
      <c r="AS70" s="50">
        <f>+AR78</f>
        <v>13536491.302064564</v>
      </c>
      <c r="AT70" s="50">
        <f t="shared" ref="AT70:BQ70" si="179">+AS78</f>
        <v>10162336.362064563</v>
      </c>
      <c r="AU70" s="50">
        <f t="shared" si="179"/>
        <v>5251216.1120645627</v>
      </c>
      <c r="AV70" s="50">
        <f t="shared" si="179"/>
        <v>2501977.0820645625</v>
      </c>
      <c r="AW70" s="50">
        <f t="shared" si="179"/>
        <v>3854350.3320645625</v>
      </c>
      <c r="AX70" s="50">
        <f t="shared" si="179"/>
        <v>4666461.4120645626</v>
      </c>
      <c r="AY70" s="50">
        <f t="shared" si="179"/>
        <v>8141879.1720645633</v>
      </c>
      <c r="AZ70" s="127">
        <f t="shared" si="179"/>
        <v>6143930.2720645629</v>
      </c>
      <c r="BA70" s="127">
        <f t="shared" si="179"/>
        <v>10500617.862064563</v>
      </c>
      <c r="BB70" s="127">
        <f t="shared" si="179"/>
        <v>14644081.872064563</v>
      </c>
      <c r="BC70" s="127">
        <f t="shared" si="179"/>
        <v>18029288.402064562</v>
      </c>
      <c r="BD70" s="127">
        <f t="shared" si="179"/>
        <v>11540972.062064562</v>
      </c>
      <c r="BE70" s="127">
        <f t="shared" si="179"/>
        <v>9477201.4020645618</v>
      </c>
      <c r="BF70" s="127">
        <f t="shared" si="179"/>
        <v>5769416.272064562</v>
      </c>
      <c r="BG70" s="127">
        <f t="shared" si="179"/>
        <v>3415611.2520645619</v>
      </c>
      <c r="BH70" s="127">
        <f t="shared" si="179"/>
        <v>657937.75206456194</v>
      </c>
      <c r="BI70" s="127">
        <f t="shared" si="179"/>
        <v>-626156.37793543818</v>
      </c>
      <c r="BJ70" s="127">
        <f t="shared" si="179"/>
        <v>695436.4620645619</v>
      </c>
      <c r="BK70" s="127">
        <f t="shared" si="179"/>
        <v>3994722.9220645619</v>
      </c>
      <c r="BL70" s="127">
        <f t="shared" si="179"/>
        <v>8667182.0120645612</v>
      </c>
      <c r="BM70" s="127">
        <f t="shared" si="179"/>
        <v>13554048.442064561</v>
      </c>
      <c r="BN70" s="127">
        <f t="shared" si="179"/>
        <v>18505601.30206456</v>
      </c>
      <c r="BO70" s="127">
        <f t="shared" si="179"/>
        <v>22814355.772064559</v>
      </c>
      <c r="BP70" s="127">
        <f t="shared" si="179"/>
        <v>11307013.272064559</v>
      </c>
      <c r="BQ70" s="127">
        <f t="shared" si="179"/>
        <v>7704419.2820645589</v>
      </c>
      <c r="BR70" s="159">
        <v>1503462.33</v>
      </c>
      <c r="BS70" s="127">
        <f>ROUND(+BR78,2)</f>
        <v>-6183149.46</v>
      </c>
      <c r="BT70" s="127">
        <f t="shared" ref="BT70:EE70" si="180">ROUND(+BS78,2)</f>
        <v>-5000919.9800000004</v>
      </c>
      <c r="BU70" s="127">
        <f t="shared" si="180"/>
        <v>-5614088.7800000003</v>
      </c>
      <c r="BV70" s="127">
        <f t="shared" si="180"/>
        <v>-7281013.5599999996</v>
      </c>
      <c r="BW70" s="127">
        <f t="shared" si="180"/>
        <v>-3392870.63</v>
      </c>
      <c r="BX70" s="127">
        <f t="shared" si="180"/>
        <v>1711998.95</v>
      </c>
      <c r="BY70" s="127">
        <f t="shared" si="180"/>
        <v>7915220.7400000002</v>
      </c>
      <c r="BZ70" s="127">
        <f t="shared" si="180"/>
        <v>14019578.050000001</v>
      </c>
      <c r="CA70" s="127">
        <f t="shared" si="180"/>
        <v>19143605.91</v>
      </c>
      <c r="CB70" s="127">
        <f t="shared" si="180"/>
        <v>13886149.810000001</v>
      </c>
      <c r="CC70" s="127">
        <f t="shared" si="180"/>
        <v>12186223.99</v>
      </c>
      <c r="CD70" s="127">
        <f t="shared" si="180"/>
        <v>7202820.2199999997</v>
      </c>
      <c r="CE70" s="127">
        <f t="shared" si="180"/>
        <v>829214.1</v>
      </c>
      <c r="CF70" s="127">
        <f t="shared" si="180"/>
        <v>-2077507.92</v>
      </c>
      <c r="CG70" s="127">
        <f t="shared" si="180"/>
        <v>-6182522.1600000001</v>
      </c>
      <c r="CH70" s="127">
        <f t="shared" si="180"/>
        <v>-6665349.9800000004</v>
      </c>
      <c r="CI70" s="127">
        <f t="shared" si="180"/>
        <v>-2817107.44</v>
      </c>
      <c r="CJ70" s="127">
        <f t="shared" si="180"/>
        <v>1628558.77</v>
      </c>
      <c r="CK70" s="127">
        <f t="shared" si="180"/>
        <v>7685713.8799999999</v>
      </c>
      <c r="CL70" s="127">
        <f t="shared" si="180"/>
        <v>13263418.949999999</v>
      </c>
      <c r="CM70" s="127">
        <f t="shared" si="180"/>
        <v>19750679.460000001</v>
      </c>
      <c r="CN70" s="127">
        <f t="shared" si="180"/>
        <v>14348846.65</v>
      </c>
      <c r="CO70" s="127">
        <f t="shared" si="180"/>
        <v>14803911.35</v>
      </c>
      <c r="CP70" s="127">
        <f t="shared" si="180"/>
        <v>7233570.6699999999</v>
      </c>
      <c r="CQ70" s="127">
        <f t="shared" si="180"/>
        <v>1251613.48</v>
      </c>
      <c r="CR70" s="127">
        <f t="shared" si="180"/>
        <v>-1871992.83</v>
      </c>
      <c r="CS70" s="127">
        <f t="shared" si="180"/>
        <v>-4970628.6900000004</v>
      </c>
      <c r="CT70" s="127">
        <f t="shared" si="180"/>
        <v>-3810468.23</v>
      </c>
      <c r="CU70" s="127">
        <f t="shared" si="180"/>
        <v>370044.73</v>
      </c>
      <c r="CV70" s="127">
        <f t="shared" si="180"/>
        <v>2976301.14</v>
      </c>
      <c r="CW70" s="127">
        <f t="shared" si="180"/>
        <v>9177086.0500000007</v>
      </c>
      <c r="CX70" s="127">
        <f t="shared" si="180"/>
        <v>14606652.279999999</v>
      </c>
      <c r="CY70" s="127">
        <f t="shared" si="180"/>
        <v>19970773.25</v>
      </c>
      <c r="CZ70" s="127">
        <f t="shared" si="180"/>
        <v>13233601.25</v>
      </c>
      <c r="DA70" s="127">
        <f t="shared" si="180"/>
        <v>11026504.630000001</v>
      </c>
      <c r="DB70" s="127">
        <f t="shared" si="180"/>
        <v>3767836.86</v>
      </c>
      <c r="DC70" s="127">
        <f t="shared" si="180"/>
        <v>3110581.82</v>
      </c>
      <c r="DD70" s="127">
        <f t="shared" si="180"/>
        <v>2964627.24</v>
      </c>
      <c r="DE70" s="127">
        <f t="shared" si="180"/>
        <v>2725763.85</v>
      </c>
      <c r="DF70" s="127">
        <f t="shared" si="180"/>
        <v>3476120.39</v>
      </c>
      <c r="DG70" s="127">
        <f t="shared" si="180"/>
        <v>6197076.4500000002</v>
      </c>
      <c r="DH70" s="127">
        <f t="shared" si="180"/>
        <v>10777915.380000001</v>
      </c>
      <c r="DI70" s="127">
        <f t="shared" si="180"/>
        <v>16619058.17</v>
      </c>
      <c r="DJ70" s="127">
        <f t="shared" si="180"/>
        <v>21568756.870000001</v>
      </c>
      <c r="DK70" s="127">
        <f t="shared" si="180"/>
        <v>26763111</v>
      </c>
      <c r="DL70" s="139">
        <f t="shared" si="180"/>
        <v>29201197.93</v>
      </c>
      <c r="DM70" s="139">
        <f t="shared" si="180"/>
        <v>10010392.359999999</v>
      </c>
      <c r="DN70" s="139">
        <f t="shared" si="180"/>
        <v>5076255.26</v>
      </c>
      <c r="DO70" s="139">
        <f t="shared" si="180"/>
        <v>-608500.51</v>
      </c>
      <c r="DP70" s="139">
        <f t="shared" si="180"/>
        <v>-5622920.6799999997</v>
      </c>
      <c r="DQ70" s="139">
        <f t="shared" si="180"/>
        <v>-8274598.5300000003</v>
      </c>
      <c r="DR70" s="139">
        <f t="shared" si="180"/>
        <v>-10434879.529999999</v>
      </c>
      <c r="DS70" s="139">
        <f t="shared" si="180"/>
        <v>-9000140.7100000009</v>
      </c>
      <c r="DT70" s="139">
        <f t="shared" si="180"/>
        <v>-4881008.8600000003</v>
      </c>
      <c r="DU70" s="139">
        <f t="shared" si="180"/>
        <v>1070838.73</v>
      </c>
      <c r="DV70" s="139">
        <f t="shared" si="180"/>
        <v>6048401.96</v>
      </c>
      <c r="DW70" s="139">
        <f t="shared" si="180"/>
        <v>6370851.0199999996</v>
      </c>
      <c r="DX70" s="139">
        <f t="shared" si="180"/>
        <v>8229609.21</v>
      </c>
      <c r="DY70" s="139">
        <f t="shared" si="180"/>
        <v>2336291.64</v>
      </c>
      <c r="DZ70" s="139">
        <f t="shared" si="180"/>
        <v>-4340949.49</v>
      </c>
      <c r="EA70" s="139">
        <f t="shared" si="180"/>
        <v>-12381228.109999999</v>
      </c>
      <c r="EB70" s="139">
        <f t="shared" si="180"/>
        <v>-17594177.530000001</v>
      </c>
      <c r="EC70" s="139">
        <f t="shared" si="180"/>
        <v>-24187297.899999999</v>
      </c>
      <c r="ED70" s="139">
        <f t="shared" si="180"/>
        <v>-23825985.899999999</v>
      </c>
      <c r="EE70" s="139">
        <f t="shared" si="180"/>
        <v>-21271461.579999998</v>
      </c>
      <c r="EF70" s="139">
        <f t="shared" ref="EF70:GQ70" si="181">ROUND(+EE78,2)</f>
        <v>-17174306.859999999</v>
      </c>
      <c r="EG70" s="139">
        <f t="shared" si="181"/>
        <v>-11635496.6</v>
      </c>
      <c r="EH70" s="139">
        <f t="shared" si="181"/>
        <v>-5613092.3700000001</v>
      </c>
      <c r="EI70" s="139">
        <f t="shared" si="181"/>
        <v>-337628.92</v>
      </c>
      <c r="EJ70" s="139">
        <f t="shared" si="181"/>
        <v>861777.57</v>
      </c>
      <c r="EK70" s="139">
        <f t="shared" si="181"/>
        <v>-1870320.56</v>
      </c>
      <c r="EL70" s="139">
        <f t="shared" si="181"/>
        <v>-8416253.8300000001</v>
      </c>
      <c r="EM70" s="139">
        <f t="shared" si="181"/>
        <v>-17908154.890000001</v>
      </c>
      <c r="EN70" s="139">
        <f t="shared" si="181"/>
        <v>-22407046.52</v>
      </c>
      <c r="EO70" s="139">
        <f t="shared" si="181"/>
        <v>-24081421.309999999</v>
      </c>
      <c r="EP70" s="139">
        <f t="shared" si="181"/>
        <v>-23994087.600000001</v>
      </c>
      <c r="EQ70" s="139">
        <f t="shared" si="181"/>
        <v>-20045520.300000001</v>
      </c>
      <c r="ER70" s="139">
        <f t="shared" si="181"/>
        <v>-14246754.1</v>
      </c>
      <c r="ES70" s="139">
        <f t="shared" si="181"/>
        <v>-7547667.3399999999</v>
      </c>
      <c r="ET70" s="139">
        <f t="shared" si="181"/>
        <v>-526099.24</v>
      </c>
      <c r="EU70" s="139">
        <f t="shared" si="181"/>
        <v>4766846.78</v>
      </c>
      <c r="EV70" s="139">
        <f t="shared" si="181"/>
        <v>5260686.53</v>
      </c>
      <c r="EW70" s="139">
        <f t="shared" si="181"/>
        <v>2151287.27</v>
      </c>
      <c r="EX70" s="139">
        <f t="shared" si="181"/>
        <v>-7362405.4299999997</v>
      </c>
      <c r="EY70" s="139">
        <f t="shared" si="181"/>
        <v>-14433551.67</v>
      </c>
      <c r="EZ70" s="139">
        <f t="shared" si="181"/>
        <v>-22077829.420000002</v>
      </c>
      <c r="FA70" s="139">
        <f t="shared" si="181"/>
        <v>-24539980.68</v>
      </c>
      <c r="FB70" s="139">
        <f t="shared" si="181"/>
        <v>-23444566.859999999</v>
      </c>
      <c r="FC70" s="139">
        <f t="shared" si="181"/>
        <v>-20385273.760000002</v>
      </c>
      <c r="FD70" s="139">
        <f t="shared" si="181"/>
        <v>-14837726.08</v>
      </c>
      <c r="FE70" s="139">
        <f t="shared" si="181"/>
        <v>-8469001.5500000007</v>
      </c>
      <c r="FF70" s="139">
        <f t="shared" si="181"/>
        <v>-2017902.33</v>
      </c>
      <c r="FG70" s="139">
        <f t="shared" si="181"/>
        <v>3815542.96</v>
      </c>
      <c r="FH70" s="139">
        <f t="shared" si="181"/>
        <v>7366194.6699999999</v>
      </c>
      <c r="FI70" s="139">
        <f t="shared" si="181"/>
        <v>3703443.97</v>
      </c>
      <c r="FJ70" s="139">
        <f t="shared" si="181"/>
        <v>-690244.91</v>
      </c>
      <c r="FK70" s="139">
        <f t="shared" si="181"/>
        <v>-3947216.53</v>
      </c>
      <c r="FL70" s="139">
        <f t="shared" si="181"/>
        <v>-4959661.24</v>
      </c>
      <c r="FM70" s="139">
        <f t="shared" si="181"/>
        <v>-4754414.43</v>
      </c>
      <c r="FN70" s="139">
        <f t="shared" si="181"/>
        <v>-4048870.01</v>
      </c>
      <c r="FO70" s="139">
        <f t="shared" si="181"/>
        <v>86784.05</v>
      </c>
      <c r="FP70" s="139">
        <f t="shared" si="181"/>
        <v>5814613.9900000002</v>
      </c>
      <c r="FQ70" s="139">
        <f t="shared" si="181"/>
        <v>10972834.76</v>
      </c>
      <c r="FR70" s="139">
        <f t="shared" si="181"/>
        <v>15960040.77</v>
      </c>
      <c r="FS70" s="139">
        <f t="shared" si="181"/>
        <v>23824579.530000001</v>
      </c>
      <c r="FT70" s="139">
        <f t="shared" si="181"/>
        <v>27234431.710000001</v>
      </c>
      <c r="FU70" s="139">
        <f t="shared" si="181"/>
        <v>15794015.01</v>
      </c>
      <c r="FV70" s="139">
        <f t="shared" si="181"/>
        <v>10034409.93</v>
      </c>
      <c r="FW70" s="139">
        <f t="shared" si="181"/>
        <v>4238992.45</v>
      </c>
      <c r="FX70" s="139">
        <f t="shared" si="181"/>
        <v>2541998</v>
      </c>
      <c r="FY70" s="139">
        <f t="shared" si="181"/>
        <v>1324879.3799999999</v>
      </c>
      <c r="FZ70" s="139">
        <f t="shared" si="181"/>
        <v>3706753.43</v>
      </c>
      <c r="GA70" s="139">
        <f t="shared" si="181"/>
        <v>7960029.9400000004</v>
      </c>
      <c r="GB70" s="139">
        <f t="shared" si="181"/>
        <v>13218821.789999999</v>
      </c>
      <c r="GC70" s="139">
        <f t="shared" si="181"/>
        <v>19058582.629999999</v>
      </c>
      <c r="GD70" s="139">
        <f t="shared" si="181"/>
        <v>25541747.66</v>
      </c>
      <c r="GE70" s="139">
        <f t="shared" si="181"/>
        <v>30439276.719999999</v>
      </c>
      <c r="GF70" s="139">
        <f t="shared" si="181"/>
        <v>32727247.800000001</v>
      </c>
      <c r="GG70" s="139">
        <f t="shared" si="181"/>
        <v>15321503.060000001</v>
      </c>
      <c r="GH70" s="139">
        <f t="shared" si="181"/>
        <v>6595868.7699999996</v>
      </c>
      <c r="GI70" s="139">
        <f t="shared" si="181"/>
        <v>-3451783.86</v>
      </c>
      <c r="GJ70" s="139">
        <f t="shared" si="181"/>
        <v>-10044571.9</v>
      </c>
      <c r="GK70" s="139">
        <f t="shared" si="181"/>
        <v>-14028382.51</v>
      </c>
      <c r="GL70" s="139">
        <f t="shared" si="181"/>
        <v>-15074048.130000001</v>
      </c>
      <c r="GM70" s="139">
        <f t="shared" si="181"/>
        <v>-12725871.98</v>
      </c>
      <c r="GN70" s="139">
        <f t="shared" si="181"/>
        <v>-7350443.2800000003</v>
      </c>
      <c r="GO70" s="139">
        <f t="shared" si="181"/>
        <v>-1431686.12</v>
      </c>
      <c r="GP70" s="139">
        <f t="shared" si="181"/>
        <v>4707235.2300000004</v>
      </c>
      <c r="GQ70" s="139">
        <f t="shared" si="181"/>
        <v>9929333.4700000007</v>
      </c>
      <c r="GR70" s="139">
        <f t="shared" ref="GR70:JO70" si="182">ROUND(+GQ78,2)</f>
        <v>10966404.59</v>
      </c>
      <c r="GS70" s="139">
        <f t="shared" si="182"/>
        <v>8424517.2200000007</v>
      </c>
      <c r="GT70" s="139">
        <f t="shared" si="182"/>
        <v>630515.52</v>
      </c>
      <c r="GU70" s="139">
        <f t="shared" si="182"/>
        <v>-4216486.12</v>
      </c>
      <c r="GV70" s="139">
        <f t="shared" si="182"/>
        <v>-10216957.43</v>
      </c>
      <c r="GW70" s="139">
        <f t="shared" si="182"/>
        <v>-13686696.32</v>
      </c>
      <c r="GX70" s="139">
        <f t="shared" si="182"/>
        <v>-13931829.720000001</v>
      </c>
      <c r="GY70" s="139">
        <f t="shared" si="182"/>
        <v>-9169059.7300000004</v>
      </c>
      <c r="GZ70" s="139">
        <f t="shared" si="182"/>
        <v>-4155658.75</v>
      </c>
      <c r="HA70" s="139">
        <f t="shared" si="182"/>
        <v>2398821.84</v>
      </c>
      <c r="HB70" s="139">
        <f t="shared" si="182"/>
        <v>8411939.8100000005</v>
      </c>
      <c r="HC70" s="139">
        <f t="shared" si="182"/>
        <v>13780230.35</v>
      </c>
      <c r="HD70" s="139">
        <f t="shared" si="182"/>
        <v>15254201.15</v>
      </c>
      <c r="HE70" s="139">
        <f t="shared" si="182"/>
        <v>13727081.83</v>
      </c>
      <c r="HF70" s="139">
        <f t="shared" si="182"/>
        <v>6663061.3300000001</v>
      </c>
      <c r="HG70" s="139">
        <f t="shared" si="182"/>
        <v>1535552.73</v>
      </c>
      <c r="HH70" s="139">
        <f t="shared" si="182"/>
        <v>-8072797.7599999998</v>
      </c>
      <c r="HI70" s="139">
        <f t="shared" si="182"/>
        <v>-10829832.539999999</v>
      </c>
      <c r="HJ70" s="139">
        <f t="shared" si="182"/>
        <v>-10307200.23</v>
      </c>
      <c r="HK70" s="139">
        <f t="shared" si="182"/>
        <v>-6287475.8799999999</v>
      </c>
      <c r="HL70" s="139">
        <f t="shared" si="182"/>
        <v>-812306.82</v>
      </c>
      <c r="HM70" s="139">
        <f t="shared" si="182"/>
        <v>5151877.28</v>
      </c>
      <c r="HN70" s="139">
        <f t="shared" si="182"/>
        <v>11379637.699999999</v>
      </c>
      <c r="HO70" s="139">
        <f t="shared" si="182"/>
        <v>16414945.93</v>
      </c>
      <c r="HP70" s="139">
        <f t="shared" si="182"/>
        <v>15982178.32</v>
      </c>
      <c r="HQ70" s="139">
        <f t="shared" si="182"/>
        <v>13192998.52</v>
      </c>
      <c r="HR70" s="139">
        <f t="shared" si="182"/>
        <v>5831506.6799999997</v>
      </c>
      <c r="HS70" s="139">
        <f t="shared" si="182"/>
        <v>-1504160.38</v>
      </c>
      <c r="HT70" s="139">
        <f t="shared" si="182"/>
        <v>-7730459.1299999999</v>
      </c>
      <c r="HU70" s="139">
        <f t="shared" si="182"/>
        <v>-12940519.84</v>
      </c>
      <c r="HV70" s="139">
        <f t="shared" si="182"/>
        <v>-12580368.93</v>
      </c>
      <c r="HW70" s="139">
        <f t="shared" si="182"/>
        <v>-8232849.2400000002</v>
      </c>
      <c r="HX70" s="139">
        <f t="shared" si="182"/>
        <v>-3291147.28</v>
      </c>
      <c r="HY70" s="139">
        <f t="shared" si="182"/>
        <v>3521847.31</v>
      </c>
      <c r="HZ70" s="139">
        <f t="shared" si="182"/>
        <v>10626618.17</v>
      </c>
      <c r="IA70" s="139">
        <f t="shared" si="182"/>
        <v>16838938.699999999</v>
      </c>
      <c r="IB70" s="139">
        <f t="shared" si="182"/>
        <v>18801089.120000001</v>
      </c>
      <c r="IC70" s="139">
        <f t="shared" si="182"/>
        <v>12313441.07</v>
      </c>
      <c r="ID70" s="139">
        <f t="shared" si="182"/>
        <v>5803339.4000000004</v>
      </c>
      <c r="IE70" s="139">
        <f t="shared" si="182"/>
        <v>-752662.69</v>
      </c>
      <c r="IF70" s="139">
        <f t="shared" si="182"/>
        <v>-8913946.4900000002</v>
      </c>
      <c r="IG70" s="139">
        <f t="shared" si="182"/>
        <v>-14113523.449999999</v>
      </c>
      <c r="IH70" s="139">
        <f t="shared" si="182"/>
        <v>-13853508.16</v>
      </c>
      <c r="II70" s="139">
        <f t="shared" si="182"/>
        <v>-9991213.8200000003</v>
      </c>
      <c r="IJ70" s="139">
        <f t="shared" si="182"/>
        <v>-4058110.54</v>
      </c>
      <c r="IK70" s="139">
        <f t="shared" si="182"/>
        <v>3196593.87</v>
      </c>
      <c r="IL70" s="139">
        <f t="shared" si="182"/>
        <v>10103136.710000001</v>
      </c>
      <c r="IM70" s="139">
        <f t="shared" si="182"/>
        <v>15748718.609999999</v>
      </c>
      <c r="IN70" s="139">
        <f t="shared" si="182"/>
        <v>16454483.41</v>
      </c>
      <c r="IO70" s="139">
        <f t="shared" si="182"/>
        <v>13684726.25</v>
      </c>
      <c r="IP70" s="139">
        <f t="shared" si="182"/>
        <v>4806904.46</v>
      </c>
      <c r="IQ70" s="139">
        <f t="shared" si="182"/>
        <v>-3504175.46</v>
      </c>
      <c r="IR70" s="139">
        <f t="shared" si="182"/>
        <v>-8979006.7599999998</v>
      </c>
      <c r="IS70" s="139">
        <f t="shared" si="182"/>
        <v>-11838694.369999999</v>
      </c>
      <c r="IT70" s="139">
        <f t="shared" si="182"/>
        <v>-14044453.26</v>
      </c>
      <c r="IU70" s="139">
        <f t="shared" si="182"/>
        <v>-11687134.59</v>
      </c>
      <c r="IV70" s="139">
        <f t="shared" si="182"/>
        <v>-6139282.96</v>
      </c>
      <c r="IW70" s="139">
        <f t="shared" si="182"/>
        <v>707112.16</v>
      </c>
      <c r="IX70" s="139">
        <f t="shared" si="182"/>
        <v>8370456.3799999999</v>
      </c>
      <c r="IY70" s="139">
        <f t="shared" ref="IY70" si="183">ROUND(+IX78,2)</f>
        <v>15095380.27</v>
      </c>
      <c r="IZ70" s="139">
        <f t="shared" ref="IZ70" si="184">ROUND(+IY78,2)</f>
        <v>19001609.949999999</v>
      </c>
      <c r="JA70" s="139">
        <f t="shared" ref="JA70" si="185">ROUND(+IZ78,2)</f>
        <v>11789960.24</v>
      </c>
      <c r="JB70" s="139">
        <f t="shared" ref="JB70" si="186">ROUND(+JA78,2)</f>
        <v>1611996.94</v>
      </c>
      <c r="JC70" s="139">
        <f t="shared" ref="JC70" si="187">ROUND(+JB78,2)</f>
        <v>-5890534.25</v>
      </c>
      <c r="JD70" s="139">
        <f t="shared" ref="JD70" si="188">ROUND(+JC78,2)</f>
        <v>-13804526.9</v>
      </c>
      <c r="JE70" s="139">
        <f t="shared" ref="JE70" si="189">ROUND(+JD78,2)</f>
        <v>-20096821.870000001</v>
      </c>
      <c r="JF70" s="139">
        <f t="shared" ref="JF70" si="190">ROUND(+JE78,2)</f>
        <v>-23190809.440000001</v>
      </c>
      <c r="JG70" s="139">
        <f t="shared" ref="JG70" si="191">ROUND(+JF78,2)</f>
        <v>-19044539.989999998</v>
      </c>
      <c r="JH70" s="139">
        <f t="shared" ref="JH70" si="192">ROUND(+JG78,2)</f>
        <v>-13968127.109999999</v>
      </c>
      <c r="JI70" s="139">
        <f t="shared" ref="JI70" si="193">ROUND(+JH78,2)</f>
        <v>-7533857.9500000002</v>
      </c>
      <c r="JJ70" s="139">
        <f t="shared" ref="JJ70" si="194">ROUND(+JI78,2)</f>
        <v>-1240310.6399999999</v>
      </c>
      <c r="JK70" s="139">
        <f>ROUND(+JJ78,2)</f>
        <v>3824726.65</v>
      </c>
      <c r="JL70" s="139">
        <f t="shared" si="182"/>
        <v>4623638.66</v>
      </c>
      <c r="JM70" s="139">
        <f t="shared" si="182"/>
        <v>372845.16</v>
      </c>
      <c r="JN70" s="139">
        <f t="shared" si="182"/>
        <v>-4342148.03</v>
      </c>
      <c r="JO70" s="139">
        <f t="shared" si="182"/>
        <v>-13022883.1</v>
      </c>
      <c r="JP70" s="139">
        <f t="shared" ref="JP70:JU70" si="195">ROUND(+JO78,2)</f>
        <v>-18428937.199999999</v>
      </c>
      <c r="JQ70" s="139">
        <f t="shared" si="195"/>
        <v>-22850362.41</v>
      </c>
      <c r="JR70" s="139">
        <f t="shared" si="195"/>
        <v>-23872910.100000001</v>
      </c>
      <c r="JS70" s="139">
        <f t="shared" si="195"/>
        <v>-21192930.390000001</v>
      </c>
      <c r="JT70" s="139">
        <f t="shared" si="195"/>
        <v>-16669302.970000001</v>
      </c>
      <c r="JU70" s="139">
        <f t="shared" si="195"/>
        <v>-10214705.710000001</v>
      </c>
      <c r="JV70" s="632"/>
      <c r="JW70" s="414"/>
      <c r="JX70" s="414"/>
      <c r="JY70" s="414"/>
      <c r="JZ70" s="414"/>
      <c r="KA70" s="414"/>
      <c r="KB70" s="414"/>
      <c r="KC70" s="414"/>
      <c r="KD70" s="414"/>
      <c r="KE70" s="414"/>
      <c r="KF70" s="414"/>
      <c r="KG70" s="414"/>
      <c r="KH70" s="414"/>
      <c r="KI70" s="633"/>
    </row>
    <row r="71" spans="1:295" x14ac:dyDescent="0.2">
      <c r="B71" s="24" t="s">
        <v>105</v>
      </c>
      <c r="D71" s="141"/>
      <c r="E71" s="142">
        <v>-6500000</v>
      </c>
      <c r="F71" s="141"/>
      <c r="G71" s="141"/>
      <c r="H71" s="141"/>
      <c r="I71" s="141"/>
      <c r="J71" s="141"/>
      <c r="K71" s="141"/>
      <c r="L71" s="141"/>
      <c r="M71" s="141"/>
      <c r="N71" s="141"/>
      <c r="O71" s="141"/>
      <c r="P71" s="141"/>
      <c r="Q71" s="141"/>
      <c r="R71" s="141"/>
      <c r="S71" s="141"/>
      <c r="T71" s="141"/>
      <c r="U71" s="141"/>
      <c r="V71" s="141">
        <v>5000000</v>
      </c>
      <c r="W71" s="141"/>
      <c r="X71" s="141"/>
      <c r="Y71" s="142">
        <v>-1488952.16</v>
      </c>
      <c r="Z71" s="141"/>
      <c r="AA71" s="141"/>
      <c r="AB71" s="141"/>
      <c r="AC71" s="141"/>
      <c r="AD71" s="141"/>
      <c r="AE71" s="142">
        <v>-5785467.3200000003</v>
      </c>
      <c r="AF71" s="141"/>
      <c r="AG71" s="141"/>
      <c r="AH71" s="141"/>
      <c r="AI71" s="141"/>
      <c r="AJ71" s="141"/>
      <c r="AK71" s="141"/>
      <c r="AL71" s="141"/>
      <c r="AM71" s="141"/>
      <c r="AN71" s="141"/>
      <c r="AO71" s="141"/>
      <c r="AP71" s="141"/>
      <c r="AQ71" s="142">
        <v>-5311645.1048799818</v>
      </c>
      <c r="AR71" s="141"/>
      <c r="AS71" s="141"/>
      <c r="AT71" s="141"/>
      <c r="AU71" s="141"/>
      <c r="AV71" s="141"/>
      <c r="AW71" s="141"/>
      <c r="AX71" s="141"/>
      <c r="AY71" s="141"/>
      <c r="AZ71" s="139"/>
      <c r="BA71" s="139"/>
      <c r="BB71" s="139"/>
      <c r="BC71" s="143">
        <v>-8616943</v>
      </c>
      <c r="BD71" s="139"/>
      <c r="BE71" s="139"/>
      <c r="BF71" s="139"/>
      <c r="BG71" s="139"/>
      <c r="BH71" s="139"/>
      <c r="BI71" s="139"/>
      <c r="BJ71" s="139"/>
      <c r="BK71" s="139"/>
      <c r="BL71" s="139"/>
      <c r="BM71" s="139"/>
      <c r="BN71" s="143">
        <v>0</v>
      </c>
      <c r="BO71" s="143">
        <v>-12049393</v>
      </c>
      <c r="BP71" s="139"/>
      <c r="BQ71" s="139"/>
      <c r="BR71" s="127"/>
      <c r="BS71" s="139"/>
      <c r="BT71" s="139"/>
      <c r="BU71" s="139"/>
      <c r="BV71" s="139"/>
      <c r="BW71" s="139"/>
      <c r="BX71" s="139"/>
      <c r="BY71" s="139"/>
      <c r="BZ71" s="139"/>
      <c r="CA71" s="147">
        <v>-6825775</v>
      </c>
      <c r="CB71" s="139"/>
      <c r="CC71" s="139"/>
      <c r="CD71" s="139"/>
      <c r="CE71" s="139"/>
      <c r="CF71" s="139"/>
      <c r="CG71" s="139"/>
      <c r="CH71" s="139"/>
      <c r="CI71" s="139"/>
      <c r="CJ71" s="139"/>
      <c r="CK71" s="139"/>
      <c r="CL71" s="139"/>
      <c r="CM71" s="143">
        <v>-8083680</v>
      </c>
      <c r="CN71" s="139"/>
      <c r="CO71" s="127"/>
      <c r="CP71" s="139"/>
      <c r="CQ71" s="139"/>
      <c r="CR71" s="139"/>
      <c r="CS71" s="139"/>
      <c r="CT71" s="139"/>
      <c r="CU71" s="139"/>
      <c r="CV71" s="139"/>
      <c r="CW71" s="139"/>
      <c r="CX71" s="139"/>
      <c r="CY71" s="143">
        <v>-7939606</v>
      </c>
      <c r="CZ71" s="139"/>
      <c r="DA71" s="139"/>
      <c r="DB71" s="139"/>
      <c r="DC71" s="139"/>
      <c r="DD71" s="139"/>
      <c r="DE71" s="139"/>
      <c r="DF71" s="139"/>
      <c r="DG71" s="127"/>
      <c r="DH71" s="139"/>
      <c r="DI71" s="139"/>
      <c r="DJ71" s="139"/>
      <c r="DK71" s="139"/>
      <c r="DL71" s="145">
        <v>-15724253</v>
      </c>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45">
        <v>-8686364</v>
      </c>
      <c r="FU71" s="139"/>
      <c r="FV71" s="139"/>
      <c r="FW71" s="139"/>
      <c r="FX71" s="139"/>
      <c r="FY71" s="139"/>
      <c r="FZ71" s="139"/>
      <c r="GA71" s="139"/>
      <c r="GB71" s="139"/>
      <c r="GC71" s="139"/>
      <c r="GD71" s="139"/>
      <c r="GE71" s="139"/>
      <c r="GF71" s="145">
        <v>-17453921</v>
      </c>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76">
        <v>-2381885.2999999998</v>
      </c>
      <c r="IC71" s="139"/>
      <c r="ID71" s="139"/>
      <c r="IE71" s="139"/>
      <c r="IF71" s="139"/>
      <c r="IG71" s="139"/>
      <c r="IH71" s="139"/>
      <c r="II71" s="139"/>
      <c r="IJ71" s="139"/>
      <c r="IK71" s="139"/>
      <c r="IL71" s="139"/>
      <c r="IM71" s="139"/>
      <c r="IN71" s="145">
        <v>-383526.23</v>
      </c>
      <c r="IO71" s="139"/>
      <c r="IP71" s="139"/>
      <c r="IQ71" s="139"/>
      <c r="IR71" s="139"/>
      <c r="IS71" s="139"/>
      <c r="IT71" s="139"/>
      <c r="IU71" s="139"/>
      <c r="IV71" s="139"/>
      <c r="IW71" s="139"/>
      <c r="IX71" s="139"/>
      <c r="IY71" s="139"/>
      <c r="IZ71" s="176">
        <v>-312102.83</v>
      </c>
      <c r="JA71" s="139"/>
      <c r="JB71" s="139"/>
      <c r="JC71" s="139"/>
      <c r="JD71" s="139"/>
      <c r="JE71" s="139"/>
      <c r="JF71" s="139"/>
      <c r="JG71" s="139"/>
      <c r="JH71" s="139"/>
      <c r="JI71" s="139"/>
      <c r="JJ71" s="139"/>
      <c r="JK71" s="370"/>
      <c r="JL71" s="370"/>
      <c r="JM71" s="139"/>
      <c r="JN71" s="139"/>
      <c r="JO71" s="139"/>
      <c r="JP71" s="139"/>
      <c r="JQ71" s="139"/>
      <c r="JR71" s="139"/>
      <c r="JS71" s="139"/>
      <c r="JT71" s="139"/>
      <c r="JU71" s="139"/>
      <c r="JV71" s="632"/>
      <c r="JW71" s="414"/>
      <c r="JX71" s="414"/>
      <c r="JY71" s="414"/>
      <c r="JZ71" s="414"/>
      <c r="KA71" s="414"/>
      <c r="KB71" s="414"/>
      <c r="KC71" s="414"/>
      <c r="KD71" s="414"/>
      <c r="KE71" s="414"/>
      <c r="KF71" s="414"/>
      <c r="KG71" s="414"/>
      <c r="KH71" s="414"/>
      <c r="KI71" s="633"/>
    </row>
    <row r="72" spans="1:295" hidden="1" x14ac:dyDescent="0.2">
      <c r="B72" s="24" t="s">
        <v>123</v>
      </c>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2"/>
      <c r="AF72" s="141"/>
      <c r="AG72" s="141"/>
      <c r="AH72" s="141"/>
      <c r="AI72" s="141"/>
      <c r="AJ72" s="141"/>
      <c r="AK72" s="141"/>
      <c r="AL72" s="141"/>
      <c r="AM72" s="141"/>
      <c r="AN72" s="141"/>
      <c r="AO72" s="141"/>
      <c r="AP72" s="141"/>
      <c r="AQ72" s="142"/>
      <c r="AR72" s="141"/>
      <c r="AS72" s="141"/>
      <c r="AT72" s="141"/>
      <c r="AU72" s="141"/>
      <c r="AV72" s="141"/>
      <c r="AW72" s="141"/>
      <c r="AX72" s="141"/>
      <c r="AY72" s="142">
        <v>-5531970</v>
      </c>
      <c r="AZ72" s="139"/>
      <c r="BA72" s="139"/>
      <c r="BB72" s="143">
        <v>-93681</v>
      </c>
      <c r="BC72" s="177"/>
      <c r="BD72" s="139"/>
      <c r="BE72" s="139"/>
      <c r="BF72" s="139"/>
      <c r="BG72" s="139"/>
      <c r="BH72" s="139"/>
      <c r="BI72" s="143">
        <v>-8899</v>
      </c>
      <c r="BJ72" s="139"/>
      <c r="BK72" s="139"/>
      <c r="BL72" s="139"/>
      <c r="BM72" s="139"/>
      <c r="BN72" s="139"/>
      <c r="BO72" s="139"/>
      <c r="BP72" s="139"/>
      <c r="BQ72" s="139"/>
      <c r="BR72" s="127"/>
      <c r="BS72" s="139"/>
      <c r="BT72" s="139"/>
      <c r="BU72" s="139"/>
      <c r="BV72" s="139"/>
      <c r="BW72" s="139"/>
      <c r="BX72" s="139"/>
      <c r="BY72" s="139"/>
      <c r="BZ72" s="139"/>
      <c r="CA72" s="147">
        <v>0</v>
      </c>
      <c r="CB72" s="139"/>
      <c r="CC72" s="139"/>
      <c r="CD72" s="139"/>
      <c r="CE72" s="139"/>
      <c r="CF72" s="139"/>
      <c r="CG72" s="139"/>
      <c r="CH72" s="139"/>
      <c r="CI72" s="139"/>
      <c r="CJ72" s="139"/>
      <c r="CK72" s="139"/>
      <c r="CL72" s="139"/>
      <c r="CM72" s="139"/>
      <c r="CN72" s="139"/>
      <c r="CO72" s="127"/>
      <c r="CP72" s="139"/>
      <c r="CQ72" s="139"/>
      <c r="CR72" s="139"/>
      <c r="CS72" s="139"/>
      <c r="CT72" s="139"/>
      <c r="CU72" s="143">
        <v>-1997732</v>
      </c>
      <c r="CV72" s="139"/>
      <c r="CW72" s="139"/>
      <c r="CX72" s="139"/>
      <c r="CY72" s="139"/>
      <c r="CZ72" s="139"/>
      <c r="DA72" s="139"/>
      <c r="DB72" s="139"/>
      <c r="DC72" s="139"/>
      <c r="DD72" s="139"/>
      <c r="DE72" s="139"/>
      <c r="DF72" s="139"/>
      <c r="DG72" s="127"/>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5"/>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632"/>
      <c r="JW72" s="414"/>
      <c r="JX72" s="414"/>
      <c r="JY72" s="414"/>
      <c r="JZ72" s="414"/>
      <c r="KA72" s="414"/>
      <c r="KB72" s="414"/>
      <c r="KC72" s="414"/>
      <c r="KD72" s="414"/>
      <c r="KE72" s="414"/>
      <c r="KF72" s="414"/>
      <c r="KG72" s="414"/>
      <c r="KH72" s="414"/>
      <c r="KI72" s="633"/>
    </row>
    <row r="73" spans="1:295" x14ac:dyDescent="0.2">
      <c r="B73" s="24" t="s">
        <v>124</v>
      </c>
      <c r="D73" s="142">
        <v>4089474.75</v>
      </c>
      <c r="E73" s="142">
        <v>4171714.94</v>
      </c>
      <c r="F73" s="142">
        <v>3475909.27</v>
      </c>
      <c r="G73" s="142">
        <v>-685344.51676544547</v>
      </c>
      <c r="H73" s="142">
        <v>-2053967.0809244113</v>
      </c>
      <c r="I73" s="142">
        <v>-8602333.5951142237</v>
      </c>
      <c r="J73" s="142">
        <v>-7205548.7879950386</v>
      </c>
      <c r="K73" s="142">
        <v>-5813378.8954994567</v>
      </c>
      <c r="L73" s="142">
        <v>-6578340.4865404824</v>
      </c>
      <c r="M73" s="142">
        <v>-2134672.3015407939</v>
      </c>
      <c r="N73" s="142">
        <v>685041.50399310607</v>
      </c>
      <c r="O73" s="142">
        <v>3754575.8780643744</v>
      </c>
      <c r="P73" s="142">
        <v>4023462.7666025441</v>
      </c>
      <c r="Q73" s="142">
        <v>4209565.4793500304</v>
      </c>
      <c r="R73" s="142">
        <v>3430386.24087924</v>
      </c>
      <c r="S73" s="142">
        <v>254545.04356379434</v>
      </c>
      <c r="T73" s="142">
        <v>-2307275.2363704294</v>
      </c>
      <c r="U73" s="142">
        <v>-4369507.1405999837</v>
      </c>
      <c r="V73" s="142">
        <v>-3900757.2618460394</v>
      </c>
      <c r="W73" s="142">
        <v>-4459013.8136782376</v>
      </c>
      <c r="X73" s="142">
        <v>-1820992.2164993491</v>
      </c>
      <c r="Y73" s="142">
        <v>117497.61788626108</v>
      </c>
      <c r="Z73" s="142">
        <v>1275890.5752564166</v>
      </c>
      <c r="AA73" s="142">
        <v>3973574.2279445468</v>
      </c>
      <c r="AB73" s="142">
        <v>4318540.9689999996</v>
      </c>
      <c r="AC73" s="142">
        <v>3525306.66</v>
      </c>
      <c r="AD73" s="142">
        <v>3961149.07</v>
      </c>
      <c r="AE73" s="142">
        <v>1146359.6399999999</v>
      </c>
      <c r="AF73" s="142">
        <v>-5310997.51</v>
      </c>
      <c r="AG73" s="142">
        <v>-5183461.5999999996</v>
      </c>
      <c r="AH73" s="142">
        <v>-6303314.5999999996</v>
      </c>
      <c r="AI73" s="142">
        <v>-3846434.75</v>
      </c>
      <c r="AJ73" s="142">
        <v>-2152560.7000000002</v>
      </c>
      <c r="AK73" s="142">
        <v>1061385.58</v>
      </c>
      <c r="AL73" s="142">
        <v>2546062.39</v>
      </c>
      <c r="AM73" s="142">
        <v>3513699.31</v>
      </c>
      <c r="AN73" s="142">
        <v>4150880.7</v>
      </c>
      <c r="AO73" s="142">
        <v>3939457.42</v>
      </c>
      <c r="AP73" s="142">
        <v>3354720.16</v>
      </c>
      <c r="AQ73" s="142">
        <v>1780730.85</v>
      </c>
      <c r="AR73" s="142">
        <v>-1528565.91</v>
      </c>
      <c r="AS73" s="142">
        <v>-3722444.97</v>
      </c>
      <c r="AT73" s="142">
        <v>-5194446.09</v>
      </c>
      <c r="AU73" s="142">
        <v>-3002248.49</v>
      </c>
      <c r="AV73" s="142">
        <v>1213489.3</v>
      </c>
      <c r="AW73" s="142">
        <v>550381.85</v>
      </c>
      <c r="AX73" s="142">
        <v>3204964.2</v>
      </c>
      <c r="AY73" s="142">
        <v>3272460.05</v>
      </c>
      <c r="AZ73" s="143">
        <v>4086234.02</v>
      </c>
      <c r="BA73" s="143">
        <v>3871035.97</v>
      </c>
      <c r="BB73" s="143">
        <v>3212442.77</v>
      </c>
      <c r="BC73" s="143">
        <v>1857157.57</v>
      </c>
      <c r="BD73" s="143">
        <v>-2320993.63</v>
      </c>
      <c r="BE73" s="143">
        <v>-3976360.15</v>
      </c>
      <c r="BF73" s="143">
        <v>-2632743.71</v>
      </c>
      <c r="BG73" s="143">
        <v>-3002346</v>
      </c>
      <c r="BH73" s="143">
        <v>-1554456.36</v>
      </c>
      <c r="BI73" s="143">
        <v>1065835.1200000001</v>
      </c>
      <c r="BJ73" s="143">
        <v>3017783.15</v>
      </c>
      <c r="BK73" s="143">
        <v>4402673.84</v>
      </c>
      <c r="BL73" s="143">
        <v>4604580.49</v>
      </c>
      <c r="BM73" s="143">
        <v>4672570.95</v>
      </c>
      <c r="BN73" s="143">
        <v>4035203.38</v>
      </c>
      <c r="BO73" s="143">
        <v>274004.34000000003</v>
      </c>
      <c r="BP73" s="143">
        <v>-3878479.48</v>
      </c>
      <c r="BQ73" s="143">
        <v>-6488183.2599999998</v>
      </c>
      <c r="BR73" s="146">
        <v>-7969861.2400000002</v>
      </c>
      <c r="BS73" s="143">
        <v>655068.56000000006</v>
      </c>
      <c r="BT73" s="143">
        <v>-1036511.53</v>
      </c>
      <c r="BU73" s="143">
        <v>-1911207.27</v>
      </c>
      <c r="BV73" s="143">
        <v>3503834.24</v>
      </c>
      <c r="BW73" s="143">
        <v>4731883.2</v>
      </c>
      <c r="BX73" s="143">
        <v>5825225.9000000004</v>
      </c>
      <c r="BY73" s="178">
        <v>5718129.3899999997</v>
      </c>
      <c r="BZ73" s="147">
        <v>4747288.09</v>
      </c>
      <c r="CA73" s="147">
        <v>0</v>
      </c>
      <c r="CB73" s="143">
        <v>-1707827.71</v>
      </c>
      <c r="CC73" s="143">
        <v>-4983403.78</v>
      </c>
      <c r="CD73" s="143">
        <v>-6373606.1200000001</v>
      </c>
      <c r="CE73" s="143">
        <v>-2906722.02</v>
      </c>
      <c r="CF73" s="143">
        <v>-4105014.24</v>
      </c>
      <c r="CG73" s="143">
        <v>-482827.82</v>
      </c>
      <c r="CH73" s="143">
        <v>3848242.54</v>
      </c>
      <c r="CI73" s="143">
        <v>4445666.21</v>
      </c>
      <c r="CJ73" s="143">
        <v>6057155.1100000003</v>
      </c>
      <c r="CK73" s="143">
        <v>5577705.0700000003</v>
      </c>
      <c r="CL73" s="143">
        <v>6487260.5099999998</v>
      </c>
      <c r="CM73" s="143">
        <v>2681847.19</v>
      </c>
      <c r="CN73" s="143">
        <v>455064.7</v>
      </c>
      <c r="CO73" s="146">
        <v>-7570340.6799999997</v>
      </c>
      <c r="CP73" s="143">
        <v>-5981957.1900000004</v>
      </c>
      <c r="CQ73" s="143">
        <v>-3123606.31</v>
      </c>
      <c r="CR73" s="143">
        <v>-3098635.86</v>
      </c>
      <c r="CS73" s="143">
        <v>1160160.46</v>
      </c>
      <c r="CT73" s="143">
        <v>4180512.96</v>
      </c>
      <c r="CU73" s="143">
        <v>4603988.41</v>
      </c>
      <c r="CV73" s="143">
        <v>6200784.9100000001</v>
      </c>
      <c r="CW73" s="143">
        <v>5429566.2300000004</v>
      </c>
      <c r="CX73" s="143">
        <v>5364120.97</v>
      </c>
      <c r="CY73" s="143">
        <v>1202434</v>
      </c>
      <c r="CZ73" s="149">
        <v>-2207096.62</v>
      </c>
      <c r="DA73" s="143">
        <v>-7258667.7699999996</v>
      </c>
      <c r="DB73" s="149">
        <v>-657255.04</v>
      </c>
      <c r="DC73" s="149">
        <v>-145954.57999999999</v>
      </c>
      <c r="DD73" s="143">
        <v>-238863.39</v>
      </c>
      <c r="DE73" s="143">
        <v>750356.54</v>
      </c>
      <c r="DF73" s="147">
        <v>2720956.06</v>
      </c>
      <c r="DG73" s="146">
        <v>4580838.93</v>
      </c>
      <c r="DH73" s="143">
        <v>5841142.79</v>
      </c>
      <c r="DI73" s="143">
        <v>4949698.7</v>
      </c>
      <c r="DJ73" s="143">
        <v>5194354.13</v>
      </c>
      <c r="DK73" s="143">
        <v>2438086.9300000002</v>
      </c>
      <c r="DL73" s="143">
        <v>-3466552.57</v>
      </c>
      <c r="DM73" s="143">
        <v>-4934137.0999999996</v>
      </c>
      <c r="DN73" s="143">
        <v>-5684755.7699999996</v>
      </c>
      <c r="DO73" s="143">
        <v>-5014420.17</v>
      </c>
      <c r="DP73" s="143">
        <v>-2651677.85</v>
      </c>
      <c r="DQ73" s="143">
        <v>-2160281</v>
      </c>
      <c r="DR73" s="143">
        <v>1434738.82</v>
      </c>
      <c r="DS73" s="143">
        <v>4119131.85</v>
      </c>
      <c r="DT73" s="143">
        <v>5951847.5899999999</v>
      </c>
      <c r="DU73" s="143">
        <v>4977563.2300000004</v>
      </c>
      <c r="DV73" s="143">
        <v>322449.06</v>
      </c>
      <c r="DW73" s="143">
        <v>1858758.19</v>
      </c>
      <c r="DX73" s="143">
        <v>-5893317.5700000003</v>
      </c>
      <c r="DY73" s="143">
        <v>-6677241.1299999999</v>
      </c>
      <c r="DZ73" s="143">
        <v>-8040278.6200000001</v>
      </c>
      <c r="EA73" s="145">
        <v>-5212949.42</v>
      </c>
      <c r="EB73" s="143">
        <v>-6593120.3700000001</v>
      </c>
      <c r="EC73" s="143">
        <v>361312</v>
      </c>
      <c r="ED73" s="143">
        <v>2554524.3199999998</v>
      </c>
      <c r="EE73" s="143">
        <v>4097154.72</v>
      </c>
      <c r="EF73" s="143">
        <v>5538810.2599999998</v>
      </c>
      <c r="EG73" s="145">
        <v>6022404.2300000004</v>
      </c>
      <c r="EH73" s="145">
        <v>5275463.45</v>
      </c>
      <c r="EI73" s="145">
        <v>1199406.49</v>
      </c>
      <c r="EJ73" s="145">
        <v>-2732098.13</v>
      </c>
      <c r="EK73" s="145">
        <v>-6545933.2699999996</v>
      </c>
      <c r="EL73" s="145">
        <v>-9491901.0600000005</v>
      </c>
      <c r="EM73" s="145">
        <v>-4498891.63</v>
      </c>
      <c r="EN73" s="145">
        <v>-1674374.79</v>
      </c>
      <c r="EO73" s="145">
        <v>87333.71</v>
      </c>
      <c r="EP73" s="145">
        <v>3948567.3</v>
      </c>
      <c r="EQ73" s="145">
        <v>5798766.2000000002</v>
      </c>
      <c r="ER73" s="145">
        <v>6699086.7599999998</v>
      </c>
      <c r="ES73" s="145">
        <v>7021568.0999999996</v>
      </c>
      <c r="ET73" s="149">
        <v>5292946.0199999996</v>
      </c>
      <c r="EU73" s="149">
        <v>493839.75</v>
      </c>
      <c r="EV73" s="149">
        <v>-3109399.26</v>
      </c>
      <c r="EW73" s="149">
        <v>-9513692.6999999993</v>
      </c>
      <c r="EX73" s="149">
        <v>-7071146.2400000002</v>
      </c>
      <c r="EY73" s="149">
        <v>-7644277.75</v>
      </c>
      <c r="EZ73" s="149">
        <v>-2462151.2599999998</v>
      </c>
      <c r="FA73" s="149">
        <v>1095413.82</v>
      </c>
      <c r="FB73" s="149">
        <v>3059293.1</v>
      </c>
      <c r="FC73" s="149">
        <v>5547547.6799999997</v>
      </c>
      <c r="FD73" s="149">
        <v>6368724.5300000003</v>
      </c>
      <c r="FE73" s="145">
        <v>6451099.2199999997</v>
      </c>
      <c r="FF73" s="145">
        <v>5833445.29</v>
      </c>
      <c r="FG73" s="145">
        <v>3550651.71</v>
      </c>
      <c r="FH73" s="145">
        <v>-3662750.7</v>
      </c>
      <c r="FI73" s="145">
        <v>-4393688.88</v>
      </c>
      <c r="FJ73" s="145">
        <v>-3256971.62</v>
      </c>
      <c r="FK73" s="145">
        <v>-1012444.71</v>
      </c>
      <c r="FL73" s="145">
        <v>205246.81</v>
      </c>
      <c r="FM73" s="145">
        <v>705544.42</v>
      </c>
      <c r="FN73" s="145">
        <v>4135654.06</v>
      </c>
      <c r="FO73" s="145">
        <v>5727829.9400000004</v>
      </c>
      <c r="FP73" s="145">
        <v>5158220.7699999996</v>
      </c>
      <c r="FQ73" s="145">
        <v>4987206.01</v>
      </c>
      <c r="FR73" s="145">
        <v>7864538.7599999998</v>
      </c>
      <c r="FS73" s="145">
        <v>3409852.18</v>
      </c>
      <c r="FT73" s="145">
        <v>-2754052.7</v>
      </c>
      <c r="FU73" s="145">
        <v>-5759605.0800000001</v>
      </c>
      <c r="FV73" s="145">
        <v>-5795417.4800000004</v>
      </c>
      <c r="FW73" s="145">
        <v>-1696994.45</v>
      </c>
      <c r="FX73" s="145">
        <v>-1217118.6200000001</v>
      </c>
      <c r="FY73" s="145">
        <v>2381874.0499999998</v>
      </c>
      <c r="FZ73" s="145">
        <v>4253276.51</v>
      </c>
      <c r="GA73" s="145">
        <v>5258791.8499999996</v>
      </c>
      <c r="GB73" s="145">
        <v>5839760.8399999999</v>
      </c>
      <c r="GC73" s="145">
        <v>6483165.0300000003</v>
      </c>
      <c r="GD73" s="145">
        <v>4897529.0599999996</v>
      </c>
      <c r="GE73" s="145">
        <v>2287971.08</v>
      </c>
      <c r="GF73" s="145">
        <v>48176.26</v>
      </c>
      <c r="GG73" s="145">
        <v>-8725634.2899999991</v>
      </c>
      <c r="GH73" s="145">
        <v>-10047652.630000001</v>
      </c>
      <c r="GI73" s="145">
        <v>-6592788.04</v>
      </c>
      <c r="GJ73" s="145">
        <v>-3983810.61</v>
      </c>
      <c r="GK73" s="145">
        <v>-1045665.62</v>
      </c>
      <c r="GL73" s="145">
        <v>2348176.15</v>
      </c>
      <c r="GM73" s="145">
        <v>5375428.7000000002</v>
      </c>
      <c r="GN73" s="145">
        <v>5918757.1600000001</v>
      </c>
      <c r="GO73" s="145">
        <v>6138921.3499999996</v>
      </c>
      <c r="GP73" s="179">
        <v>5222098.24</v>
      </c>
      <c r="GQ73" s="145">
        <v>1037071.12</v>
      </c>
      <c r="GR73" s="145">
        <v>-2541887.37</v>
      </c>
      <c r="GS73" s="145">
        <v>-7794001.7000000002</v>
      </c>
      <c r="GT73" s="145">
        <v>-4847001.6399999997</v>
      </c>
      <c r="GU73" s="145">
        <v>-6000471.3099999996</v>
      </c>
      <c r="GV73" s="145">
        <v>-3469738.89</v>
      </c>
      <c r="GW73" s="145">
        <v>-245133.4</v>
      </c>
      <c r="GX73" s="145">
        <v>4762769.99</v>
      </c>
      <c r="GY73" s="145">
        <v>5013400.9800000004</v>
      </c>
      <c r="GZ73" s="145">
        <v>6554480.5899999999</v>
      </c>
      <c r="HA73" s="145">
        <v>6013117.9699999997</v>
      </c>
      <c r="HB73" s="145">
        <v>5368290.54</v>
      </c>
      <c r="HC73" s="145">
        <v>1473970.8</v>
      </c>
      <c r="HD73" s="145">
        <v>-1527119.32</v>
      </c>
      <c r="HE73" s="145">
        <v>-7064020.5</v>
      </c>
      <c r="HF73" s="145">
        <v>-5127508.5999999996</v>
      </c>
      <c r="HG73" s="145">
        <v>-9608350.4900000002</v>
      </c>
      <c r="HH73" s="145">
        <v>-2757034.78</v>
      </c>
      <c r="HI73" s="145">
        <v>522632.31</v>
      </c>
      <c r="HJ73" s="145">
        <v>4019724.35</v>
      </c>
      <c r="HK73" s="145">
        <v>5475169.0599999996</v>
      </c>
      <c r="HL73" s="145">
        <v>5964184.0999999996</v>
      </c>
      <c r="HM73" s="145">
        <v>6227760.4199999999</v>
      </c>
      <c r="HN73" s="145">
        <v>5035308.2300000004</v>
      </c>
      <c r="HO73" s="145">
        <v>-432767.61</v>
      </c>
      <c r="HP73" s="145">
        <v>-2789179.8</v>
      </c>
      <c r="HQ73" s="145">
        <v>-7361491.8399999999</v>
      </c>
      <c r="HR73" s="145">
        <v>-7335667.0599999996</v>
      </c>
      <c r="HS73" s="145">
        <v>-6226298.75</v>
      </c>
      <c r="HT73" s="145">
        <v>-5210060.71</v>
      </c>
      <c r="HU73" s="145">
        <v>360150.91</v>
      </c>
      <c r="HV73" s="145">
        <v>4347519.6900000004</v>
      </c>
      <c r="HW73" s="145">
        <v>4941701.96</v>
      </c>
      <c r="HX73" s="145">
        <v>6812994.5899999999</v>
      </c>
      <c r="HY73" s="176">
        <v>7104770.8600000003</v>
      </c>
      <c r="HZ73" s="176">
        <v>6212320.5300000003</v>
      </c>
      <c r="IA73" s="176">
        <v>1962150.42</v>
      </c>
      <c r="IB73" s="176">
        <v>-4105762.75</v>
      </c>
      <c r="IC73" s="176">
        <v>-6510101.6699999999</v>
      </c>
      <c r="ID73" s="176">
        <v>-6556002.0899999999</v>
      </c>
      <c r="IE73" s="176">
        <v>-8161283.7999999998</v>
      </c>
      <c r="IF73" s="176">
        <v>-5199576.96</v>
      </c>
      <c r="IG73" s="176">
        <v>260015.29</v>
      </c>
      <c r="IH73" s="176">
        <v>3862294.34</v>
      </c>
      <c r="II73" s="176">
        <v>5933103.2800000003</v>
      </c>
      <c r="IJ73" s="176">
        <v>7254704.4100000001</v>
      </c>
      <c r="IK73" s="176">
        <v>6906542.8399999999</v>
      </c>
      <c r="IL73" s="176">
        <v>5645581.9000000004</v>
      </c>
      <c r="IM73" s="176">
        <v>705764.8</v>
      </c>
      <c r="IN73" s="176">
        <v>-2386230.9300000002</v>
      </c>
      <c r="IO73" s="176">
        <v>-8877821.7899999991</v>
      </c>
      <c r="IP73" s="176">
        <v>-8311079.9199999999</v>
      </c>
      <c r="IQ73" s="176">
        <v>-5474831.2999999998</v>
      </c>
      <c r="IR73" s="176">
        <v>-2859687.61</v>
      </c>
      <c r="IS73" s="176">
        <v>-2205758.89</v>
      </c>
      <c r="IT73" s="176">
        <v>2357318.67</v>
      </c>
      <c r="IU73" s="176">
        <v>5547851.6299999999</v>
      </c>
      <c r="IV73" s="176">
        <v>6846395.1200000001</v>
      </c>
      <c r="IW73" s="176">
        <v>7663344.2199999997</v>
      </c>
      <c r="IX73" s="176">
        <v>6724923.8899999997</v>
      </c>
      <c r="IY73" s="176">
        <v>3906229.68</v>
      </c>
      <c r="IZ73" s="176">
        <v>-6899546.8799999999</v>
      </c>
      <c r="JA73" s="176">
        <v>-10177963.300000001</v>
      </c>
      <c r="JB73" s="176">
        <v>-7502531.1900000004</v>
      </c>
      <c r="JC73" s="176">
        <v>-7913992.6500000004</v>
      </c>
      <c r="JD73" s="176">
        <v>-6292294.9699999997</v>
      </c>
      <c r="JE73" s="176">
        <v>-3093987.57</v>
      </c>
      <c r="JF73" s="176">
        <v>4146269.45</v>
      </c>
      <c r="JG73" s="176">
        <v>5076412.88</v>
      </c>
      <c r="JH73" s="176">
        <v>6434269.1600000001</v>
      </c>
      <c r="JI73" s="15">
        <v>6293547.3099999996</v>
      </c>
      <c r="JJ73" s="145">
        <v>5065037.29</v>
      </c>
      <c r="JK73" s="145">
        <v>798912.01</v>
      </c>
      <c r="JL73" s="145">
        <v>-4250793.5</v>
      </c>
      <c r="JM73" s="145">
        <v>-4714993.1900000004</v>
      </c>
      <c r="JN73" s="145">
        <v>-8680735.0700000003</v>
      </c>
      <c r="JO73" s="145">
        <v>-5406054.0999999996</v>
      </c>
      <c r="JP73" s="145">
        <v>-4421425.21</v>
      </c>
      <c r="JQ73" s="145">
        <v>-1022547.69</v>
      </c>
      <c r="JR73" s="145">
        <v>2679979.71</v>
      </c>
      <c r="JS73" s="145">
        <v>4523627.42</v>
      </c>
      <c r="JT73" s="145">
        <v>6454597.2599999998</v>
      </c>
      <c r="JU73" s="395">
        <v>6820087.5899999999</v>
      </c>
      <c r="JV73" s="634"/>
      <c r="JW73" s="413"/>
      <c r="JX73" s="413"/>
      <c r="JY73" s="413"/>
      <c r="JZ73" s="413"/>
      <c r="KA73" s="413"/>
      <c r="KB73" s="413"/>
      <c r="KC73" s="413"/>
      <c r="KD73" s="413"/>
      <c r="KE73" s="413"/>
      <c r="KF73" s="413"/>
      <c r="KG73" s="413"/>
      <c r="KH73" s="413"/>
      <c r="KI73" s="635"/>
    </row>
    <row r="74" spans="1:295" x14ac:dyDescent="0.2">
      <c r="B74" s="24" t="s">
        <v>125</v>
      </c>
      <c r="D74" s="142">
        <v>842600</v>
      </c>
      <c r="E74" s="142">
        <v>842600</v>
      </c>
      <c r="F74" s="142">
        <v>842600</v>
      </c>
      <c r="G74" s="142">
        <v>803654.38</v>
      </c>
      <c r="H74" s="142">
        <v>414433.28000000003</v>
      </c>
      <c r="I74" s="142">
        <v>803654.38</v>
      </c>
      <c r="J74" s="142">
        <v>803654.38</v>
      </c>
      <c r="K74" s="142">
        <v>725881.37</v>
      </c>
      <c r="L74" s="142">
        <v>804170.92</v>
      </c>
      <c r="M74" s="142">
        <v>778245.68</v>
      </c>
      <c r="N74" s="142">
        <v>799887.21</v>
      </c>
      <c r="O74" s="142">
        <v>784911.95</v>
      </c>
      <c r="P74" s="142">
        <v>826370.43</v>
      </c>
      <c r="Q74" s="142">
        <v>845097</v>
      </c>
      <c r="R74" s="142">
        <v>805734.9</v>
      </c>
      <c r="S74" s="142">
        <v>784096.5</v>
      </c>
      <c r="T74" s="142">
        <v>765781.97</v>
      </c>
      <c r="U74" s="142">
        <v>801938.67</v>
      </c>
      <c r="V74" s="142">
        <v>781954.37</v>
      </c>
      <c r="W74" s="142">
        <v>699946.88</v>
      </c>
      <c r="X74" s="142">
        <v>783373.45</v>
      </c>
      <c r="Y74" s="142">
        <v>777730.02</v>
      </c>
      <c r="Z74" s="142">
        <v>819096.76</v>
      </c>
      <c r="AA74" s="142">
        <v>777978.96</v>
      </c>
      <c r="AB74" s="142">
        <v>805279.47</v>
      </c>
      <c r="AC74" s="142">
        <v>803628.28</v>
      </c>
      <c r="AD74" s="142">
        <v>777730.04</v>
      </c>
      <c r="AE74" s="142">
        <v>803654.38</v>
      </c>
      <c r="AF74" s="142">
        <v>796117.84</v>
      </c>
      <c r="AG74" s="142">
        <v>814706.8</v>
      </c>
      <c r="AH74" s="142">
        <v>824126.75</v>
      </c>
      <c r="AI74" s="142">
        <v>749261.33</v>
      </c>
      <c r="AJ74" s="142">
        <v>801972.02</v>
      </c>
      <c r="AK74" s="142">
        <v>775468.91</v>
      </c>
      <c r="AL74" s="142">
        <v>807199.19</v>
      </c>
      <c r="AM74" s="142">
        <v>775604.73</v>
      </c>
      <c r="AN74" s="142">
        <v>805697.25</v>
      </c>
      <c r="AO74" s="142">
        <v>801437.06</v>
      </c>
      <c r="AP74" s="142">
        <v>775532.01</v>
      </c>
      <c r="AQ74" s="142">
        <v>801399.23</v>
      </c>
      <c r="AR74" s="142">
        <v>200062.59</v>
      </c>
      <c r="AS74" s="142">
        <v>348290.03</v>
      </c>
      <c r="AT74" s="142">
        <v>283325.84000000003</v>
      </c>
      <c r="AU74" s="142">
        <v>253009.46</v>
      </c>
      <c r="AV74" s="142">
        <v>272950.95</v>
      </c>
      <c r="AW74" s="142">
        <v>261729.23</v>
      </c>
      <c r="AX74" s="142">
        <v>270453.56</v>
      </c>
      <c r="AY74" s="142">
        <v>261561.05</v>
      </c>
      <c r="AZ74" s="143">
        <v>270453.57</v>
      </c>
      <c r="BA74" s="143">
        <v>272428.03999999998</v>
      </c>
      <c r="BB74" s="143">
        <v>266444.76</v>
      </c>
      <c r="BC74" s="143">
        <v>271469.09000000003</v>
      </c>
      <c r="BD74" s="143">
        <v>257222.97</v>
      </c>
      <c r="BE74" s="143">
        <v>268575.02</v>
      </c>
      <c r="BF74" s="143">
        <v>278938.69</v>
      </c>
      <c r="BG74" s="143">
        <v>244672.5</v>
      </c>
      <c r="BH74" s="143">
        <v>270362.23</v>
      </c>
      <c r="BI74" s="143">
        <v>264656.71999999997</v>
      </c>
      <c r="BJ74" s="143">
        <v>281503.31</v>
      </c>
      <c r="BK74" s="143">
        <v>269785.25</v>
      </c>
      <c r="BL74" s="143">
        <v>282285.94</v>
      </c>
      <c r="BM74" s="143">
        <v>278981.90999999997</v>
      </c>
      <c r="BN74" s="143">
        <v>273551.09000000003</v>
      </c>
      <c r="BO74" s="143">
        <v>268046.15999999997</v>
      </c>
      <c r="BP74" s="143">
        <v>275885.49</v>
      </c>
      <c r="BQ74" s="143">
        <v>287226.21000000002</v>
      </c>
      <c r="BR74" s="146">
        <v>283249.45</v>
      </c>
      <c r="BS74" s="143">
        <v>527160.92000000004</v>
      </c>
      <c r="BT74" s="143">
        <v>423342.73</v>
      </c>
      <c r="BU74" s="143">
        <v>244282.49</v>
      </c>
      <c r="BV74" s="143">
        <v>384308.69</v>
      </c>
      <c r="BW74" s="143">
        <v>372986.38</v>
      </c>
      <c r="BX74" s="143">
        <v>377995.8900000006</v>
      </c>
      <c r="BY74" s="178">
        <v>386227.92</v>
      </c>
      <c r="BZ74" s="147">
        <v>376739.77</v>
      </c>
      <c r="CA74" s="147">
        <v>1239328.6200000001</v>
      </c>
      <c r="CB74" s="143">
        <v>7901.89</v>
      </c>
      <c r="CC74" s="143">
        <v>0.01</v>
      </c>
      <c r="CD74" s="143">
        <v>0</v>
      </c>
      <c r="CE74" s="139">
        <v>0</v>
      </c>
      <c r="CF74" s="139">
        <v>0</v>
      </c>
      <c r="CG74" s="139">
        <v>0</v>
      </c>
      <c r="CH74" s="139"/>
      <c r="CI74" s="139"/>
      <c r="CJ74" s="139"/>
      <c r="CK74" s="139"/>
      <c r="CL74" s="139"/>
      <c r="CM74" s="139"/>
      <c r="CN74" s="139"/>
      <c r="CO74" s="127"/>
      <c r="CP74" s="139"/>
      <c r="CQ74" s="139"/>
      <c r="CR74" s="139"/>
      <c r="CS74" s="139"/>
      <c r="CT74" s="139"/>
      <c r="CU74" s="139"/>
      <c r="CV74" s="139"/>
      <c r="CW74" s="139"/>
      <c r="CX74" s="139"/>
      <c r="CY74" s="139"/>
      <c r="CZ74" s="139"/>
      <c r="DA74" s="139"/>
      <c r="DB74" s="139"/>
      <c r="DC74" s="139"/>
      <c r="DD74" s="139"/>
      <c r="DE74" s="139"/>
      <c r="DF74" s="169"/>
      <c r="DG74" s="127"/>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632"/>
      <c r="JW74" s="414"/>
      <c r="JX74" s="414"/>
      <c r="JY74" s="414"/>
      <c r="JZ74" s="414"/>
      <c r="KA74" s="414"/>
      <c r="KB74" s="414"/>
      <c r="KC74" s="414"/>
      <c r="KD74" s="414"/>
      <c r="KE74" s="414"/>
      <c r="KF74" s="414"/>
      <c r="KG74" s="414"/>
      <c r="KH74" s="414"/>
      <c r="KI74" s="633"/>
    </row>
    <row r="75" spans="1:295" x14ac:dyDescent="0.2">
      <c r="B75" s="24" t="s">
        <v>126</v>
      </c>
      <c r="D75" s="142">
        <v>62559.72</v>
      </c>
      <c r="E75" s="142">
        <v>52763.69</v>
      </c>
      <c r="F75" s="142">
        <v>268634.62</v>
      </c>
      <c r="G75" s="142">
        <v>-389698.06</v>
      </c>
      <c r="H75" s="142">
        <v>347241.4</v>
      </c>
      <c r="I75" s="142">
        <v>150000.99</v>
      </c>
      <c r="J75" s="142">
        <v>-14505.58</v>
      </c>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v>-134067</v>
      </c>
      <c r="AW75" s="142"/>
      <c r="AX75" s="142"/>
      <c r="AY75" s="142"/>
      <c r="AZ75" s="139"/>
      <c r="BA75" s="139"/>
      <c r="BB75" s="139"/>
      <c r="BC75" s="139"/>
      <c r="BD75" s="139"/>
      <c r="BE75" s="139"/>
      <c r="BF75" s="139"/>
      <c r="BG75" s="139"/>
      <c r="BH75" s="139"/>
      <c r="BI75" s="139"/>
      <c r="BJ75" s="139"/>
      <c r="BK75" s="139"/>
      <c r="BL75" s="139"/>
      <c r="BM75" s="139"/>
      <c r="BN75" s="139"/>
      <c r="BO75" s="139"/>
      <c r="BP75" s="139"/>
      <c r="BQ75" s="139"/>
      <c r="BR75" s="127"/>
      <c r="BS75" s="139"/>
      <c r="BT75" s="139"/>
      <c r="BU75" s="139"/>
      <c r="BV75" s="139"/>
      <c r="BW75" s="139"/>
      <c r="BX75" s="139"/>
      <c r="BY75" s="139"/>
      <c r="BZ75" s="139"/>
      <c r="CA75" s="147">
        <v>328990.28000000003</v>
      </c>
      <c r="CB75" s="139"/>
      <c r="CC75" s="143"/>
      <c r="CD75" s="139"/>
      <c r="CE75" s="139"/>
      <c r="CF75" s="139"/>
      <c r="CG75" s="139"/>
      <c r="CH75" s="139"/>
      <c r="CI75" s="139"/>
      <c r="CJ75" s="139"/>
      <c r="CK75" s="139"/>
      <c r="CL75" s="139"/>
      <c r="CM75" s="139"/>
      <c r="CN75" s="139"/>
      <c r="CO75" s="127"/>
      <c r="CP75" s="139"/>
      <c r="CQ75" s="139"/>
      <c r="CR75" s="139"/>
      <c r="CS75" s="139"/>
      <c r="CT75" s="139"/>
      <c r="CU75" s="139"/>
      <c r="CV75" s="139"/>
      <c r="CW75" s="139"/>
      <c r="CX75" s="139"/>
      <c r="CY75" s="139"/>
      <c r="CZ75" s="139"/>
      <c r="DA75" s="139"/>
      <c r="DB75" s="139"/>
      <c r="DC75" s="139"/>
      <c r="DD75" s="139"/>
      <c r="DE75" s="139"/>
      <c r="DF75" s="169"/>
      <c r="DG75" s="127"/>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632"/>
      <c r="JW75" s="414"/>
      <c r="JX75" s="414"/>
      <c r="JY75" s="414"/>
      <c r="JZ75" s="414"/>
      <c r="KA75" s="414"/>
      <c r="KB75" s="414"/>
      <c r="KC75" s="414"/>
      <c r="KD75" s="414"/>
      <c r="KE75" s="414"/>
      <c r="KF75" s="414"/>
      <c r="KG75" s="414"/>
      <c r="KH75" s="414"/>
      <c r="KI75" s="633"/>
    </row>
    <row r="76" spans="1:295" hidden="1" x14ac:dyDescent="0.2">
      <c r="B76" s="24" t="s">
        <v>120</v>
      </c>
      <c r="D76" s="141"/>
      <c r="E76" s="141"/>
      <c r="F76" s="141"/>
      <c r="G76" s="141"/>
      <c r="H76" s="141"/>
      <c r="I76" s="141"/>
      <c r="J76" s="141"/>
      <c r="K76" s="141"/>
      <c r="L76" s="141"/>
      <c r="M76" s="141"/>
      <c r="N76" s="141"/>
      <c r="O76" s="142">
        <v>151670.69</v>
      </c>
      <c r="P76" s="142">
        <v>1268127.48</v>
      </c>
      <c r="Q76" s="141"/>
      <c r="R76" s="141"/>
      <c r="S76" s="141"/>
      <c r="T76" s="141"/>
      <c r="U76" s="141"/>
      <c r="V76" s="141"/>
      <c r="W76" s="141"/>
      <c r="X76" s="141"/>
      <c r="Y76" s="141"/>
      <c r="Z76" s="141"/>
      <c r="AA76" s="141"/>
      <c r="AB76" s="141"/>
      <c r="AC76" s="141"/>
      <c r="AD76" s="141"/>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39"/>
      <c r="BA76" s="139"/>
      <c r="BB76" s="139"/>
      <c r="BC76" s="139"/>
      <c r="BD76" s="139"/>
      <c r="BE76" s="139"/>
      <c r="BF76" s="139"/>
      <c r="BG76" s="139"/>
      <c r="BH76" s="139"/>
      <c r="BI76" s="139"/>
      <c r="BJ76" s="139"/>
      <c r="BK76" s="139"/>
      <c r="BL76" s="139"/>
      <c r="BM76" s="139"/>
      <c r="BN76" s="139"/>
      <c r="BO76" s="139"/>
      <c r="BP76" s="139"/>
      <c r="BQ76" s="139"/>
      <c r="BR76" s="127"/>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27"/>
      <c r="CP76" s="139"/>
      <c r="CQ76" s="139"/>
      <c r="CR76" s="139"/>
      <c r="CS76" s="139"/>
      <c r="CT76" s="139"/>
      <c r="CU76" s="139"/>
      <c r="CV76" s="139"/>
      <c r="CW76" s="139"/>
      <c r="CX76" s="139"/>
      <c r="CY76" s="139"/>
      <c r="CZ76" s="139"/>
      <c r="DA76" s="139"/>
      <c r="DB76" s="139"/>
      <c r="DC76" s="139"/>
      <c r="DD76" s="139"/>
      <c r="DE76" s="139"/>
      <c r="DF76" s="139"/>
      <c r="DG76" s="127"/>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632"/>
      <c r="JW76" s="414"/>
      <c r="JX76" s="414"/>
      <c r="JY76" s="414"/>
      <c r="JZ76" s="414"/>
      <c r="KA76" s="414"/>
      <c r="KB76" s="414"/>
      <c r="KC76" s="414"/>
      <c r="KD76" s="414"/>
      <c r="KE76" s="414"/>
      <c r="KF76" s="414"/>
      <c r="KG76" s="414"/>
      <c r="KH76" s="414"/>
      <c r="KI76" s="633"/>
    </row>
    <row r="77" spans="1:295" x14ac:dyDescent="0.2">
      <c r="B77" s="24" t="s">
        <v>108</v>
      </c>
      <c r="D77" s="180">
        <f t="shared" ref="D77:N77" si="196">SUM(D71:D75)</f>
        <v>4994634.47</v>
      </c>
      <c r="E77" s="180">
        <f t="shared" si="196"/>
        <v>-1432921.37</v>
      </c>
      <c r="F77" s="180">
        <f t="shared" si="196"/>
        <v>4587143.8899999997</v>
      </c>
      <c r="G77" s="180">
        <f t="shared" si="196"/>
        <v>-271388.19676544546</v>
      </c>
      <c r="H77" s="180">
        <f t="shared" si="196"/>
        <v>-1292292.4009244111</v>
      </c>
      <c r="I77" s="180">
        <f t="shared" si="196"/>
        <v>-7648678.2251142235</v>
      </c>
      <c r="J77" s="180">
        <f t="shared" si="196"/>
        <v>-6416399.9879950387</v>
      </c>
      <c r="K77" s="180">
        <f t="shared" si="196"/>
        <v>-5087497.5254994566</v>
      </c>
      <c r="L77" s="180">
        <f t="shared" si="196"/>
        <v>-5774169.5665404825</v>
      </c>
      <c r="M77" s="180">
        <f t="shared" si="196"/>
        <v>-1356426.6215407937</v>
      </c>
      <c r="N77" s="180">
        <f t="shared" si="196"/>
        <v>1484928.713993106</v>
      </c>
      <c r="O77" s="180">
        <f t="shared" ref="O77:AB77" si="197">SUM(O71:O76)</f>
        <v>4691158.518064375</v>
      </c>
      <c r="P77" s="180">
        <f t="shared" si="197"/>
        <v>6117960.6766025443</v>
      </c>
      <c r="Q77" s="180">
        <f t="shared" si="197"/>
        <v>5054662.4793500304</v>
      </c>
      <c r="R77" s="180">
        <f t="shared" si="197"/>
        <v>4236121.1408792399</v>
      </c>
      <c r="S77" s="180">
        <f t="shared" si="197"/>
        <v>1038641.5435637943</v>
      </c>
      <c r="T77" s="180">
        <f t="shared" si="197"/>
        <v>-1541493.2663704294</v>
      </c>
      <c r="U77" s="180">
        <f t="shared" si="197"/>
        <v>-3567568.4705999838</v>
      </c>
      <c r="V77" s="180">
        <f t="shared" si="197"/>
        <v>1881197.1081539607</v>
      </c>
      <c r="W77" s="180">
        <f t="shared" si="197"/>
        <v>-3759066.9336782377</v>
      </c>
      <c r="X77" s="180">
        <f t="shared" si="197"/>
        <v>-1037618.7664993491</v>
      </c>
      <c r="Y77" s="180">
        <f t="shared" si="197"/>
        <v>-593724.52211373881</v>
      </c>
      <c r="Z77" s="180">
        <f t="shared" si="197"/>
        <v>2094987.3352564166</v>
      </c>
      <c r="AA77" s="180">
        <f t="shared" si="197"/>
        <v>4751553.1879445463</v>
      </c>
      <c r="AB77" s="180">
        <f t="shared" si="197"/>
        <v>5123820.4389999993</v>
      </c>
      <c r="AC77" s="180">
        <f>SUM(AC71:AC76)</f>
        <v>4328934.9400000004</v>
      </c>
      <c r="AD77" s="180">
        <f>SUM(AD71:AD76)</f>
        <v>4738879.1099999994</v>
      </c>
      <c r="AE77" s="180">
        <f>SUM(AE71:AE76)</f>
        <v>-3835453.3000000007</v>
      </c>
      <c r="AF77" s="180">
        <f t="shared" ref="AF77:AP77" si="198">SUM(AF71:AF76)</f>
        <v>-4514879.67</v>
      </c>
      <c r="AG77" s="180">
        <f t="shared" si="198"/>
        <v>-4368754.8</v>
      </c>
      <c r="AH77" s="180">
        <f t="shared" si="198"/>
        <v>-5479187.8499999996</v>
      </c>
      <c r="AI77" s="180">
        <f t="shared" si="198"/>
        <v>-3097173.42</v>
      </c>
      <c r="AJ77" s="180">
        <f t="shared" si="198"/>
        <v>-1350588.6800000002</v>
      </c>
      <c r="AK77" s="180">
        <f t="shared" si="198"/>
        <v>1836854.4900000002</v>
      </c>
      <c r="AL77" s="180">
        <f t="shared" si="198"/>
        <v>3353261.58</v>
      </c>
      <c r="AM77" s="180">
        <f t="shared" si="198"/>
        <v>4289304.04</v>
      </c>
      <c r="AN77" s="180">
        <f t="shared" si="198"/>
        <v>4956577.95</v>
      </c>
      <c r="AO77" s="180">
        <f t="shared" si="198"/>
        <v>4740894.4800000004</v>
      </c>
      <c r="AP77" s="180">
        <f t="shared" si="198"/>
        <v>4130252.17</v>
      </c>
      <c r="AQ77" s="180">
        <f>SUM(AQ71:AQ76)</f>
        <v>-2729515.0248799818</v>
      </c>
      <c r="AR77" s="180">
        <f>SUM(AR71:AR76)</f>
        <v>-1328503.3199999998</v>
      </c>
      <c r="AS77" s="180">
        <f>SUM(AS71:AS76)</f>
        <v>-3374154.9400000004</v>
      </c>
      <c r="AT77" s="180">
        <f t="shared" ref="AT77:BQ77" si="199">SUM(AT71:AT76)</f>
        <v>-4911120.25</v>
      </c>
      <c r="AU77" s="180">
        <f t="shared" si="199"/>
        <v>-2749239.0300000003</v>
      </c>
      <c r="AV77" s="180">
        <f t="shared" si="199"/>
        <v>1352373.25</v>
      </c>
      <c r="AW77" s="180">
        <f t="shared" si="199"/>
        <v>812111.08</v>
      </c>
      <c r="AX77" s="180">
        <f t="shared" si="199"/>
        <v>3475417.7600000002</v>
      </c>
      <c r="AY77" s="180">
        <f t="shared" si="199"/>
        <v>-1997948.9000000001</v>
      </c>
      <c r="AZ77" s="180">
        <f t="shared" si="199"/>
        <v>4356687.59</v>
      </c>
      <c r="BA77" s="180">
        <f t="shared" si="199"/>
        <v>4143464.0100000002</v>
      </c>
      <c r="BB77" s="180">
        <f t="shared" si="199"/>
        <v>3385206.5300000003</v>
      </c>
      <c r="BC77" s="180">
        <f t="shared" si="199"/>
        <v>-6488316.3399999999</v>
      </c>
      <c r="BD77" s="180">
        <f t="shared" si="199"/>
        <v>-2063770.66</v>
      </c>
      <c r="BE77" s="180">
        <f t="shared" si="199"/>
        <v>-3707785.13</v>
      </c>
      <c r="BF77" s="180">
        <f t="shared" si="199"/>
        <v>-2353805.02</v>
      </c>
      <c r="BG77" s="180">
        <f t="shared" si="199"/>
        <v>-2757673.5</v>
      </c>
      <c r="BH77" s="180">
        <f t="shared" si="199"/>
        <v>-1284094.1300000001</v>
      </c>
      <c r="BI77" s="180">
        <f t="shared" si="199"/>
        <v>1321592.8400000001</v>
      </c>
      <c r="BJ77" s="180">
        <f t="shared" si="199"/>
        <v>3299286.46</v>
      </c>
      <c r="BK77" s="180">
        <f t="shared" si="199"/>
        <v>4672459.09</v>
      </c>
      <c r="BL77" s="180">
        <f t="shared" si="199"/>
        <v>4886866.4300000006</v>
      </c>
      <c r="BM77" s="180">
        <f t="shared" si="199"/>
        <v>4951552.8600000003</v>
      </c>
      <c r="BN77" s="180">
        <f t="shared" si="199"/>
        <v>4308754.47</v>
      </c>
      <c r="BO77" s="180">
        <f t="shared" si="199"/>
        <v>-11507342.5</v>
      </c>
      <c r="BP77" s="180">
        <f t="shared" si="199"/>
        <v>-3602593.99</v>
      </c>
      <c r="BQ77" s="180">
        <f t="shared" si="199"/>
        <v>-6200957.0499999998</v>
      </c>
      <c r="BR77" s="180">
        <f>ROUND(SUM(BR71:BR76),2)</f>
        <v>-7686611.79</v>
      </c>
      <c r="BS77" s="180">
        <f t="shared" ref="BS77:ED77" si="200">ROUND(SUM(BS71:BS76),2)</f>
        <v>1182229.48</v>
      </c>
      <c r="BT77" s="180">
        <f t="shared" si="200"/>
        <v>-613168.80000000005</v>
      </c>
      <c r="BU77" s="180">
        <f t="shared" si="200"/>
        <v>-1666924.78</v>
      </c>
      <c r="BV77" s="180">
        <f t="shared" si="200"/>
        <v>3888142.93</v>
      </c>
      <c r="BW77" s="180">
        <f t="shared" si="200"/>
        <v>5104869.58</v>
      </c>
      <c r="BX77" s="180">
        <f t="shared" si="200"/>
        <v>6203221.79</v>
      </c>
      <c r="BY77" s="180">
        <f t="shared" si="200"/>
        <v>6104357.3099999996</v>
      </c>
      <c r="BZ77" s="180">
        <f t="shared" si="200"/>
        <v>5124027.8600000003</v>
      </c>
      <c r="CA77" s="180">
        <f t="shared" si="200"/>
        <v>-5257456.0999999996</v>
      </c>
      <c r="CB77" s="180">
        <f t="shared" si="200"/>
        <v>-1699925.82</v>
      </c>
      <c r="CC77" s="180">
        <f t="shared" si="200"/>
        <v>-4983403.7699999996</v>
      </c>
      <c r="CD77" s="180">
        <f t="shared" si="200"/>
        <v>-6373606.1200000001</v>
      </c>
      <c r="CE77" s="180">
        <f t="shared" si="200"/>
        <v>-2906722.02</v>
      </c>
      <c r="CF77" s="180">
        <f t="shared" si="200"/>
        <v>-4105014.24</v>
      </c>
      <c r="CG77" s="180">
        <f t="shared" si="200"/>
        <v>-482827.82</v>
      </c>
      <c r="CH77" s="180">
        <f t="shared" si="200"/>
        <v>3848242.54</v>
      </c>
      <c r="CI77" s="154">
        <f t="shared" si="200"/>
        <v>4445666.21</v>
      </c>
      <c r="CJ77" s="180">
        <f t="shared" si="200"/>
        <v>6057155.1100000003</v>
      </c>
      <c r="CK77" s="180">
        <f t="shared" si="200"/>
        <v>5577705.0700000003</v>
      </c>
      <c r="CL77" s="180">
        <f t="shared" si="200"/>
        <v>6487260.5099999998</v>
      </c>
      <c r="CM77" s="180">
        <f t="shared" si="200"/>
        <v>-5401832.8099999996</v>
      </c>
      <c r="CN77" s="180">
        <f t="shared" si="200"/>
        <v>455064.7</v>
      </c>
      <c r="CO77" s="180">
        <f t="shared" si="200"/>
        <v>-7570340.6799999997</v>
      </c>
      <c r="CP77" s="180">
        <f t="shared" si="200"/>
        <v>-5981957.1900000004</v>
      </c>
      <c r="CQ77" s="180">
        <f t="shared" si="200"/>
        <v>-3123606.31</v>
      </c>
      <c r="CR77" s="180">
        <f t="shared" si="200"/>
        <v>-3098635.86</v>
      </c>
      <c r="CS77" s="180">
        <f t="shared" si="200"/>
        <v>1160160.46</v>
      </c>
      <c r="CT77" s="180">
        <f t="shared" si="200"/>
        <v>4180512.96</v>
      </c>
      <c r="CU77" s="180">
        <f t="shared" si="200"/>
        <v>2606256.41</v>
      </c>
      <c r="CV77" s="180">
        <f t="shared" si="200"/>
        <v>6200784.9100000001</v>
      </c>
      <c r="CW77" s="180">
        <f t="shared" si="200"/>
        <v>5429566.2300000004</v>
      </c>
      <c r="CX77" s="180">
        <f t="shared" si="200"/>
        <v>5364120.97</v>
      </c>
      <c r="CY77" s="180">
        <f t="shared" si="200"/>
        <v>-6737172</v>
      </c>
      <c r="CZ77" s="180">
        <f t="shared" si="200"/>
        <v>-2207096.62</v>
      </c>
      <c r="DA77" s="180">
        <f t="shared" si="200"/>
        <v>-7258667.7699999996</v>
      </c>
      <c r="DB77" s="180">
        <f t="shared" si="200"/>
        <v>-657255.04</v>
      </c>
      <c r="DC77" s="180">
        <f t="shared" si="200"/>
        <v>-145954.57999999999</v>
      </c>
      <c r="DD77" s="180">
        <f t="shared" si="200"/>
        <v>-238863.39</v>
      </c>
      <c r="DE77" s="180">
        <f t="shared" si="200"/>
        <v>750356.54</v>
      </c>
      <c r="DF77" s="180">
        <f t="shared" si="200"/>
        <v>2720956.06</v>
      </c>
      <c r="DG77" s="180">
        <f t="shared" si="200"/>
        <v>4580838.93</v>
      </c>
      <c r="DH77" s="180">
        <f t="shared" si="200"/>
        <v>5841142.79</v>
      </c>
      <c r="DI77" s="180">
        <f t="shared" si="200"/>
        <v>4949698.7</v>
      </c>
      <c r="DJ77" s="180">
        <f t="shared" si="200"/>
        <v>5194354.13</v>
      </c>
      <c r="DK77" s="180">
        <f t="shared" si="200"/>
        <v>2438086.9300000002</v>
      </c>
      <c r="DL77" s="172">
        <f t="shared" si="200"/>
        <v>-19190805.57</v>
      </c>
      <c r="DM77" s="172">
        <f t="shared" si="200"/>
        <v>-4934137.0999999996</v>
      </c>
      <c r="DN77" s="172">
        <f t="shared" si="200"/>
        <v>-5684755.7699999996</v>
      </c>
      <c r="DO77" s="172">
        <f t="shared" si="200"/>
        <v>-5014420.17</v>
      </c>
      <c r="DP77" s="172">
        <f t="shared" si="200"/>
        <v>-2651677.85</v>
      </c>
      <c r="DQ77" s="172">
        <f t="shared" si="200"/>
        <v>-2160281</v>
      </c>
      <c r="DR77" s="172">
        <f t="shared" si="200"/>
        <v>1434738.82</v>
      </c>
      <c r="DS77" s="172">
        <f t="shared" si="200"/>
        <v>4119131.85</v>
      </c>
      <c r="DT77" s="172">
        <f t="shared" si="200"/>
        <v>5951847.5899999999</v>
      </c>
      <c r="DU77" s="172">
        <f t="shared" si="200"/>
        <v>4977563.2300000004</v>
      </c>
      <c r="DV77" s="172">
        <f t="shared" si="200"/>
        <v>322449.06</v>
      </c>
      <c r="DW77" s="172">
        <f t="shared" si="200"/>
        <v>1858758.19</v>
      </c>
      <c r="DX77" s="172">
        <f t="shared" si="200"/>
        <v>-5893317.5700000003</v>
      </c>
      <c r="DY77" s="172">
        <f t="shared" si="200"/>
        <v>-6677241.1299999999</v>
      </c>
      <c r="DZ77" s="172">
        <f t="shared" si="200"/>
        <v>-8040278.6200000001</v>
      </c>
      <c r="EA77" s="172">
        <f t="shared" si="200"/>
        <v>-5212949.42</v>
      </c>
      <c r="EB77" s="172">
        <f t="shared" si="200"/>
        <v>-6593120.3700000001</v>
      </c>
      <c r="EC77" s="172">
        <f t="shared" si="200"/>
        <v>361312</v>
      </c>
      <c r="ED77" s="172">
        <f t="shared" si="200"/>
        <v>2554524.3199999998</v>
      </c>
      <c r="EE77" s="172">
        <f t="shared" ref="EE77:GP77" si="201">ROUND(SUM(EE71:EE76),2)</f>
        <v>4097154.72</v>
      </c>
      <c r="EF77" s="172">
        <f t="shared" si="201"/>
        <v>5538810.2599999998</v>
      </c>
      <c r="EG77" s="172">
        <f t="shared" si="201"/>
        <v>6022404.2300000004</v>
      </c>
      <c r="EH77" s="172">
        <f t="shared" si="201"/>
        <v>5275463.45</v>
      </c>
      <c r="EI77" s="172">
        <f t="shared" si="201"/>
        <v>1199406.49</v>
      </c>
      <c r="EJ77" s="172">
        <f t="shared" si="201"/>
        <v>-2732098.13</v>
      </c>
      <c r="EK77" s="172">
        <f t="shared" si="201"/>
        <v>-6545933.2699999996</v>
      </c>
      <c r="EL77" s="172">
        <f t="shared" si="201"/>
        <v>-9491901.0600000005</v>
      </c>
      <c r="EM77" s="172">
        <f t="shared" si="201"/>
        <v>-4498891.63</v>
      </c>
      <c r="EN77" s="172">
        <f t="shared" si="201"/>
        <v>-1674374.79</v>
      </c>
      <c r="EO77" s="172">
        <f t="shared" si="201"/>
        <v>87333.71</v>
      </c>
      <c r="EP77" s="172">
        <f t="shared" si="201"/>
        <v>3948567.3</v>
      </c>
      <c r="EQ77" s="172">
        <f t="shared" si="201"/>
        <v>5798766.2000000002</v>
      </c>
      <c r="ER77" s="172">
        <f t="shared" si="201"/>
        <v>6699086.7599999998</v>
      </c>
      <c r="ES77" s="172">
        <f t="shared" si="201"/>
        <v>7021568.0999999996</v>
      </c>
      <c r="ET77" s="172">
        <f t="shared" si="201"/>
        <v>5292946.0199999996</v>
      </c>
      <c r="EU77" s="172">
        <f t="shared" si="201"/>
        <v>493839.75</v>
      </c>
      <c r="EV77" s="172">
        <f t="shared" si="201"/>
        <v>-3109399.26</v>
      </c>
      <c r="EW77" s="172">
        <f t="shared" si="201"/>
        <v>-9513692.6999999993</v>
      </c>
      <c r="EX77" s="172">
        <f t="shared" si="201"/>
        <v>-7071146.2400000002</v>
      </c>
      <c r="EY77" s="172">
        <f t="shared" si="201"/>
        <v>-7644277.75</v>
      </c>
      <c r="EZ77" s="172">
        <f t="shared" si="201"/>
        <v>-2462151.2599999998</v>
      </c>
      <c r="FA77" s="172">
        <f t="shared" si="201"/>
        <v>1095413.82</v>
      </c>
      <c r="FB77" s="172">
        <f t="shared" si="201"/>
        <v>3059293.1</v>
      </c>
      <c r="FC77" s="172">
        <f t="shared" si="201"/>
        <v>5547547.6799999997</v>
      </c>
      <c r="FD77" s="172">
        <f t="shared" si="201"/>
        <v>6368724.5300000003</v>
      </c>
      <c r="FE77" s="172">
        <f t="shared" si="201"/>
        <v>6451099.2199999997</v>
      </c>
      <c r="FF77" s="172">
        <f t="shared" si="201"/>
        <v>5833445.29</v>
      </c>
      <c r="FG77" s="172">
        <f t="shared" si="201"/>
        <v>3550651.71</v>
      </c>
      <c r="FH77" s="172">
        <f t="shared" si="201"/>
        <v>-3662750.7</v>
      </c>
      <c r="FI77" s="172">
        <f t="shared" si="201"/>
        <v>-4393688.88</v>
      </c>
      <c r="FJ77" s="172">
        <f t="shared" si="201"/>
        <v>-3256971.62</v>
      </c>
      <c r="FK77" s="172">
        <f t="shared" si="201"/>
        <v>-1012444.71</v>
      </c>
      <c r="FL77" s="172">
        <f t="shared" si="201"/>
        <v>205246.81</v>
      </c>
      <c r="FM77" s="172">
        <f t="shared" si="201"/>
        <v>705544.42</v>
      </c>
      <c r="FN77" s="172">
        <f t="shared" si="201"/>
        <v>4135654.06</v>
      </c>
      <c r="FO77" s="172">
        <f t="shared" si="201"/>
        <v>5727829.9400000004</v>
      </c>
      <c r="FP77" s="172">
        <f t="shared" si="201"/>
        <v>5158220.7699999996</v>
      </c>
      <c r="FQ77" s="172">
        <f t="shared" si="201"/>
        <v>4987206.01</v>
      </c>
      <c r="FR77" s="172">
        <f t="shared" si="201"/>
        <v>7864538.7599999998</v>
      </c>
      <c r="FS77" s="172">
        <f t="shared" si="201"/>
        <v>3409852.18</v>
      </c>
      <c r="FT77" s="172">
        <f t="shared" si="201"/>
        <v>-11440416.699999999</v>
      </c>
      <c r="FU77" s="172">
        <f t="shared" si="201"/>
        <v>-5759605.0800000001</v>
      </c>
      <c r="FV77" s="172">
        <f t="shared" si="201"/>
        <v>-5795417.4800000004</v>
      </c>
      <c r="FW77" s="172">
        <f t="shared" si="201"/>
        <v>-1696994.45</v>
      </c>
      <c r="FX77" s="172">
        <f t="shared" si="201"/>
        <v>-1217118.6200000001</v>
      </c>
      <c r="FY77" s="172">
        <f t="shared" si="201"/>
        <v>2381874.0499999998</v>
      </c>
      <c r="FZ77" s="172">
        <f t="shared" si="201"/>
        <v>4253276.51</v>
      </c>
      <c r="GA77" s="172">
        <f t="shared" si="201"/>
        <v>5258791.8499999996</v>
      </c>
      <c r="GB77" s="172">
        <f t="shared" si="201"/>
        <v>5839760.8399999999</v>
      </c>
      <c r="GC77" s="172">
        <f t="shared" si="201"/>
        <v>6483165.0300000003</v>
      </c>
      <c r="GD77" s="172">
        <f t="shared" si="201"/>
        <v>4897529.0599999996</v>
      </c>
      <c r="GE77" s="172">
        <f t="shared" si="201"/>
        <v>2287971.08</v>
      </c>
      <c r="GF77" s="172">
        <f t="shared" si="201"/>
        <v>-17405744.739999998</v>
      </c>
      <c r="GG77" s="172">
        <f t="shared" si="201"/>
        <v>-8725634.2899999991</v>
      </c>
      <c r="GH77" s="172">
        <f t="shared" si="201"/>
        <v>-10047652.630000001</v>
      </c>
      <c r="GI77" s="172">
        <f t="shared" si="201"/>
        <v>-6592788.04</v>
      </c>
      <c r="GJ77" s="172">
        <f t="shared" si="201"/>
        <v>-3983810.61</v>
      </c>
      <c r="GK77" s="172">
        <f t="shared" si="201"/>
        <v>-1045665.62</v>
      </c>
      <c r="GL77" s="172">
        <f t="shared" si="201"/>
        <v>2348176.15</v>
      </c>
      <c r="GM77" s="172">
        <f t="shared" si="201"/>
        <v>5375428.7000000002</v>
      </c>
      <c r="GN77" s="172">
        <f t="shared" si="201"/>
        <v>5918757.1600000001</v>
      </c>
      <c r="GO77" s="172">
        <f t="shared" si="201"/>
        <v>6138921.3499999996</v>
      </c>
      <c r="GP77" s="172">
        <f t="shared" si="201"/>
        <v>5222098.24</v>
      </c>
      <c r="GQ77" s="172">
        <f t="shared" ref="GQ77:JN77" si="202">ROUND(SUM(GQ71:GQ76),2)</f>
        <v>1037071.12</v>
      </c>
      <c r="GR77" s="172">
        <f t="shared" si="202"/>
        <v>-2541887.37</v>
      </c>
      <c r="GS77" s="172">
        <f t="shared" si="202"/>
        <v>-7794001.7000000002</v>
      </c>
      <c r="GT77" s="172">
        <f t="shared" si="202"/>
        <v>-4847001.6399999997</v>
      </c>
      <c r="GU77" s="172">
        <f t="shared" si="202"/>
        <v>-6000471.3099999996</v>
      </c>
      <c r="GV77" s="172">
        <f t="shared" si="202"/>
        <v>-3469738.89</v>
      </c>
      <c r="GW77" s="172">
        <f t="shared" si="202"/>
        <v>-245133.4</v>
      </c>
      <c r="GX77" s="172">
        <f t="shared" si="202"/>
        <v>4762769.99</v>
      </c>
      <c r="GY77" s="172">
        <f t="shared" si="202"/>
        <v>5013400.9800000004</v>
      </c>
      <c r="GZ77" s="172">
        <f t="shared" si="202"/>
        <v>6554480.5899999999</v>
      </c>
      <c r="HA77" s="172">
        <f t="shared" si="202"/>
        <v>6013117.9699999997</v>
      </c>
      <c r="HB77" s="172">
        <f t="shared" si="202"/>
        <v>5368290.54</v>
      </c>
      <c r="HC77" s="172">
        <f t="shared" si="202"/>
        <v>1473970.8</v>
      </c>
      <c r="HD77" s="172">
        <f t="shared" si="202"/>
        <v>-1527119.32</v>
      </c>
      <c r="HE77" s="172">
        <f t="shared" si="202"/>
        <v>-7064020.5</v>
      </c>
      <c r="HF77" s="172">
        <f t="shared" si="202"/>
        <v>-5127508.5999999996</v>
      </c>
      <c r="HG77" s="172">
        <f t="shared" si="202"/>
        <v>-9608350.4900000002</v>
      </c>
      <c r="HH77" s="172">
        <f t="shared" si="202"/>
        <v>-2757034.78</v>
      </c>
      <c r="HI77" s="172">
        <f t="shared" si="202"/>
        <v>522632.31</v>
      </c>
      <c r="HJ77" s="172">
        <f t="shared" si="202"/>
        <v>4019724.35</v>
      </c>
      <c r="HK77" s="172">
        <f t="shared" si="202"/>
        <v>5475169.0599999996</v>
      </c>
      <c r="HL77" s="172">
        <f t="shared" si="202"/>
        <v>5964184.0999999996</v>
      </c>
      <c r="HM77" s="172">
        <f t="shared" si="202"/>
        <v>6227760.4199999999</v>
      </c>
      <c r="HN77" s="172">
        <f t="shared" si="202"/>
        <v>5035308.2300000004</v>
      </c>
      <c r="HO77" s="172">
        <f t="shared" si="202"/>
        <v>-432767.61</v>
      </c>
      <c r="HP77" s="172">
        <f t="shared" si="202"/>
        <v>-2789179.8</v>
      </c>
      <c r="HQ77" s="172">
        <f t="shared" si="202"/>
        <v>-7361491.8399999999</v>
      </c>
      <c r="HR77" s="172">
        <f t="shared" si="202"/>
        <v>-7335667.0599999996</v>
      </c>
      <c r="HS77" s="172">
        <f t="shared" si="202"/>
        <v>-6226298.75</v>
      </c>
      <c r="HT77" s="172">
        <f t="shared" si="202"/>
        <v>-5210060.71</v>
      </c>
      <c r="HU77" s="172">
        <f t="shared" si="202"/>
        <v>360150.91</v>
      </c>
      <c r="HV77" s="172">
        <f t="shared" si="202"/>
        <v>4347519.6900000004</v>
      </c>
      <c r="HW77" s="172">
        <f t="shared" si="202"/>
        <v>4941701.96</v>
      </c>
      <c r="HX77" s="172">
        <f t="shared" si="202"/>
        <v>6812994.5899999999</v>
      </c>
      <c r="HY77" s="172">
        <f t="shared" si="202"/>
        <v>7104770.8600000003</v>
      </c>
      <c r="HZ77" s="172">
        <f t="shared" si="202"/>
        <v>6212320.5300000003</v>
      </c>
      <c r="IA77" s="172">
        <f t="shared" si="202"/>
        <v>1962150.42</v>
      </c>
      <c r="IB77" s="172">
        <f t="shared" si="202"/>
        <v>-6487648.0499999998</v>
      </c>
      <c r="IC77" s="172">
        <f t="shared" si="202"/>
        <v>-6510101.6699999999</v>
      </c>
      <c r="ID77" s="172">
        <f t="shared" si="202"/>
        <v>-6556002.0899999999</v>
      </c>
      <c r="IE77" s="172">
        <f t="shared" si="202"/>
        <v>-8161283.7999999998</v>
      </c>
      <c r="IF77" s="172">
        <f t="shared" si="202"/>
        <v>-5199576.96</v>
      </c>
      <c r="IG77" s="172">
        <f t="shared" si="202"/>
        <v>260015.29</v>
      </c>
      <c r="IH77" s="172">
        <f t="shared" si="202"/>
        <v>3862294.34</v>
      </c>
      <c r="II77" s="172">
        <f t="shared" si="202"/>
        <v>5933103.2800000003</v>
      </c>
      <c r="IJ77" s="172">
        <f t="shared" si="202"/>
        <v>7254704.4100000001</v>
      </c>
      <c r="IK77" s="172">
        <f t="shared" si="202"/>
        <v>6906542.8399999999</v>
      </c>
      <c r="IL77" s="172">
        <f t="shared" si="202"/>
        <v>5645581.9000000004</v>
      </c>
      <c r="IM77" s="172">
        <f t="shared" si="202"/>
        <v>705764.8</v>
      </c>
      <c r="IN77" s="172">
        <f t="shared" si="202"/>
        <v>-2769757.16</v>
      </c>
      <c r="IO77" s="172">
        <f t="shared" si="202"/>
        <v>-8877821.7899999991</v>
      </c>
      <c r="IP77" s="172">
        <f t="shared" si="202"/>
        <v>-8311079.9199999999</v>
      </c>
      <c r="IQ77" s="172">
        <f t="shared" si="202"/>
        <v>-5474831.2999999998</v>
      </c>
      <c r="IR77" s="172">
        <f t="shared" si="202"/>
        <v>-2859687.61</v>
      </c>
      <c r="IS77" s="172">
        <f t="shared" si="202"/>
        <v>-2205758.89</v>
      </c>
      <c r="IT77" s="172">
        <f t="shared" si="202"/>
        <v>2357318.67</v>
      </c>
      <c r="IU77" s="172">
        <f t="shared" si="202"/>
        <v>5547851.6299999999</v>
      </c>
      <c r="IV77" s="172">
        <f t="shared" si="202"/>
        <v>6846395.1200000001</v>
      </c>
      <c r="IW77" s="172">
        <f t="shared" si="202"/>
        <v>7663344.2199999997</v>
      </c>
      <c r="IX77" s="172">
        <f t="shared" si="202"/>
        <v>6724923.8899999997</v>
      </c>
      <c r="IY77" s="172">
        <f t="shared" ref="IY77:JJ77" si="203">ROUND(SUM(IY71:IY76),2)</f>
        <v>3906229.68</v>
      </c>
      <c r="IZ77" s="172">
        <f>ROUND(SUM(IZ71:IZ76),2)</f>
        <v>-7211649.71</v>
      </c>
      <c r="JA77" s="172">
        <f t="shared" si="203"/>
        <v>-10177963.300000001</v>
      </c>
      <c r="JB77" s="172">
        <f t="shared" si="203"/>
        <v>-7502531.1900000004</v>
      </c>
      <c r="JC77" s="172">
        <f t="shared" si="203"/>
        <v>-7913992.6500000004</v>
      </c>
      <c r="JD77" s="172">
        <f t="shared" si="203"/>
        <v>-6292294.9699999997</v>
      </c>
      <c r="JE77" s="172">
        <f t="shared" si="203"/>
        <v>-3093987.57</v>
      </c>
      <c r="JF77" s="172">
        <f t="shared" si="203"/>
        <v>4146269.45</v>
      </c>
      <c r="JG77" s="172">
        <f t="shared" si="203"/>
        <v>5076412.88</v>
      </c>
      <c r="JH77" s="172">
        <f t="shared" si="203"/>
        <v>6434269.1600000001</v>
      </c>
      <c r="JI77" s="172">
        <f t="shared" si="203"/>
        <v>6293547.3099999996</v>
      </c>
      <c r="JJ77" s="172">
        <f t="shared" si="203"/>
        <v>5065037.29</v>
      </c>
      <c r="JK77" s="172">
        <f t="shared" si="202"/>
        <v>798912.01</v>
      </c>
      <c r="JL77" s="172">
        <f t="shared" si="202"/>
        <v>-4250793.5</v>
      </c>
      <c r="JM77" s="172">
        <f t="shared" si="202"/>
        <v>-4714993.1900000004</v>
      </c>
      <c r="JN77" s="172">
        <f t="shared" si="202"/>
        <v>-8680735.0700000003</v>
      </c>
      <c r="JO77" s="172">
        <f t="shared" ref="JO77:JU77" si="204">ROUND(SUM(JO71:JO76),2)</f>
        <v>-5406054.0999999996</v>
      </c>
      <c r="JP77" s="172">
        <f t="shared" si="204"/>
        <v>-4421425.21</v>
      </c>
      <c r="JQ77" s="172">
        <f t="shared" si="204"/>
        <v>-1022547.69</v>
      </c>
      <c r="JR77" s="172">
        <f t="shared" si="204"/>
        <v>2679979.71</v>
      </c>
      <c r="JS77" s="172">
        <f t="shared" si="204"/>
        <v>4523627.42</v>
      </c>
      <c r="JT77" s="172">
        <f t="shared" si="204"/>
        <v>6454597.2599999998</v>
      </c>
      <c r="JU77" s="172">
        <f t="shared" si="204"/>
        <v>6820087.5899999999</v>
      </c>
      <c r="JV77" s="632"/>
      <c r="JW77" s="414"/>
      <c r="JX77" s="414"/>
      <c r="JY77" s="414"/>
      <c r="JZ77" s="414"/>
      <c r="KA77" s="414"/>
      <c r="KB77" s="414"/>
      <c r="KC77" s="414"/>
      <c r="KD77" s="414"/>
      <c r="KE77" s="414"/>
      <c r="KF77" s="414"/>
      <c r="KG77" s="414"/>
      <c r="KH77" s="414"/>
      <c r="KI77" s="633"/>
    </row>
    <row r="78" spans="1:295" x14ac:dyDescent="0.2">
      <c r="B78" s="24" t="s">
        <v>109</v>
      </c>
      <c r="D78" s="50">
        <f t="shared" ref="D78:AB78" si="205">+D70+D77</f>
        <v>6582659.4399999995</v>
      </c>
      <c r="E78" s="50">
        <f t="shared" si="205"/>
        <v>5149738.0699999994</v>
      </c>
      <c r="F78" s="50">
        <f t="shared" si="205"/>
        <v>9736881.959999999</v>
      </c>
      <c r="G78" s="50">
        <f t="shared" si="205"/>
        <v>9465493.7632345539</v>
      </c>
      <c r="H78" s="50">
        <f t="shared" si="205"/>
        <v>8173201.3623101432</v>
      </c>
      <c r="I78" s="50">
        <f t="shared" si="205"/>
        <v>524523.13488577679</v>
      </c>
      <c r="J78" s="50">
        <f t="shared" si="205"/>
        <v>-5891876.8579950389</v>
      </c>
      <c r="K78" s="50">
        <f t="shared" si="205"/>
        <v>-10979374.385499457</v>
      </c>
      <c r="L78" s="50">
        <f t="shared" si="205"/>
        <v>-16753543.956540484</v>
      </c>
      <c r="M78" s="50">
        <f t="shared" si="205"/>
        <v>-18109970.581540793</v>
      </c>
      <c r="N78" s="50">
        <f t="shared" si="205"/>
        <v>-16625041.866006892</v>
      </c>
      <c r="O78" s="50">
        <f t="shared" si="205"/>
        <v>-11933883.351935625</v>
      </c>
      <c r="P78" s="50">
        <f t="shared" si="205"/>
        <v>-5815922.6733974554</v>
      </c>
      <c r="Q78" s="50">
        <f t="shared" si="205"/>
        <v>-761260.1906499695</v>
      </c>
      <c r="R78" s="50">
        <f t="shared" si="205"/>
        <v>3474860.9508792399</v>
      </c>
      <c r="S78" s="50">
        <f t="shared" si="205"/>
        <v>4513502.4935637945</v>
      </c>
      <c r="T78" s="50">
        <f t="shared" si="205"/>
        <v>2972009.2236295706</v>
      </c>
      <c r="U78" s="50">
        <f t="shared" si="205"/>
        <v>-595559.25059998361</v>
      </c>
      <c r="V78" s="50">
        <f t="shared" si="205"/>
        <v>1285637.8581539607</v>
      </c>
      <c r="W78" s="50">
        <f t="shared" si="205"/>
        <v>-2473429.0736782374</v>
      </c>
      <c r="X78" s="50">
        <f t="shared" si="205"/>
        <v>-3511047.8364993492</v>
      </c>
      <c r="Y78" s="50">
        <f t="shared" si="205"/>
        <v>-4104772.3621137384</v>
      </c>
      <c r="Z78" s="50">
        <f t="shared" si="205"/>
        <v>-2009785.0247435833</v>
      </c>
      <c r="AA78" s="50">
        <f t="shared" si="205"/>
        <v>2741768.1679445463</v>
      </c>
      <c r="AB78" s="50">
        <f t="shared" si="205"/>
        <v>7865588.6069445461</v>
      </c>
      <c r="AC78" s="50">
        <f>+AC70+AC77</f>
        <v>12194523.546944547</v>
      </c>
      <c r="AD78" s="50">
        <f>+AD70+AD77</f>
        <v>16933402.656944547</v>
      </c>
      <c r="AE78" s="50">
        <f t="shared" ref="AE78:AP78" si="206">+AE70+AE77</f>
        <v>13097949.356944546</v>
      </c>
      <c r="AF78" s="50">
        <f t="shared" si="206"/>
        <v>8583069.6869445462</v>
      </c>
      <c r="AG78" s="50">
        <f t="shared" si="206"/>
        <v>4214314.8869445464</v>
      </c>
      <c r="AH78" s="50">
        <f t="shared" si="206"/>
        <v>-1264872.9630554533</v>
      </c>
      <c r="AI78" s="50">
        <f t="shared" si="206"/>
        <v>-4362046.3830554532</v>
      </c>
      <c r="AJ78" s="50">
        <f t="shared" si="206"/>
        <v>-5712635.0630554538</v>
      </c>
      <c r="AK78" s="50">
        <f t="shared" si="206"/>
        <v>-3875780.5730554536</v>
      </c>
      <c r="AL78" s="50">
        <f t="shared" si="206"/>
        <v>-522518.99305545352</v>
      </c>
      <c r="AM78" s="50">
        <f t="shared" si="206"/>
        <v>3766785.0469445465</v>
      </c>
      <c r="AN78" s="50">
        <f t="shared" si="206"/>
        <v>8723362.9969445467</v>
      </c>
      <c r="AO78" s="50">
        <f t="shared" si="206"/>
        <v>13464257.476944547</v>
      </c>
      <c r="AP78" s="50">
        <f t="shared" si="206"/>
        <v>17594509.646944545</v>
      </c>
      <c r="AQ78" s="50">
        <f>+AQ70+AQ77</f>
        <v>14864994.622064564</v>
      </c>
      <c r="AR78" s="50">
        <f>+AR70+AR77</f>
        <v>13536491.302064564</v>
      </c>
      <c r="AS78" s="50">
        <f>+AS70+AS77</f>
        <v>10162336.362064563</v>
      </c>
      <c r="AT78" s="50">
        <f t="shared" ref="AT78:BQ78" si="207">+AT70+AT77</f>
        <v>5251216.1120645627</v>
      </c>
      <c r="AU78" s="50">
        <f t="shared" si="207"/>
        <v>2501977.0820645625</v>
      </c>
      <c r="AV78" s="50">
        <f t="shared" si="207"/>
        <v>3854350.3320645625</v>
      </c>
      <c r="AW78" s="50">
        <f t="shared" si="207"/>
        <v>4666461.4120645626</v>
      </c>
      <c r="AX78" s="50">
        <f t="shared" si="207"/>
        <v>8141879.1720645633</v>
      </c>
      <c r="AY78" s="50">
        <f t="shared" si="207"/>
        <v>6143930.2720645629</v>
      </c>
      <c r="AZ78" s="50">
        <f t="shared" si="207"/>
        <v>10500617.862064563</v>
      </c>
      <c r="BA78" s="50">
        <f t="shared" si="207"/>
        <v>14644081.872064563</v>
      </c>
      <c r="BB78" s="50">
        <f t="shared" si="207"/>
        <v>18029288.402064562</v>
      </c>
      <c r="BC78" s="50">
        <f t="shared" si="207"/>
        <v>11540972.062064562</v>
      </c>
      <c r="BD78" s="50">
        <f t="shared" si="207"/>
        <v>9477201.4020645618</v>
      </c>
      <c r="BE78" s="50">
        <f t="shared" si="207"/>
        <v>5769416.272064562</v>
      </c>
      <c r="BF78" s="50">
        <f t="shared" si="207"/>
        <v>3415611.2520645619</v>
      </c>
      <c r="BG78" s="50">
        <f t="shared" si="207"/>
        <v>657937.75206456194</v>
      </c>
      <c r="BH78" s="50">
        <f t="shared" si="207"/>
        <v>-626156.37793543818</v>
      </c>
      <c r="BI78" s="50">
        <f t="shared" si="207"/>
        <v>695436.4620645619</v>
      </c>
      <c r="BJ78" s="50">
        <f t="shared" si="207"/>
        <v>3994722.9220645619</v>
      </c>
      <c r="BK78" s="50">
        <f t="shared" si="207"/>
        <v>8667182.0120645612</v>
      </c>
      <c r="BL78" s="50">
        <f t="shared" si="207"/>
        <v>13554048.442064561</v>
      </c>
      <c r="BM78" s="50">
        <f t="shared" si="207"/>
        <v>18505601.30206456</v>
      </c>
      <c r="BN78" s="50">
        <f t="shared" si="207"/>
        <v>22814355.772064559</v>
      </c>
      <c r="BO78" s="50">
        <f t="shared" si="207"/>
        <v>11307013.272064559</v>
      </c>
      <c r="BP78" s="50">
        <f t="shared" si="207"/>
        <v>7704419.2820645589</v>
      </c>
      <c r="BQ78" s="50">
        <f t="shared" si="207"/>
        <v>1503462.2320645591</v>
      </c>
      <c r="BR78" s="50">
        <f>ROUND(+BR70+BR77,2)</f>
        <v>-6183149.46</v>
      </c>
      <c r="BS78" s="50">
        <f t="shared" ref="BS78:ED78" si="208">ROUND(+BS70+BS77,2)</f>
        <v>-5000919.9800000004</v>
      </c>
      <c r="BT78" s="50">
        <f t="shared" si="208"/>
        <v>-5614088.7800000003</v>
      </c>
      <c r="BU78" s="50">
        <f t="shared" si="208"/>
        <v>-7281013.5599999996</v>
      </c>
      <c r="BV78" s="50">
        <f t="shared" si="208"/>
        <v>-3392870.63</v>
      </c>
      <c r="BW78" s="50">
        <f t="shared" si="208"/>
        <v>1711998.95</v>
      </c>
      <c r="BX78" s="50">
        <f t="shared" si="208"/>
        <v>7915220.7400000002</v>
      </c>
      <c r="BY78" s="50">
        <f t="shared" si="208"/>
        <v>14019578.050000001</v>
      </c>
      <c r="BZ78" s="50">
        <f t="shared" si="208"/>
        <v>19143605.91</v>
      </c>
      <c r="CA78" s="50">
        <f t="shared" si="208"/>
        <v>13886149.810000001</v>
      </c>
      <c r="CB78" s="50">
        <f t="shared" si="208"/>
        <v>12186223.99</v>
      </c>
      <c r="CC78" s="50">
        <f t="shared" si="208"/>
        <v>7202820.2199999997</v>
      </c>
      <c r="CD78" s="50">
        <f t="shared" si="208"/>
        <v>829214.1</v>
      </c>
      <c r="CE78" s="50">
        <f t="shared" si="208"/>
        <v>-2077507.92</v>
      </c>
      <c r="CF78" s="50">
        <f t="shared" si="208"/>
        <v>-6182522.1600000001</v>
      </c>
      <c r="CG78" s="50">
        <f t="shared" si="208"/>
        <v>-6665349.9800000004</v>
      </c>
      <c r="CH78" s="50">
        <f t="shared" si="208"/>
        <v>-2817107.44</v>
      </c>
      <c r="CI78" s="50">
        <f t="shared" si="208"/>
        <v>1628558.77</v>
      </c>
      <c r="CJ78" s="50">
        <f t="shared" si="208"/>
        <v>7685713.8799999999</v>
      </c>
      <c r="CK78" s="50">
        <f t="shared" si="208"/>
        <v>13263418.949999999</v>
      </c>
      <c r="CL78" s="50">
        <f t="shared" si="208"/>
        <v>19750679.460000001</v>
      </c>
      <c r="CM78" s="50">
        <f t="shared" si="208"/>
        <v>14348846.65</v>
      </c>
      <c r="CN78" s="50">
        <f t="shared" si="208"/>
        <v>14803911.35</v>
      </c>
      <c r="CO78" s="50">
        <f t="shared" si="208"/>
        <v>7233570.6699999999</v>
      </c>
      <c r="CP78" s="50">
        <f t="shared" si="208"/>
        <v>1251613.48</v>
      </c>
      <c r="CQ78" s="50">
        <f t="shared" si="208"/>
        <v>-1871992.83</v>
      </c>
      <c r="CR78" s="50">
        <f t="shared" si="208"/>
        <v>-4970628.6900000004</v>
      </c>
      <c r="CS78" s="50">
        <f t="shared" si="208"/>
        <v>-3810468.23</v>
      </c>
      <c r="CT78" s="50">
        <f t="shared" si="208"/>
        <v>370044.73</v>
      </c>
      <c r="CU78" s="50">
        <f t="shared" si="208"/>
        <v>2976301.14</v>
      </c>
      <c r="CV78" s="50">
        <f t="shared" si="208"/>
        <v>9177086.0500000007</v>
      </c>
      <c r="CW78" s="50">
        <f t="shared" si="208"/>
        <v>14606652.279999999</v>
      </c>
      <c r="CX78" s="50">
        <f t="shared" si="208"/>
        <v>19970773.25</v>
      </c>
      <c r="CY78" s="50">
        <f t="shared" si="208"/>
        <v>13233601.25</v>
      </c>
      <c r="CZ78" s="50">
        <f t="shared" si="208"/>
        <v>11026504.630000001</v>
      </c>
      <c r="DA78" s="50">
        <f t="shared" si="208"/>
        <v>3767836.86</v>
      </c>
      <c r="DB78" s="50">
        <f t="shared" si="208"/>
        <v>3110581.82</v>
      </c>
      <c r="DC78" s="50">
        <f t="shared" si="208"/>
        <v>2964627.24</v>
      </c>
      <c r="DD78" s="50">
        <f t="shared" si="208"/>
        <v>2725763.85</v>
      </c>
      <c r="DE78" s="50">
        <f t="shared" si="208"/>
        <v>3476120.39</v>
      </c>
      <c r="DF78" s="50">
        <f t="shared" si="208"/>
        <v>6197076.4500000002</v>
      </c>
      <c r="DG78" s="50">
        <f t="shared" si="208"/>
        <v>10777915.380000001</v>
      </c>
      <c r="DH78" s="50">
        <f t="shared" si="208"/>
        <v>16619058.17</v>
      </c>
      <c r="DI78" s="50">
        <f t="shared" si="208"/>
        <v>21568756.870000001</v>
      </c>
      <c r="DJ78" s="50">
        <f t="shared" si="208"/>
        <v>26763111</v>
      </c>
      <c r="DK78" s="50">
        <f t="shared" si="208"/>
        <v>29201197.93</v>
      </c>
      <c r="DL78" s="50">
        <f t="shared" si="208"/>
        <v>10010392.359999999</v>
      </c>
      <c r="DM78" s="50">
        <f t="shared" si="208"/>
        <v>5076255.26</v>
      </c>
      <c r="DN78" s="50">
        <f t="shared" si="208"/>
        <v>-608500.51</v>
      </c>
      <c r="DO78" s="50">
        <f t="shared" si="208"/>
        <v>-5622920.6799999997</v>
      </c>
      <c r="DP78" s="50">
        <f t="shared" si="208"/>
        <v>-8274598.5300000003</v>
      </c>
      <c r="DQ78" s="50">
        <f t="shared" si="208"/>
        <v>-10434879.529999999</v>
      </c>
      <c r="DR78" s="50">
        <f t="shared" si="208"/>
        <v>-9000140.7100000009</v>
      </c>
      <c r="DS78" s="50">
        <f t="shared" si="208"/>
        <v>-4881008.8600000003</v>
      </c>
      <c r="DT78" s="50">
        <f t="shared" si="208"/>
        <v>1070838.73</v>
      </c>
      <c r="DU78" s="50">
        <f t="shared" si="208"/>
        <v>6048401.96</v>
      </c>
      <c r="DV78" s="50">
        <f t="shared" si="208"/>
        <v>6370851.0199999996</v>
      </c>
      <c r="DW78" s="50">
        <f t="shared" si="208"/>
        <v>8229609.21</v>
      </c>
      <c r="DX78" s="50">
        <f t="shared" si="208"/>
        <v>2336291.64</v>
      </c>
      <c r="DY78" s="50">
        <f t="shared" si="208"/>
        <v>-4340949.49</v>
      </c>
      <c r="DZ78" s="50">
        <f t="shared" si="208"/>
        <v>-12381228.109999999</v>
      </c>
      <c r="EA78" s="50">
        <f t="shared" si="208"/>
        <v>-17594177.530000001</v>
      </c>
      <c r="EB78" s="50">
        <f t="shared" si="208"/>
        <v>-24187297.899999999</v>
      </c>
      <c r="EC78" s="50">
        <f t="shared" si="208"/>
        <v>-23825985.899999999</v>
      </c>
      <c r="ED78" s="50">
        <f t="shared" si="208"/>
        <v>-21271461.579999998</v>
      </c>
      <c r="EE78" s="50">
        <f t="shared" ref="EE78:GP78" si="209">ROUND(+EE70+EE77,2)</f>
        <v>-17174306.859999999</v>
      </c>
      <c r="EF78" s="50">
        <f t="shared" si="209"/>
        <v>-11635496.6</v>
      </c>
      <c r="EG78" s="50">
        <f t="shared" si="209"/>
        <v>-5613092.3700000001</v>
      </c>
      <c r="EH78" s="50">
        <f t="shared" si="209"/>
        <v>-337628.92</v>
      </c>
      <c r="EI78" s="50">
        <f t="shared" si="209"/>
        <v>861777.57</v>
      </c>
      <c r="EJ78" s="50">
        <f t="shared" si="209"/>
        <v>-1870320.56</v>
      </c>
      <c r="EK78" s="50">
        <f t="shared" si="209"/>
        <v>-8416253.8300000001</v>
      </c>
      <c r="EL78" s="50">
        <f t="shared" si="209"/>
        <v>-17908154.890000001</v>
      </c>
      <c r="EM78" s="50">
        <f t="shared" si="209"/>
        <v>-22407046.52</v>
      </c>
      <c r="EN78" s="50">
        <f t="shared" si="209"/>
        <v>-24081421.309999999</v>
      </c>
      <c r="EO78" s="50">
        <f t="shared" si="209"/>
        <v>-23994087.600000001</v>
      </c>
      <c r="EP78" s="50">
        <f t="shared" si="209"/>
        <v>-20045520.300000001</v>
      </c>
      <c r="EQ78" s="50">
        <f t="shared" si="209"/>
        <v>-14246754.1</v>
      </c>
      <c r="ER78" s="50">
        <f t="shared" si="209"/>
        <v>-7547667.3399999999</v>
      </c>
      <c r="ES78" s="50">
        <f t="shared" si="209"/>
        <v>-526099.24</v>
      </c>
      <c r="ET78" s="50">
        <f t="shared" si="209"/>
        <v>4766846.78</v>
      </c>
      <c r="EU78" s="50">
        <f t="shared" si="209"/>
        <v>5260686.53</v>
      </c>
      <c r="EV78" s="50">
        <f t="shared" si="209"/>
        <v>2151287.27</v>
      </c>
      <c r="EW78" s="50">
        <f t="shared" si="209"/>
        <v>-7362405.4299999997</v>
      </c>
      <c r="EX78" s="50">
        <f t="shared" si="209"/>
        <v>-14433551.67</v>
      </c>
      <c r="EY78" s="50">
        <f t="shared" si="209"/>
        <v>-22077829.420000002</v>
      </c>
      <c r="EZ78" s="50">
        <f t="shared" si="209"/>
        <v>-24539980.68</v>
      </c>
      <c r="FA78" s="50">
        <f t="shared" si="209"/>
        <v>-23444566.859999999</v>
      </c>
      <c r="FB78" s="50">
        <f t="shared" si="209"/>
        <v>-20385273.760000002</v>
      </c>
      <c r="FC78" s="50">
        <f t="shared" si="209"/>
        <v>-14837726.08</v>
      </c>
      <c r="FD78" s="50">
        <f t="shared" si="209"/>
        <v>-8469001.5500000007</v>
      </c>
      <c r="FE78" s="50">
        <f t="shared" si="209"/>
        <v>-2017902.33</v>
      </c>
      <c r="FF78" s="50">
        <f t="shared" si="209"/>
        <v>3815542.96</v>
      </c>
      <c r="FG78" s="50">
        <f t="shared" si="209"/>
        <v>7366194.6699999999</v>
      </c>
      <c r="FH78" s="50">
        <f t="shared" si="209"/>
        <v>3703443.97</v>
      </c>
      <c r="FI78" s="50">
        <f t="shared" si="209"/>
        <v>-690244.91</v>
      </c>
      <c r="FJ78" s="50">
        <f t="shared" si="209"/>
        <v>-3947216.53</v>
      </c>
      <c r="FK78" s="50">
        <f t="shared" si="209"/>
        <v>-4959661.24</v>
      </c>
      <c r="FL78" s="50">
        <f t="shared" si="209"/>
        <v>-4754414.43</v>
      </c>
      <c r="FM78" s="50">
        <f t="shared" si="209"/>
        <v>-4048870.01</v>
      </c>
      <c r="FN78" s="50">
        <f t="shared" si="209"/>
        <v>86784.05</v>
      </c>
      <c r="FO78" s="50">
        <f t="shared" si="209"/>
        <v>5814613.9900000002</v>
      </c>
      <c r="FP78" s="50">
        <f t="shared" si="209"/>
        <v>10972834.76</v>
      </c>
      <c r="FQ78" s="50">
        <f t="shared" si="209"/>
        <v>15960040.77</v>
      </c>
      <c r="FR78" s="50">
        <f t="shared" si="209"/>
        <v>23824579.530000001</v>
      </c>
      <c r="FS78" s="50">
        <f t="shared" si="209"/>
        <v>27234431.710000001</v>
      </c>
      <c r="FT78" s="50">
        <f t="shared" si="209"/>
        <v>15794015.01</v>
      </c>
      <c r="FU78" s="50">
        <f t="shared" si="209"/>
        <v>10034409.93</v>
      </c>
      <c r="FV78" s="50">
        <f t="shared" si="209"/>
        <v>4238992.45</v>
      </c>
      <c r="FW78" s="50">
        <f t="shared" si="209"/>
        <v>2541998</v>
      </c>
      <c r="FX78" s="50">
        <f t="shared" si="209"/>
        <v>1324879.3799999999</v>
      </c>
      <c r="FY78" s="50">
        <f t="shared" si="209"/>
        <v>3706753.43</v>
      </c>
      <c r="FZ78" s="50">
        <f t="shared" si="209"/>
        <v>7960029.9400000004</v>
      </c>
      <c r="GA78" s="50">
        <f t="shared" si="209"/>
        <v>13218821.789999999</v>
      </c>
      <c r="GB78" s="50">
        <f t="shared" si="209"/>
        <v>19058582.629999999</v>
      </c>
      <c r="GC78" s="50">
        <f t="shared" si="209"/>
        <v>25541747.66</v>
      </c>
      <c r="GD78" s="50">
        <f t="shared" si="209"/>
        <v>30439276.719999999</v>
      </c>
      <c r="GE78" s="50">
        <f t="shared" si="209"/>
        <v>32727247.800000001</v>
      </c>
      <c r="GF78" s="50">
        <f t="shared" si="209"/>
        <v>15321503.060000001</v>
      </c>
      <c r="GG78" s="50">
        <f t="shared" si="209"/>
        <v>6595868.7699999996</v>
      </c>
      <c r="GH78" s="50">
        <f t="shared" si="209"/>
        <v>-3451783.86</v>
      </c>
      <c r="GI78" s="50">
        <f t="shared" si="209"/>
        <v>-10044571.9</v>
      </c>
      <c r="GJ78" s="50">
        <f t="shared" si="209"/>
        <v>-14028382.51</v>
      </c>
      <c r="GK78" s="50">
        <f t="shared" si="209"/>
        <v>-15074048.130000001</v>
      </c>
      <c r="GL78" s="50">
        <f t="shared" si="209"/>
        <v>-12725871.98</v>
      </c>
      <c r="GM78" s="50">
        <f t="shared" si="209"/>
        <v>-7350443.2800000003</v>
      </c>
      <c r="GN78" s="50">
        <f t="shared" si="209"/>
        <v>-1431686.12</v>
      </c>
      <c r="GO78" s="50">
        <f t="shared" si="209"/>
        <v>4707235.2300000004</v>
      </c>
      <c r="GP78" s="50">
        <f t="shared" si="209"/>
        <v>9929333.4700000007</v>
      </c>
      <c r="GQ78" s="50">
        <f t="shared" ref="GQ78:JN78" si="210">ROUND(+GQ70+GQ77,2)</f>
        <v>10966404.59</v>
      </c>
      <c r="GR78" s="50">
        <f t="shared" si="210"/>
        <v>8424517.2200000007</v>
      </c>
      <c r="GS78" s="50">
        <f t="shared" si="210"/>
        <v>630515.52</v>
      </c>
      <c r="GT78" s="50">
        <f t="shared" si="210"/>
        <v>-4216486.12</v>
      </c>
      <c r="GU78" s="50">
        <f t="shared" si="210"/>
        <v>-10216957.43</v>
      </c>
      <c r="GV78" s="50">
        <f t="shared" si="210"/>
        <v>-13686696.32</v>
      </c>
      <c r="GW78" s="50">
        <f t="shared" si="210"/>
        <v>-13931829.720000001</v>
      </c>
      <c r="GX78" s="50">
        <f t="shared" si="210"/>
        <v>-9169059.7300000004</v>
      </c>
      <c r="GY78" s="50">
        <f t="shared" si="210"/>
        <v>-4155658.75</v>
      </c>
      <c r="GZ78" s="50">
        <f t="shared" si="210"/>
        <v>2398821.84</v>
      </c>
      <c r="HA78" s="50">
        <f t="shared" si="210"/>
        <v>8411939.8100000005</v>
      </c>
      <c r="HB78" s="50">
        <f t="shared" si="210"/>
        <v>13780230.35</v>
      </c>
      <c r="HC78" s="50">
        <f t="shared" si="210"/>
        <v>15254201.15</v>
      </c>
      <c r="HD78" s="50">
        <f t="shared" si="210"/>
        <v>13727081.83</v>
      </c>
      <c r="HE78" s="50">
        <f t="shared" si="210"/>
        <v>6663061.3300000001</v>
      </c>
      <c r="HF78" s="50">
        <f t="shared" si="210"/>
        <v>1535552.73</v>
      </c>
      <c r="HG78" s="50">
        <f t="shared" si="210"/>
        <v>-8072797.7599999998</v>
      </c>
      <c r="HH78" s="50">
        <f t="shared" si="210"/>
        <v>-10829832.539999999</v>
      </c>
      <c r="HI78" s="50">
        <f t="shared" si="210"/>
        <v>-10307200.23</v>
      </c>
      <c r="HJ78" s="50">
        <f t="shared" si="210"/>
        <v>-6287475.8799999999</v>
      </c>
      <c r="HK78" s="50">
        <f t="shared" si="210"/>
        <v>-812306.82</v>
      </c>
      <c r="HL78" s="50">
        <f t="shared" si="210"/>
        <v>5151877.28</v>
      </c>
      <c r="HM78" s="50">
        <f t="shared" si="210"/>
        <v>11379637.699999999</v>
      </c>
      <c r="HN78" s="50">
        <f t="shared" si="210"/>
        <v>16414945.93</v>
      </c>
      <c r="HO78" s="50">
        <f t="shared" si="210"/>
        <v>15982178.32</v>
      </c>
      <c r="HP78" s="50">
        <f t="shared" si="210"/>
        <v>13192998.52</v>
      </c>
      <c r="HQ78" s="50">
        <f t="shared" si="210"/>
        <v>5831506.6799999997</v>
      </c>
      <c r="HR78" s="50">
        <f t="shared" si="210"/>
        <v>-1504160.38</v>
      </c>
      <c r="HS78" s="50">
        <f t="shared" si="210"/>
        <v>-7730459.1299999999</v>
      </c>
      <c r="HT78" s="50">
        <f t="shared" si="210"/>
        <v>-12940519.84</v>
      </c>
      <c r="HU78" s="50">
        <f t="shared" si="210"/>
        <v>-12580368.93</v>
      </c>
      <c r="HV78" s="50">
        <f t="shared" si="210"/>
        <v>-8232849.2400000002</v>
      </c>
      <c r="HW78" s="50">
        <f t="shared" si="210"/>
        <v>-3291147.28</v>
      </c>
      <c r="HX78" s="50">
        <f t="shared" si="210"/>
        <v>3521847.31</v>
      </c>
      <c r="HY78" s="50">
        <f t="shared" si="210"/>
        <v>10626618.17</v>
      </c>
      <c r="HZ78" s="50">
        <f t="shared" si="210"/>
        <v>16838938.699999999</v>
      </c>
      <c r="IA78" s="50">
        <f t="shared" si="210"/>
        <v>18801089.120000001</v>
      </c>
      <c r="IB78" s="50">
        <f t="shared" si="210"/>
        <v>12313441.07</v>
      </c>
      <c r="IC78" s="50">
        <f t="shared" si="210"/>
        <v>5803339.4000000004</v>
      </c>
      <c r="ID78" s="50">
        <f t="shared" si="210"/>
        <v>-752662.69</v>
      </c>
      <c r="IE78" s="50">
        <f t="shared" si="210"/>
        <v>-8913946.4900000002</v>
      </c>
      <c r="IF78" s="50">
        <f t="shared" si="210"/>
        <v>-14113523.449999999</v>
      </c>
      <c r="IG78" s="50">
        <f t="shared" si="210"/>
        <v>-13853508.16</v>
      </c>
      <c r="IH78" s="50">
        <f t="shared" si="210"/>
        <v>-9991213.8200000003</v>
      </c>
      <c r="II78" s="50">
        <f t="shared" si="210"/>
        <v>-4058110.54</v>
      </c>
      <c r="IJ78" s="50">
        <f t="shared" si="210"/>
        <v>3196593.87</v>
      </c>
      <c r="IK78" s="50">
        <f t="shared" si="210"/>
        <v>10103136.710000001</v>
      </c>
      <c r="IL78" s="50">
        <f t="shared" si="210"/>
        <v>15748718.609999999</v>
      </c>
      <c r="IM78" s="50">
        <f t="shared" si="210"/>
        <v>16454483.41</v>
      </c>
      <c r="IN78" s="50">
        <f t="shared" si="210"/>
        <v>13684726.25</v>
      </c>
      <c r="IO78" s="50">
        <f t="shared" si="210"/>
        <v>4806904.46</v>
      </c>
      <c r="IP78" s="50">
        <f t="shared" si="210"/>
        <v>-3504175.46</v>
      </c>
      <c r="IQ78" s="50">
        <f t="shared" si="210"/>
        <v>-8979006.7599999998</v>
      </c>
      <c r="IR78" s="50">
        <f t="shared" si="210"/>
        <v>-11838694.369999999</v>
      </c>
      <c r="IS78" s="50">
        <f t="shared" si="210"/>
        <v>-14044453.26</v>
      </c>
      <c r="IT78" s="50">
        <f t="shared" si="210"/>
        <v>-11687134.59</v>
      </c>
      <c r="IU78" s="50">
        <f t="shared" si="210"/>
        <v>-6139282.96</v>
      </c>
      <c r="IV78" s="50">
        <f t="shared" si="210"/>
        <v>707112.16</v>
      </c>
      <c r="IW78" s="50">
        <f t="shared" si="210"/>
        <v>8370456.3799999999</v>
      </c>
      <c r="IX78" s="50">
        <f t="shared" si="210"/>
        <v>15095380.27</v>
      </c>
      <c r="IY78" s="50">
        <f t="shared" ref="IY78:JJ78" si="211">ROUND(+IY70+IY77,2)</f>
        <v>19001609.949999999</v>
      </c>
      <c r="IZ78" s="50">
        <f t="shared" si="211"/>
        <v>11789960.24</v>
      </c>
      <c r="JA78" s="50">
        <f t="shared" si="211"/>
        <v>1611996.94</v>
      </c>
      <c r="JB78" s="50">
        <f t="shared" si="211"/>
        <v>-5890534.25</v>
      </c>
      <c r="JC78" s="50">
        <f t="shared" si="211"/>
        <v>-13804526.9</v>
      </c>
      <c r="JD78" s="50">
        <f t="shared" si="211"/>
        <v>-20096821.870000001</v>
      </c>
      <c r="JE78" s="50">
        <f t="shared" si="211"/>
        <v>-23190809.440000001</v>
      </c>
      <c r="JF78" s="50">
        <f t="shared" si="211"/>
        <v>-19044539.989999998</v>
      </c>
      <c r="JG78" s="50">
        <f t="shared" si="211"/>
        <v>-13968127.109999999</v>
      </c>
      <c r="JH78" s="50">
        <f t="shared" si="211"/>
        <v>-7533857.9500000002</v>
      </c>
      <c r="JI78" s="50">
        <f t="shared" si="211"/>
        <v>-1240310.6399999999</v>
      </c>
      <c r="JJ78" s="139">
        <f t="shared" si="211"/>
        <v>3824726.65</v>
      </c>
      <c r="JK78" s="139">
        <f t="shared" si="210"/>
        <v>4623638.66</v>
      </c>
      <c r="JL78" s="139">
        <f t="shared" si="210"/>
        <v>372845.16</v>
      </c>
      <c r="JM78" s="139">
        <f t="shared" si="210"/>
        <v>-4342148.03</v>
      </c>
      <c r="JN78" s="139">
        <f t="shared" si="210"/>
        <v>-13022883.1</v>
      </c>
      <c r="JO78" s="139">
        <f t="shared" ref="JO78:JU78" si="212">ROUND(+JO70+JO77,2)</f>
        <v>-18428937.199999999</v>
      </c>
      <c r="JP78" s="139">
        <f t="shared" si="212"/>
        <v>-22850362.41</v>
      </c>
      <c r="JQ78" s="139">
        <f t="shared" si="212"/>
        <v>-23872910.100000001</v>
      </c>
      <c r="JR78" s="139">
        <f t="shared" si="212"/>
        <v>-21192930.390000001</v>
      </c>
      <c r="JS78" s="139">
        <f t="shared" si="212"/>
        <v>-16669302.970000001</v>
      </c>
      <c r="JT78" s="139">
        <f t="shared" si="212"/>
        <v>-10214705.710000001</v>
      </c>
      <c r="JU78" s="139">
        <f t="shared" si="212"/>
        <v>-3394618.12</v>
      </c>
      <c r="JV78" s="632"/>
      <c r="JW78" s="414"/>
      <c r="JX78" s="414"/>
      <c r="JY78" s="414"/>
      <c r="JZ78" s="414"/>
      <c r="KA78" s="414"/>
      <c r="KB78" s="414"/>
      <c r="KC78" s="414"/>
      <c r="KD78" s="414"/>
      <c r="KE78" s="414"/>
      <c r="KF78" s="414"/>
      <c r="KG78" s="414"/>
      <c r="KH78" s="414"/>
      <c r="KI78" s="633"/>
    </row>
    <row r="79" spans="1:295" x14ac:dyDescent="0.2">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27"/>
      <c r="DJ79" s="127"/>
      <c r="DK79" s="127"/>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39"/>
      <c r="JN79" s="139"/>
      <c r="JO79" s="139"/>
      <c r="JP79" s="139"/>
      <c r="JQ79" s="139"/>
      <c r="JR79" s="139"/>
      <c r="JS79" s="139"/>
      <c r="JT79" s="139"/>
      <c r="JU79" s="139"/>
      <c r="JV79" s="632"/>
      <c r="JW79" s="414"/>
      <c r="JX79" s="414"/>
      <c r="JY79" s="414"/>
      <c r="JZ79" s="414"/>
      <c r="KA79" s="414"/>
      <c r="KB79" s="414"/>
      <c r="KC79" s="414"/>
      <c r="KD79" s="414"/>
      <c r="KE79" s="414"/>
      <c r="KF79" s="414"/>
      <c r="KG79" s="414"/>
      <c r="KH79" s="414"/>
      <c r="KI79" s="633"/>
    </row>
    <row r="80" spans="1:295" x14ac:dyDescent="0.2">
      <c r="A80" s="23" t="s">
        <v>127</v>
      </c>
      <c r="C80" s="24">
        <v>19100022</v>
      </c>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27"/>
      <c r="DJ80" s="127"/>
      <c r="DK80" s="127"/>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c r="IU80" s="139"/>
      <c r="IV80" s="139"/>
      <c r="IW80" s="139"/>
      <c r="IX80" s="139"/>
      <c r="IY80" s="139"/>
      <c r="IZ80" s="139"/>
      <c r="JA80" s="139"/>
      <c r="JB80" s="139"/>
      <c r="JC80" s="139"/>
      <c r="JD80" s="139"/>
      <c r="JE80" s="139"/>
      <c r="JF80" s="139"/>
      <c r="JG80" s="139"/>
      <c r="JH80" s="139"/>
      <c r="JI80" s="139"/>
      <c r="JJ80" s="139"/>
      <c r="JK80" s="139"/>
      <c r="JL80" s="139"/>
      <c r="JM80" s="139"/>
      <c r="JN80" s="139"/>
      <c r="JO80" s="139"/>
      <c r="JP80" s="139"/>
      <c r="JQ80" s="139"/>
      <c r="JR80" s="139"/>
      <c r="JS80" s="139"/>
      <c r="JT80" s="139"/>
      <c r="JU80" s="139"/>
      <c r="JV80" s="632"/>
      <c r="JW80" s="414"/>
      <c r="JX80" s="414"/>
      <c r="JY80" s="414"/>
      <c r="JZ80" s="414"/>
      <c r="KA80" s="414"/>
      <c r="KB80" s="414"/>
      <c r="KC80" s="414"/>
      <c r="KD80" s="414"/>
      <c r="KE80" s="414"/>
      <c r="KF80" s="414"/>
      <c r="KG80" s="414"/>
      <c r="KH80" s="414"/>
      <c r="KI80" s="633"/>
    </row>
    <row r="81" spans="1:295" x14ac:dyDescent="0.2">
      <c r="B81" s="24" t="s">
        <v>104</v>
      </c>
      <c r="D81" s="50">
        <v>65607275.25</v>
      </c>
      <c r="E81" s="50">
        <f>+D91</f>
        <v>56519466.859999999</v>
      </c>
      <c r="F81" s="50">
        <f>+E91</f>
        <v>-6499999.9999999925</v>
      </c>
      <c r="G81" s="50">
        <f>+F91</f>
        <v>-13239176.513999991</v>
      </c>
      <c r="H81" s="50">
        <f>+G91</f>
        <v>-22246184.579489488</v>
      </c>
      <c r="I81" s="50">
        <f t="shared" ref="I81:AA81" si="213">ROUND(+H91,2)</f>
        <v>-32353440.989999998</v>
      </c>
      <c r="J81" s="50">
        <f t="shared" si="213"/>
        <v>-37014395.659999996</v>
      </c>
      <c r="K81" s="50">
        <f t="shared" si="213"/>
        <v>-43103115.57</v>
      </c>
      <c r="L81" s="50">
        <f t="shared" si="213"/>
        <v>-51308767.009999998</v>
      </c>
      <c r="M81" s="50">
        <f t="shared" si="213"/>
        <v>-58505535.079999998</v>
      </c>
      <c r="N81" s="50">
        <f t="shared" si="213"/>
        <v>-64827307.780000001</v>
      </c>
      <c r="O81" s="50">
        <f t="shared" si="213"/>
        <v>-72423976.920000002</v>
      </c>
      <c r="P81" s="50">
        <f t="shared" si="213"/>
        <v>-76915521.689999998</v>
      </c>
      <c r="Q81" s="50">
        <f t="shared" si="213"/>
        <v>-83804423.620000005</v>
      </c>
      <c r="R81" s="50">
        <f t="shared" si="213"/>
        <v>-92032768.5</v>
      </c>
      <c r="S81" s="50">
        <f t="shared" si="213"/>
        <v>-98965733.810000002</v>
      </c>
      <c r="T81" s="50">
        <f t="shared" si="213"/>
        <v>-102965739.3</v>
      </c>
      <c r="U81" s="50">
        <f t="shared" si="213"/>
        <v>-99764774.129999995</v>
      </c>
      <c r="V81" s="50">
        <f>ROUND(+U91,2)</f>
        <v>-95806151.909999996</v>
      </c>
      <c r="W81" s="50">
        <f t="shared" si="213"/>
        <v>7646662.0899999999</v>
      </c>
      <c r="X81" s="50">
        <f t="shared" si="213"/>
        <v>12821179.130000001</v>
      </c>
      <c r="Y81" s="50">
        <f t="shared" si="213"/>
        <v>38171045.68</v>
      </c>
      <c r="Z81" s="50">
        <f>ROUND(+Y91,2)</f>
        <v>2317210.91</v>
      </c>
      <c r="AA81" s="50">
        <f t="shared" si="213"/>
        <v>2850794.18</v>
      </c>
      <c r="AB81" s="50">
        <f>+AA91</f>
        <v>2967761.6297787917</v>
      </c>
      <c r="AC81" s="50">
        <f>+AB91</f>
        <v>675199.85977879167</v>
      </c>
      <c r="AD81" s="50">
        <f>+AC91</f>
        <v>-6957148.4802212082</v>
      </c>
      <c r="AE81" s="50">
        <f t="shared" ref="AE81:AP81" si="214">+AD91</f>
        <v>-7524234.4402212081</v>
      </c>
      <c r="AF81" s="50">
        <f t="shared" si="214"/>
        <v>-11000918.650221208</v>
      </c>
      <c r="AG81" s="50">
        <f t="shared" si="214"/>
        <v>-10455352.130221209</v>
      </c>
      <c r="AH81" s="50">
        <f t="shared" si="214"/>
        <v>-9729307.6702212095</v>
      </c>
      <c r="AI81" s="50">
        <f t="shared" si="214"/>
        <v>-2572899.3102212092</v>
      </c>
      <c r="AJ81" s="50">
        <f t="shared" si="214"/>
        <v>3961806.2097787904</v>
      </c>
      <c r="AK81" s="50">
        <f t="shared" si="214"/>
        <v>7404319.6697787903</v>
      </c>
      <c r="AL81" s="50">
        <f t="shared" si="214"/>
        <v>7171842.9197787903</v>
      </c>
      <c r="AM81" s="50">
        <f t="shared" si="214"/>
        <v>7537093.7197787901</v>
      </c>
      <c r="AN81" s="50">
        <f t="shared" si="214"/>
        <v>6946445.80977879</v>
      </c>
      <c r="AO81" s="50">
        <f t="shared" si="214"/>
        <v>3451965.3997787898</v>
      </c>
      <c r="AP81" s="50">
        <f t="shared" si="214"/>
        <v>1763377.5897787898</v>
      </c>
      <c r="AQ81" s="50">
        <f>AP91</f>
        <v>251101.92977878987</v>
      </c>
      <c r="AR81" s="50">
        <f>+AQ91</f>
        <v>-10988772.520221209</v>
      </c>
      <c r="AS81" s="50">
        <f>+AR91</f>
        <v>-2659079.8002212094</v>
      </c>
      <c r="AT81" s="50">
        <f t="shared" ref="AT81:BQ81" si="215">+AS91</f>
        <v>2211914.2097787904</v>
      </c>
      <c r="AU81" s="50">
        <f t="shared" si="215"/>
        <v>4039081.0197787904</v>
      </c>
      <c r="AV81" s="50">
        <f t="shared" si="215"/>
        <v>12620437.09977879</v>
      </c>
      <c r="AW81" s="50">
        <f t="shared" si="215"/>
        <v>15039904.899778791</v>
      </c>
      <c r="AX81" s="50">
        <f t="shared" si="215"/>
        <v>19064579.709778789</v>
      </c>
      <c r="AY81" s="50">
        <f t="shared" si="215"/>
        <v>22135780.43977879</v>
      </c>
      <c r="AZ81" s="127">
        <f t="shared" si="215"/>
        <v>24483780.749778789</v>
      </c>
      <c r="BA81" s="127">
        <f t="shared" si="215"/>
        <v>24512025.409778789</v>
      </c>
      <c r="BB81" s="127">
        <f t="shared" si="215"/>
        <v>14029548.209778789</v>
      </c>
      <c r="BC81" s="127">
        <f t="shared" si="215"/>
        <v>17985583.399778791</v>
      </c>
      <c r="BD81" s="127">
        <f t="shared" si="215"/>
        <v>2634357.8797787912</v>
      </c>
      <c r="BE81" s="127">
        <f t="shared" si="215"/>
        <v>20702413.699778792</v>
      </c>
      <c r="BF81" s="127">
        <f t="shared" si="215"/>
        <v>39336819.549778789</v>
      </c>
      <c r="BG81" s="127">
        <f t="shared" si="215"/>
        <v>54292370.819778793</v>
      </c>
      <c r="BH81" s="127">
        <f t="shared" si="215"/>
        <v>60603682.449778795</v>
      </c>
      <c r="BI81" s="127">
        <f t="shared" si="215"/>
        <v>62452104.339778796</v>
      </c>
      <c r="BJ81" s="127">
        <f t="shared" si="215"/>
        <v>56068093.029778793</v>
      </c>
      <c r="BK81" s="127">
        <f t="shared" si="215"/>
        <v>59361906.589778796</v>
      </c>
      <c r="BL81" s="127">
        <f t="shared" si="215"/>
        <v>58114566.589778796</v>
      </c>
      <c r="BM81" s="127">
        <f t="shared" si="215"/>
        <v>58296078.399778798</v>
      </c>
      <c r="BN81" s="127">
        <f t="shared" si="215"/>
        <v>57400150.789778799</v>
      </c>
      <c r="BO81" s="127">
        <f t="shared" si="215"/>
        <v>56396131.119778797</v>
      </c>
      <c r="BP81" s="127">
        <f t="shared" si="215"/>
        <v>-16175004.170221195</v>
      </c>
      <c r="BQ81" s="127">
        <f t="shared" si="215"/>
        <v>-19582386.780221194</v>
      </c>
      <c r="BR81" s="159">
        <v>-22702056.749999993</v>
      </c>
      <c r="BS81" s="127">
        <f>ROUND(+BR91,2)</f>
        <v>-32978431.140000001</v>
      </c>
      <c r="BT81" s="127">
        <f t="shared" ref="BT81:EE81" si="216">ROUND(+BS91,2)</f>
        <v>-39716853.670000002</v>
      </c>
      <c r="BU81" s="127">
        <f t="shared" si="216"/>
        <v>-44766870.850000001</v>
      </c>
      <c r="BV81" s="127">
        <f t="shared" si="216"/>
        <v>-58184705.93</v>
      </c>
      <c r="BW81" s="127">
        <f t="shared" si="216"/>
        <v>-70560158.109999999</v>
      </c>
      <c r="BX81" s="127">
        <f t="shared" si="216"/>
        <v>-82737607.840000004</v>
      </c>
      <c r="BY81" s="127">
        <f t="shared" si="216"/>
        <v>-91402725.099999994</v>
      </c>
      <c r="BZ81" s="127">
        <f t="shared" si="216"/>
        <v>-99421926.480000004</v>
      </c>
      <c r="CA81" s="127">
        <f t="shared" si="216"/>
        <v>-114876467.67</v>
      </c>
      <c r="CB81" s="127">
        <f t="shared" si="216"/>
        <v>-33791566.600000001</v>
      </c>
      <c r="CC81" s="127">
        <f t="shared" si="216"/>
        <v>-41968797.520000003</v>
      </c>
      <c r="CD81" s="127">
        <f t="shared" si="216"/>
        <v>-44269817.990000002</v>
      </c>
      <c r="CE81" s="127">
        <f t="shared" si="216"/>
        <v>-48292712.149999999</v>
      </c>
      <c r="CF81" s="127">
        <f t="shared" si="216"/>
        <v>-49252841.210000001</v>
      </c>
      <c r="CG81" s="127">
        <f t="shared" si="216"/>
        <v>-45121428.049999997</v>
      </c>
      <c r="CH81" s="127">
        <f t="shared" si="216"/>
        <v>-35107457.530000001</v>
      </c>
      <c r="CI81" s="127">
        <f t="shared" si="216"/>
        <v>-28385365.940000001</v>
      </c>
      <c r="CJ81" s="127">
        <f t="shared" si="216"/>
        <v>-23125968.949999999</v>
      </c>
      <c r="CK81" s="127">
        <f t="shared" si="216"/>
        <v>-20937029.870000001</v>
      </c>
      <c r="CL81" s="127">
        <f t="shared" si="216"/>
        <v>-30962729.75</v>
      </c>
      <c r="CM81" s="127">
        <f t="shared" si="216"/>
        <v>-37046441.259999998</v>
      </c>
      <c r="CN81" s="127">
        <f t="shared" si="216"/>
        <v>-25802949.559999999</v>
      </c>
      <c r="CO81" s="127">
        <f t="shared" si="216"/>
        <v>-17883578.199999999</v>
      </c>
      <c r="CP81" s="127">
        <f t="shared" si="216"/>
        <v>-5075464.66</v>
      </c>
      <c r="CQ81" s="127">
        <f t="shared" si="216"/>
        <v>-3503926.01</v>
      </c>
      <c r="CR81" s="127">
        <f t="shared" si="216"/>
        <v>-15787748.949999999</v>
      </c>
      <c r="CS81" s="127">
        <f t="shared" si="216"/>
        <v>-20784448.41</v>
      </c>
      <c r="CT81" s="127">
        <f t="shared" si="216"/>
        <v>-36829632.399999999</v>
      </c>
      <c r="CU81" s="127">
        <f t="shared" si="216"/>
        <v>-54265222.630000003</v>
      </c>
      <c r="CV81" s="127">
        <f t="shared" si="216"/>
        <v>-44238808.340000004</v>
      </c>
      <c r="CW81" s="127">
        <f t="shared" si="216"/>
        <v>-50229578.229999997</v>
      </c>
      <c r="CX81" s="127">
        <f t="shared" si="216"/>
        <v>-62527416.759999998</v>
      </c>
      <c r="CY81" s="127">
        <f t="shared" si="216"/>
        <v>-71862715.75</v>
      </c>
      <c r="CZ81" s="127">
        <f t="shared" si="216"/>
        <v>-13696864.16</v>
      </c>
      <c r="DA81" s="127">
        <f t="shared" si="216"/>
        <v>-8783528.5099999998</v>
      </c>
      <c r="DB81" s="127">
        <f t="shared" si="216"/>
        <v>-9994.9500000000007</v>
      </c>
      <c r="DC81" s="127">
        <f t="shared" si="216"/>
        <v>5275432.16</v>
      </c>
      <c r="DD81" s="127">
        <f t="shared" si="216"/>
        <v>12169022.6</v>
      </c>
      <c r="DE81" s="127">
        <f t="shared" si="216"/>
        <v>16036482.449999999</v>
      </c>
      <c r="DF81" s="127">
        <f t="shared" si="216"/>
        <v>5089455.34</v>
      </c>
      <c r="DG81" s="127">
        <f t="shared" si="216"/>
        <v>-4362980.49</v>
      </c>
      <c r="DH81" s="127">
        <f t="shared" si="216"/>
        <v>-7102073.8099999996</v>
      </c>
      <c r="DI81" s="127">
        <f t="shared" si="216"/>
        <v>-10464431.75</v>
      </c>
      <c r="DJ81" s="127">
        <f t="shared" si="216"/>
        <v>-15832088.73</v>
      </c>
      <c r="DK81" s="127">
        <f t="shared" si="216"/>
        <v>-18940995.780000001</v>
      </c>
      <c r="DL81" s="139">
        <f t="shared" si="216"/>
        <v>-26419093.940000001</v>
      </c>
      <c r="DM81" s="139">
        <f t="shared" si="216"/>
        <v>6222483.6900000004</v>
      </c>
      <c r="DN81" s="139">
        <f t="shared" si="216"/>
        <v>13163498.9</v>
      </c>
      <c r="DO81" s="139">
        <f t="shared" si="216"/>
        <v>18802543.859999999</v>
      </c>
      <c r="DP81" s="139">
        <f t="shared" si="216"/>
        <v>14554488.470000001</v>
      </c>
      <c r="DQ81" s="139">
        <f t="shared" si="216"/>
        <v>11038231.789999999</v>
      </c>
      <c r="DR81" s="139">
        <f t="shared" si="216"/>
        <v>1237013.44</v>
      </c>
      <c r="DS81" s="139">
        <f t="shared" si="216"/>
        <v>-2666544.4900000002</v>
      </c>
      <c r="DT81" s="139">
        <f t="shared" si="216"/>
        <v>-5938159.7199999997</v>
      </c>
      <c r="DU81" s="139">
        <f t="shared" si="216"/>
        <v>-7894054.9100000001</v>
      </c>
      <c r="DV81" s="139">
        <f t="shared" si="216"/>
        <v>-15332472.42</v>
      </c>
      <c r="DW81" s="139">
        <f t="shared" si="216"/>
        <v>-17325207.449999999</v>
      </c>
      <c r="DX81" s="139">
        <f t="shared" si="216"/>
        <v>-23144920.899999999</v>
      </c>
      <c r="DY81" s="139">
        <f t="shared" si="216"/>
        <v>-4330124.25</v>
      </c>
      <c r="DZ81" s="139">
        <f t="shared" si="216"/>
        <v>-5652954.9500000002</v>
      </c>
      <c r="EA81" s="139">
        <f t="shared" si="216"/>
        <v>-7231736.9900000002</v>
      </c>
      <c r="EB81" s="139">
        <f t="shared" si="216"/>
        <v>-11287476.16</v>
      </c>
      <c r="EC81" s="139">
        <f t="shared" si="216"/>
        <v>-25370802.989999998</v>
      </c>
      <c r="ED81" s="139">
        <f t="shared" si="216"/>
        <v>-32424663.809999999</v>
      </c>
      <c r="EE81" s="139">
        <f t="shared" si="216"/>
        <v>-33792175.060000002</v>
      </c>
      <c r="EF81" s="139">
        <f t="shared" ref="EF81:GQ81" si="217">ROUND(+EE91,2)</f>
        <v>-29401079.98</v>
      </c>
      <c r="EG81" s="139">
        <f t="shared" si="217"/>
        <v>-31019169.170000002</v>
      </c>
      <c r="EH81" s="139">
        <f t="shared" si="217"/>
        <v>-30864919.359999999</v>
      </c>
      <c r="EI81" s="139">
        <f t="shared" si="217"/>
        <v>-36563615.509999998</v>
      </c>
      <c r="EJ81" s="139">
        <f t="shared" si="217"/>
        <v>-41243367.869999997</v>
      </c>
      <c r="EK81" s="139">
        <f t="shared" si="217"/>
        <v>-2351287.4900000002</v>
      </c>
      <c r="EL81" s="139">
        <f t="shared" si="217"/>
        <v>2119930.2999999998</v>
      </c>
      <c r="EM81" s="139">
        <f t="shared" si="217"/>
        <v>4424425.7</v>
      </c>
      <c r="EN81" s="139">
        <f t="shared" si="217"/>
        <v>6087204.4000000004</v>
      </c>
      <c r="EO81" s="139">
        <f t="shared" si="217"/>
        <v>10055988.380000001</v>
      </c>
      <c r="EP81" s="139">
        <f t="shared" si="217"/>
        <v>9961465.5500000007</v>
      </c>
      <c r="EQ81" s="139">
        <f t="shared" si="217"/>
        <v>7465306.25</v>
      </c>
      <c r="ER81" s="139">
        <f t="shared" si="217"/>
        <v>7013536.5199999996</v>
      </c>
      <c r="ES81" s="139">
        <f t="shared" si="217"/>
        <v>3313884.98</v>
      </c>
      <c r="ET81" s="139">
        <f t="shared" si="217"/>
        <v>1545314.78</v>
      </c>
      <c r="EU81" s="139">
        <f t="shared" si="217"/>
        <v>-5357838.7300000004</v>
      </c>
      <c r="EV81" s="139">
        <f t="shared" si="217"/>
        <v>-9018384.4199999999</v>
      </c>
      <c r="EW81" s="139">
        <f t="shared" si="217"/>
        <v>4923166.8600000003</v>
      </c>
      <c r="EX81" s="139">
        <f t="shared" si="217"/>
        <v>9671414.6899999995</v>
      </c>
      <c r="EY81" s="139">
        <f t="shared" si="217"/>
        <v>12918728.57</v>
      </c>
      <c r="EZ81" s="139">
        <f t="shared" si="217"/>
        <v>21819944.760000002</v>
      </c>
      <c r="FA81" s="139">
        <f t="shared" si="217"/>
        <v>25557413.359999999</v>
      </c>
      <c r="FB81" s="139">
        <f t="shared" si="217"/>
        <v>26899183.030000001</v>
      </c>
      <c r="FC81" s="139">
        <f t="shared" si="217"/>
        <v>26703839.579999998</v>
      </c>
      <c r="FD81" s="139">
        <f t="shared" si="217"/>
        <v>29477121.18</v>
      </c>
      <c r="FE81" s="139">
        <f t="shared" si="217"/>
        <v>30679409.960000001</v>
      </c>
      <c r="FF81" s="139">
        <f t="shared" si="217"/>
        <v>29290580.789999999</v>
      </c>
      <c r="FG81" s="139">
        <f t="shared" si="217"/>
        <v>29522436.760000002</v>
      </c>
      <c r="FH81" s="139">
        <f t="shared" si="217"/>
        <v>29187288.640000001</v>
      </c>
      <c r="FI81" s="139">
        <f t="shared" si="217"/>
        <v>-224298.75</v>
      </c>
      <c r="FJ81" s="139">
        <f t="shared" si="217"/>
        <v>-927153.01</v>
      </c>
      <c r="FK81" s="139">
        <f t="shared" si="217"/>
        <v>-4177513.95</v>
      </c>
      <c r="FL81" s="139">
        <f t="shared" si="217"/>
        <v>-8301640.5499999998</v>
      </c>
      <c r="FM81" s="139">
        <f t="shared" si="217"/>
        <v>-14685148.060000001</v>
      </c>
      <c r="FN81" s="139">
        <f t="shared" si="217"/>
        <v>-23629407.329999998</v>
      </c>
      <c r="FO81" s="139">
        <f t="shared" si="217"/>
        <v>-28298911.710000001</v>
      </c>
      <c r="FP81" s="139">
        <f t="shared" si="217"/>
        <v>-29997396.57</v>
      </c>
      <c r="FQ81" s="139">
        <f t="shared" si="217"/>
        <v>-31748842.75</v>
      </c>
      <c r="FR81" s="139">
        <f t="shared" si="217"/>
        <v>-35447854.210000001</v>
      </c>
      <c r="FS81" s="139">
        <f t="shared" si="217"/>
        <v>-38745661.350000001</v>
      </c>
      <c r="FT81" s="139">
        <f t="shared" si="217"/>
        <v>-42956000.399999999</v>
      </c>
      <c r="FU81" s="139">
        <f t="shared" si="217"/>
        <v>5452408.3600000003</v>
      </c>
      <c r="FV81" s="139">
        <f t="shared" si="217"/>
        <v>3736783.61</v>
      </c>
      <c r="FW81" s="139">
        <f t="shared" si="217"/>
        <v>3830852.21</v>
      </c>
      <c r="FX81" s="139">
        <f t="shared" si="217"/>
        <v>3537841.59</v>
      </c>
      <c r="FY81" s="139">
        <f t="shared" si="217"/>
        <v>-765496.98</v>
      </c>
      <c r="FZ81" s="139">
        <f t="shared" si="217"/>
        <v>-5724405.3899999997</v>
      </c>
      <c r="GA81" s="139">
        <f t="shared" si="217"/>
        <v>-10482039.289999999</v>
      </c>
      <c r="GB81" s="139">
        <f t="shared" si="217"/>
        <v>-14152610.039999999</v>
      </c>
      <c r="GC81" s="139">
        <f t="shared" si="217"/>
        <v>-18251745.199999999</v>
      </c>
      <c r="GD81" s="139">
        <f t="shared" si="217"/>
        <v>-21701055.149999999</v>
      </c>
      <c r="GE81" s="139">
        <f t="shared" si="217"/>
        <v>-24811444.210000001</v>
      </c>
      <c r="GF81" s="139">
        <f t="shared" si="217"/>
        <v>-28151577.77</v>
      </c>
      <c r="GG81" s="139">
        <f t="shared" si="217"/>
        <v>1234033.18</v>
      </c>
      <c r="GH81" s="139">
        <f t="shared" si="217"/>
        <v>8374401.0800000001</v>
      </c>
      <c r="GI81" s="139">
        <f t="shared" si="217"/>
        <v>14246394.189999999</v>
      </c>
      <c r="GJ81" s="139">
        <f t="shared" si="217"/>
        <v>12821504.710000001</v>
      </c>
      <c r="GK81" s="139">
        <f t="shared" si="217"/>
        <v>8939691.1400000006</v>
      </c>
      <c r="GL81" s="139">
        <f t="shared" si="217"/>
        <v>5022897.91</v>
      </c>
      <c r="GM81" s="139">
        <f t="shared" si="217"/>
        <v>1614139.27</v>
      </c>
      <c r="GN81" s="139">
        <f t="shared" si="217"/>
        <v>-879861.66</v>
      </c>
      <c r="GO81" s="139">
        <f t="shared" si="217"/>
        <v>-5009990.04</v>
      </c>
      <c r="GP81" s="139">
        <f t="shared" si="217"/>
        <v>-10135116.869999999</v>
      </c>
      <c r="GQ81" s="139">
        <f t="shared" si="217"/>
        <v>-14361800.85</v>
      </c>
      <c r="GR81" s="139">
        <f t="shared" ref="GR81:JO81" si="218">ROUND(+GQ91,2)</f>
        <v>-20762465.170000002</v>
      </c>
      <c r="GS81" s="139">
        <f t="shared" si="218"/>
        <v>-7328050.8600000003</v>
      </c>
      <c r="GT81" s="139">
        <f t="shared" si="218"/>
        <v>-5134890.42</v>
      </c>
      <c r="GU81" s="139">
        <f t="shared" si="218"/>
        <v>-7881615.9000000004</v>
      </c>
      <c r="GV81" s="139">
        <f t="shared" si="218"/>
        <v>-8771563.4100000001</v>
      </c>
      <c r="GW81" s="139">
        <f t="shared" si="218"/>
        <v>-14218877.59</v>
      </c>
      <c r="GX81" s="139">
        <f t="shared" si="218"/>
        <v>-20752442.780000001</v>
      </c>
      <c r="GY81" s="139">
        <f t="shared" si="218"/>
        <v>-25576556.170000002</v>
      </c>
      <c r="GZ81" s="139">
        <f t="shared" si="218"/>
        <v>-30934592.670000002</v>
      </c>
      <c r="HA81" s="139">
        <f t="shared" si="218"/>
        <v>-36870711.409999996</v>
      </c>
      <c r="HB81" s="139">
        <f t="shared" si="218"/>
        <v>-43173728.950000003</v>
      </c>
      <c r="HC81" s="139">
        <f t="shared" si="218"/>
        <v>-47216677.130000003</v>
      </c>
      <c r="HD81" s="139">
        <f t="shared" si="218"/>
        <v>-50047410.479999997</v>
      </c>
      <c r="HE81" s="139">
        <f t="shared" si="218"/>
        <v>25459600.120000001</v>
      </c>
      <c r="HF81" s="139">
        <f t="shared" si="218"/>
        <v>45741131.039999999</v>
      </c>
      <c r="HG81" s="139">
        <f t="shared" si="218"/>
        <v>54348937.009999998</v>
      </c>
      <c r="HH81" s="139">
        <f t="shared" si="218"/>
        <v>111485325.98999999</v>
      </c>
      <c r="HI81" s="139">
        <f t="shared" si="218"/>
        <v>167993052.69</v>
      </c>
      <c r="HJ81" s="139">
        <f t="shared" si="218"/>
        <v>161302716.28999999</v>
      </c>
      <c r="HK81" s="139">
        <f t="shared" si="218"/>
        <v>108971692.98999999</v>
      </c>
      <c r="HL81" s="139">
        <f t="shared" si="218"/>
        <v>108338078.64</v>
      </c>
      <c r="HM81" s="139">
        <f t="shared" si="218"/>
        <v>105682119.5</v>
      </c>
      <c r="HN81" s="139">
        <f t="shared" si="218"/>
        <v>103110136.64</v>
      </c>
      <c r="HO81" s="139">
        <f t="shared" si="218"/>
        <v>99495543.269999996</v>
      </c>
      <c r="HP81" s="139">
        <f t="shared" si="218"/>
        <v>98344470.400000006</v>
      </c>
      <c r="HQ81" s="139">
        <f t="shared" si="218"/>
        <v>4549925.5199999996</v>
      </c>
      <c r="HR81" s="139">
        <f t="shared" si="218"/>
        <v>7813315.5999999996</v>
      </c>
      <c r="HS81" s="139">
        <f t="shared" si="218"/>
        <v>12489437.119999999</v>
      </c>
      <c r="HT81" s="139">
        <f t="shared" si="218"/>
        <v>16344119.619999999</v>
      </c>
      <c r="HU81" s="139">
        <f t="shared" si="218"/>
        <v>19608946.670000002</v>
      </c>
      <c r="HV81" s="139">
        <f t="shared" si="218"/>
        <v>17654994.629999999</v>
      </c>
      <c r="HW81" s="139">
        <f t="shared" si="218"/>
        <v>16733383.460000001</v>
      </c>
      <c r="HX81" s="139">
        <f t="shared" si="218"/>
        <v>15083713.18</v>
      </c>
      <c r="HY81" s="139">
        <f t="shared" si="218"/>
        <v>14532011.91</v>
      </c>
      <c r="HZ81" s="139">
        <f t="shared" si="218"/>
        <v>14088114.75</v>
      </c>
      <c r="IA81" s="139">
        <f t="shared" si="218"/>
        <v>12723096.6</v>
      </c>
      <c r="IB81" s="139">
        <f t="shared" si="218"/>
        <v>13352962.439999999</v>
      </c>
      <c r="IC81" s="139">
        <f t="shared" si="218"/>
        <v>2114479.9900000002</v>
      </c>
      <c r="ID81" s="139">
        <f t="shared" si="218"/>
        <v>4217483.04</v>
      </c>
      <c r="IE81" s="139">
        <f t="shared" si="218"/>
        <v>7340186.0599999996</v>
      </c>
      <c r="IF81" s="139">
        <f t="shared" si="218"/>
        <v>-1910895.98</v>
      </c>
      <c r="IG81" s="139">
        <f t="shared" si="218"/>
        <v>359228.2</v>
      </c>
      <c r="IH81" s="139">
        <f t="shared" si="218"/>
        <v>308340.7</v>
      </c>
      <c r="II81" s="139">
        <f t="shared" si="218"/>
        <v>1547590.76</v>
      </c>
      <c r="IJ81" s="139">
        <f t="shared" si="218"/>
        <v>-306166.56</v>
      </c>
      <c r="IK81" s="139">
        <f t="shared" si="218"/>
        <v>-1999840.97</v>
      </c>
      <c r="IL81" s="139">
        <f t="shared" si="218"/>
        <v>-5891839.9000000004</v>
      </c>
      <c r="IM81" s="139">
        <f t="shared" si="218"/>
        <v>-9738253.3800000008</v>
      </c>
      <c r="IN81" s="139">
        <f t="shared" si="218"/>
        <v>-4654792.3099999996</v>
      </c>
      <c r="IO81" s="139">
        <f t="shared" si="218"/>
        <v>-1887523.59</v>
      </c>
      <c r="IP81" s="139">
        <f t="shared" si="218"/>
        <v>12102554.08</v>
      </c>
      <c r="IQ81" s="139">
        <f t="shared" si="218"/>
        <v>15846799.210000001</v>
      </c>
      <c r="IR81" s="139">
        <f t="shared" si="218"/>
        <v>18585953.670000002</v>
      </c>
      <c r="IS81" s="139">
        <f t="shared" si="218"/>
        <v>24030862.960000001</v>
      </c>
      <c r="IT81" s="139">
        <f t="shared" si="218"/>
        <v>26826251.710000001</v>
      </c>
      <c r="IU81" s="139">
        <f t="shared" si="218"/>
        <v>36079698.140000001</v>
      </c>
      <c r="IV81" s="139">
        <f t="shared" si="218"/>
        <v>33495160.370000001</v>
      </c>
      <c r="IW81" s="139">
        <f t="shared" si="218"/>
        <v>26373996.890000001</v>
      </c>
      <c r="IX81" s="139">
        <f t="shared" si="218"/>
        <v>16558723.91</v>
      </c>
      <c r="IY81" s="139">
        <f t="shared" ref="IY81" si="219">ROUND(+IX91,2)</f>
        <v>8723240.4499999993</v>
      </c>
      <c r="IZ81" s="139">
        <f t="shared" ref="IZ81" si="220">ROUND(+IY91,2)</f>
        <v>5733591.2599999998</v>
      </c>
      <c r="JA81" s="139">
        <f t="shared" ref="JA81" si="221">ROUND(+IZ91,2)</f>
        <v>735146.21</v>
      </c>
      <c r="JB81" s="139">
        <f t="shared" ref="JB81" si="222">ROUND(+JA91,2)</f>
        <v>-8062169.71</v>
      </c>
      <c r="JC81" s="139">
        <f t="shared" ref="JC81" si="223">ROUND(+JB91,2)</f>
        <v>-35228800.039999999</v>
      </c>
      <c r="JD81" s="139">
        <f t="shared" ref="JD81" si="224">ROUND(+JC91,2)</f>
        <v>-49463488.170000002</v>
      </c>
      <c r="JE81" s="139">
        <f t="shared" ref="JE81" si="225">ROUND(+JD91,2)</f>
        <v>-67503002.189999998</v>
      </c>
      <c r="JF81" s="139">
        <f t="shared" ref="JF81" si="226">ROUND(+JE91,2)</f>
        <v>-86913126.799999997</v>
      </c>
      <c r="JG81" s="139">
        <f t="shared" ref="JG81" si="227">ROUND(+JF91,2)</f>
        <v>-94549233.400000006</v>
      </c>
      <c r="JH81" s="139">
        <f t="shared" ref="JH81" si="228">ROUND(+JG91,2)</f>
        <v>-100765917.26000001</v>
      </c>
      <c r="JI81" s="139">
        <f t="shared" ref="JI81" si="229">ROUND(+JH91,2)</f>
        <v>-111447847.03</v>
      </c>
      <c r="JJ81" s="139">
        <f t="shared" ref="JJ81" si="230">ROUND(+JI91,2)</f>
        <v>-121023356.17</v>
      </c>
      <c r="JK81" s="139">
        <f>ROUND(+JJ91,2)</f>
        <v>-127702232.95</v>
      </c>
      <c r="JL81" s="139">
        <f t="shared" si="218"/>
        <v>-139224432.55000001</v>
      </c>
      <c r="JM81" s="139">
        <f t="shared" si="218"/>
        <v>-3261792.66</v>
      </c>
      <c r="JN81" s="139">
        <f t="shared" si="218"/>
        <v>2482195.33</v>
      </c>
      <c r="JO81" s="139">
        <f t="shared" si="218"/>
        <v>2896898.8</v>
      </c>
      <c r="JP81" s="139">
        <f t="shared" ref="JP81:JU81" si="231">ROUND(+JO91,2)</f>
        <v>2105229.81</v>
      </c>
      <c r="JQ81" s="139">
        <f t="shared" si="231"/>
        <v>-6499118.1299999999</v>
      </c>
      <c r="JR81" s="139">
        <f t="shared" si="231"/>
        <v>-21729062.789999999</v>
      </c>
      <c r="JS81" s="139">
        <f t="shared" si="231"/>
        <v>-31032608.600000001</v>
      </c>
      <c r="JT81" s="139">
        <f t="shared" si="231"/>
        <v>-34773588.420000002</v>
      </c>
      <c r="JU81" s="139">
        <f t="shared" si="231"/>
        <v>-38498104.020000003</v>
      </c>
      <c r="JV81" s="632"/>
      <c r="JW81" s="414"/>
      <c r="JX81" s="414"/>
      <c r="JY81" s="414"/>
      <c r="JZ81" s="414"/>
      <c r="KA81" s="414"/>
      <c r="KB81" s="414"/>
      <c r="KC81" s="414"/>
      <c r="KD81" s="414"/>
      <c r="KE81" s="414"/>
      <c r="KF81" s="414"/>
      <c r="KG81" s="414"/>
      <c r="KH81" s="414"/>
      <c r="KI81" s="633"/>
    </row>
    <row r="82" spans="1:295" x14ac:dyDescent="0.2">
      <c r="B82" s="24" t="s">
        <v>128</v>
      </c>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45">
        <v>-113644115.68000001</v>
      </c>
      <c r="HQ82" s="139"/>
      <c r="HR82" s="139"/>
      <c r="HS82" s="139"/>
      <c r="HT82" s="139"/>
      <c r="HU82" s="139"/>
      <c r="HV82" s="139"/>
      <c r="HW82" s="139"/>
      <c r="HX82" s="139"/>
      <c r="HY82" s="139"/>
      <c r="HZ82" s="139"/>
      <c r="IA82" s="139"/>
      <c r="IB82" s="15">
        <v>-13267399.560000001</v>
      </c>
      <c r="IC82" s="139"/>
      <c r="ID82" s="139"/>
      <c r="IE82" s="139"/>
      <c r="IF82" s="139"/>
      <c r="IG82" s="139"/>
      <c r="IH82" s="139"/>
      <c r="II82" s="139"/>
      <c r="IJ82" s="139"/>
      <c r="IK82" s="139"/>
      <c r="IL82" s="139"/>
      <c r="IM82" s="139"/>
      <c r="IN82" s="139"/>
      <c r="IO82" s="139"/>
      <c r="IP82" s="139"/>
      <c r="IQ82" s="139"/>
      <c r="IR82" s="139"/>
      <c r="IS82" s="139"/>
      <c r="IT82" s="139"/>
      <c r="IU82" s="139"/>
      <c r="IV82" s="139"/>
      <c r="IW82" s="139"/>
      <c r="IX82" s="139"/>
      <c r="IY82" s="139"/>
      <c r="IZ82" s="139"/>
      <c r="JA82" s="139"/>
      <c r="JB82" s="139"/>
      <c r="JC82" s="139"/>
      <c r="JD82" s="139"/>
      <c r="JE82" s="139"/>
      <c r="JF82" s="139"/>
      <c r="JG82" s="139"/>
      <c r="JH82" s="139"/>
      <c r="JI82" s="139"/>
      <c r="JJ82" s="139"/>
      <c r="JK82" s="370"/>
      <c r="JL82" s="370"/>
      <c r="JM82" s="139"/>
      <c r="JN82" s="139"/>
      <c r="JO82" s="139"/>
      <c r="JP82" s="139"/>
      <c r="JQ82" s="139"/>
      <c r="JR82" s="139"/>
      <c r="JS82" s="139"/>
      <c r="JT82" s="139"/>
      <c r="JU82" s="139"/>
      <c r="JV82" s="632"/>
      <c r="JW82" s="414"/>
      <c r="JX82" s="414"/>
      <c r="JY82" s="414"/>
      <c r="JZ82" s="414"/>
      <c r="KA82" s="414"/>
      <c r="KB82" s="414"/>
      <c r="KC82" s="414"/>
      <c r="KD82" s="414"/>
      <c r="KE82" s="414"/>
      <c r="KF82" s="414"/>
      <c r="KG82" s="414"/>
      <c r="KH82" s="414"/>
      <c r="KI82" s="633"/>
    </row>
    <row r="83" spans="1:295" x14ac:dyDescent="0.2">
      <c r="B83" s="24" t="s">
        <v>105</v>
      </c>
      <c r="D83" s="142"/>
      <c r="E83" s="142">
        <v>-54207809.649999999</v>
      </c>
      <c r="F83" s="142"/>
      <c r="G83" s="142"/>
      <c r="H83" s="142"/>
      <c r="I83" s="142"/>
      <c r="J83" s="142"/>
      <c r="K83" s="142"/>
      <c r="L83" s="142"/>
      <c r="M83" s="142"/>
      <c r="N83" s="142"/>
      <c r="O83" s="142"/>
      <c r="P83" s="142"/>
      <c r="Q83" s="142"/>
      <c r="R83" s="142"/>
      <c r="S83" s="142"/>
      <c r="T83" s="142"/>
      <c r="U83" s="142"/>
      <c r="V83" s="142">
        <v>98965739.299999997</v>
      </c>
      <c r="W83" s="142"/>
      <c r="X83" s="142"/>
      <c r="Y83" s="142">
        <v>-38171045.68</v>
      </c>
      <c r="Z83" s="142"/>
      <c r="AA83" s="142"/>
      <c r="AB83" s="142"/>
      <c r="AC83" s="142"/>
      <c r="AD83" s="142"/>
      <c r="AE83" s="142">
        <v>-236917.06</v>
      </c>
      <c r="AF83" s="142"/>
      <c r="AG83" s="142"/>
      <c r="AH83" s="142"/>
      <c r="AI83" s="142"/>
      <c r="AJ83" s="142"/>
      <c r="AK83" s="142"/>
      <c r="AL83" s="142"/>
      <c r="AM83" s="142"/>
      <c r="AN83" s="142">
        <v>0</v>
      </c>
      <c r="AO83" s="142">
        <v>0</v>
      </c>
      <c r="AP83" s="142">
        <v>0</v>
      </c>
      <c r="AQ83" s="142">
        <v>-3985426</v>
      </c>
      <c r="AR83" s="142">
        <v>0</v>
      </c>
      <c r="AS83" s="142">
        <v>0</v>
      </c>
      <c r="AT83" s="142">
        <v>0</v>
      </c>
      <c r="AU83" s="142">
        <v>0</v>
      </c>
      <c r="AV83" s="142"/>
      <c r="AW83" s="142">
        <v>0</v>
      </c>
      <c r="AX83" s="142">
        <v>0</v>
      </c>
      <c r="AY83" s="141"/>
      <c r="AZ83" s="139"/>
      <c r="BA83" s="139"/>
      <c r="BB83" s="139"/>
      <c r="BC83" s="143">
        <v>-22534670</v>
      </c>
      <c r="BD83" s="139"/>
      <c r="BE83" s="139"/>
      <c r="BF83" s="139"/>
      <c r="BG83" s="139"/>
      <c r="BH83" s="139"/>
      <c r="BI83" s="139"/>
      <c r="BJ83" s="139"/>
      <c r="BK83" s="139"/>
      <c r="BL83" s="139"/>
      <c r="BM83" s="139"/>
      <c r="BN83" s="143">
        <v>0</v>
      </c>
      <c r="BO83" s="143">
        <v>-56068402</v>
      </c>
      <c r="BP83" s="139"/>
      <c r="BQ83" s="139"/>
      <c r="BR83" s="127"/>
      <c r="BS83" s="139"/>
      <c r="BT83" s="139"/>
      <c r="BU83" s="139"/>
      <c r="BV83" s="139"/>
      <c r="BW83" s="139"/>
      <c r="BX83" s="139"/>
      <c r="BY83" s="139"/>
      <c r="BZ83" s="139"/>
      <c r="CA83" s="147">
        <v>101389368</v>
      </c>
      <c r="CB83" s="139"/>
      <c r="CC83" s="139"/>
      <c r="CD83" s="139"/>
      <c r="CE83" s="139"/>
      <c r="CF83" s="139"/>
      <c r="CG83" s="139"/>
      <c r="CH83" s="139"/>
      <c r="CI83" s="139"/>
      <c r="CJ83" s="139"/>
      <c r="CK83" s="139"/>
      <c r="CL83" s="139"/>
      <c r="CM83" s="143">
        <v>26007866</v>
      </c>
      <c r="CN83" s="139"/>
      <c r="CO83" s="127"/>
      <c r="CP83" s="139"/>
      <c r="CQ83" s="139"/>
      <c r="CR83" s="139"/>
      <c r="CS83" s="139"/>
      <c r="CT83" s="139"/>
      <c r="CU83" s="139">
        <v>20784449</v>
      </c>
      <c r="CV83" s="139"/>
      <c r="CW83" s="139"/>
      <c r="CX83" s="139"/>
      <c r="CY83" s="143">
        <v>71192992</v>
      </c>
      <c r="CZ83" s="139"/>
      <c r="DA83" s="139"/>
      <c r="DB83" s="139"/>
      <c r="DC83" s="139"/>
      <c r="DD83" s="139"/>
      <c r="DE83" s="139"/>
      <c r="DF83" s="139"/>
      <c r="DG83" s="127"/>
      <c r="DH83" s="139"/>
      <c r="DI83" s="139"/>
      <c r="DJ83" s="139"/>
      <c r="DK83" s="139"/>
      <c r="DL83" s="145">
        <v>32968977</v>
      </c>
      <c r="DM83" s="139"/>
      <c r="DN83" s="139"/>
      <c r="DO83" s="139"/>
      <c r="DP83" s="139"/>
      <c r="DQ83" s="139"/>
      <c r="DR83" s="139"/>
      <c r="DS83" s="139"/>
      <c r="DT83" s="139"/>
      <c r="DU83" s="139"/>
      <c r="DV83" s="139"/>
      <c r="DW83" s="139"/>
      <c r="DX83" s="143">
        <v>23154442</v>
      </c>
      <c r="DY83" s="139"/>
      <c r="DZ83" s="139"/>
      <c r="EA83" s="139"/>
      <c r="EB83" s="139"/>
      <c r="EC83" s="139"/>
      <c r="ED83" s="139"/>
      <c r="EE83" s="139"/>
      <c r="EF83" s="139"/>
      <c r="EG83" s="139"/>
      <c r="EH83" s="139"/>
      <c r="EI83" s="139"/>
      <c r="EJ83" s="143">
        <v>34928541</v>
      </c>
      <c r="EK83" s="139"/>
      <c r="EL83" s="139"/>
      <c r="EM83" s="139"/>
      <c r="EN83" s="139"/>
      <c r="EO83" s="139"/>
      <c r="EP83" s="139"/>
      <c r="EQ83" s="139"/>
      <c r="ER83" s="139"/>
      <c r="ES83" s="139"/>
      <c r="ET83" s="139"/>
      <c r="EU83" s="139"/>
      <c r="EV83" s="160">
        <v>10260070</v>
      </c>
      <c r="EW83" s="139"/>
      <c r="EX83" s="139"/>
      <c r="EY83" s="139"/>
      <c r="EZ83" s="139"/>
      <c r="FA83" s="139"/>
      <c r="FB83" s="139"/>
      <c r="FC83" s="139"/>
      <c r="FD83" s="139"/>
      <c r="FE83" s="139"/>
      <c r="FF83" s="139"/>
      <c r="FG83" s="139"/>
      <c r="FH83" s="145">
        <v>-29487858</v>
      </c>
      <c r="FI83" s="139"/>
      <c r="FJ83" s="139"/>
      <c r="FK83" s="139"/>
      <c r="FL83" s="139"/>
      <c r="FM83" s="139"/>
      <c r="FN83" s="139"/>
      <c r="FO83" s="139"/>
      <c r="FP83" s="139"/>
      <c r="FQ83" s="139"/>
      <c r="FR83" s="139"/>
      <c r="FS83" s="139"/>
      <c r="FT83" s="145">
        <v>47773311</v>
      </c>
      <c r="FU83" s="139"/>
      <c r="FV83" s="139"/>
      <c r="FW83" s="139"/>
      <c r="FX83" s="139"/>
      <c r="FY83" s="139"/>
      <c r="FZ83" s="139"/>
      <c r="GA83" s="139"/>
      <c r="GB83" s="139"/>
      <c r="GC83" s="139"/>
      <c r="GD83" s="139"/>
      <c r="GE83" s="139"/>
      <c r="GF83" s="145">
        <v>28133510</v>
      </c>
      <c r="GG83" s="139"/>
      <c r="GH83" s="139"/>
      <c r="GI83" s="139"/>
      <c r="GJ83" s="139"/>
      <c r="GK83" s="139"/>
      <c r="GL83" s="139"/>
      <c r="GM83" s="139"/>
      <c r="GN83" s="139"/>
      <c r="GO83" s="139"/>
      <c r="GP83" s="139"/>
      <c r="GQ83" s="139"/>
      <c r="GR83" s="145">
        <v>15298587</v>
      </c>
      <c r="GS83" s="139"/>
      <c r="GT83" s="139"/>
      <c r="GU83" s="139"/>
      <c r="GV83" s="139"/>
      <c r="GW83" s="139"/>
      <c r="GX83" s="139"/>
      <c r="GY83" s="139"/>
      <c r="GZ83" s="139"/>
      <c r="HA83" s="139"/>
      <c r="HB83" s="139"/>
      <c r="HC83" s="139"/>
      <c r="HD83" s="145">
        <v>53168901</v>
      </c>
      <c r="HE83" s="145"/>
      <c r="HF83" s="145"/>
      <c r="HG83" s="145"/>
      <c r="HH83" s="139"/>
      <c r="HI83" s="139"/>
      <c r="HJ83" s="181">
        <v>-51227446.490000002</v>
      </c>
      <c r="HK83" s="139"/>
      <c r="HL83" s="139"/>
      <c r="HM83" s="139"/>
      <c r="HN83" s="139"/>
      <c r="HO83" s="139"/>
      <c r="HP83" s="145">
        <v>14462397.6</v>
      </c>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45">
        <v>361995.77</v>
      </c>
      <c r="IO83" s="139"/>
      <c r="IP83" s="139"/>
      <c r="IQ83" s="139"/>
      <c r="IR83" s="139"/>
      <c r="IS83" s="139"/>
      <c r="IT83" s="139"/>
      <c r="IU83" s="139"/>
      <c r="IV83" s="139"/>
      <c r="IW83" s="139"/>
      <c r="IX83" s="139"/>
      <c r="IY83" s="139"/>
      <c r="IZ83" s="15">
        <v>-12693646.57</v>
      </c>
      <c r="JA83" s="139"/>
      <c r="JB83" s="139"/>
      <c r="JC83" s="139"/>
      <c r="JD83" s="139"/>
      <c r="JE83" s="139"/>
      <c r="JF83" s="139"/>
      <c r="JG83" s="139"/>
      <c r="JH83" s="139"/>
      <c r="JI83" s="139"/>
      <c r="JJ83" s="139"/>
      <c r="JK83" s="370"/>
      <c r="JL83" s="145">
        <v>138835327.91999999</v>
      </c>
      <c r="JM83" s="139"/>
      <c r="JN83" s="139"/>
      <c r="JO83" s="139"/>
      <c r="JP83" s="139"/>
      <c r="JQ83" s="139"/>
      <c r="JR83" s="139"/>
      <c r="JS83" s="139"/>
      <c r="JT83" s="139"/>
      <c r="JU83" s="139"/>
      <c r="JV83" s="632"/>
      <c r="JW83" s="414"/>
      <c r="JX83" s="414"/>
      <c r="JY83" s="414"/>
      <c r="JZ83" s="414"/>
      <c r="KA83" s="414"/>
      <c r="KB83" s="414"/>
      <c r="KC83" s="414"/>
      <c r="KD83" s="414"/>
      <c r="KE83" s="414"/>
      <c r="KF83" s="414"/>
      <c r="KG83" s="414"/>
      <c r="KH83" s="414"/>
      <c r="KI83" s="633"/>
    </row>
    <row r="84" spans="1:295" hidden="1" x14ac:dyDescent="0.2">
      <c r="B84" s="24" t="s">
        <v>129</v>
      </c>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v>-2266363</v>
      </c>
      <c r="AW84" s="142"/>
      <c r="AX84" s="142"/>
      <c r="AY84" s="141"/>
      <c r="AZ84" s="139"/>
      <c r="BA84" s="139"/>
      <c r="BB84" s="139"/>
      <c r="BC84" s="143"/>
      <c r="BD84" s="139"/>
      <c r="BE84" s="139"/>
      <c r="BF84" s="139"/>
      <c r="BG84" s="139"/>
      <c r="BH84" s="139"/>
      <c r="BI84" s="139"/>
      <c r="BJ84" s="139"/>
      <c r="BK84" s="139"/>
      <c r="BL84" s="139"/>
      <c r="BM84" s="139"/>
      <c r="BN84" s="139"/>
      <c r="BO84" s="139"/>
      <c r="BP84" s="139"/>
      <c r="BQ84" s="139"/>
      <c r="BR84" s="127"/>
      <c r="BS84" s="139"/>
      <c r="BT84" s="139"/>
      <c r="BU84" s="139"/>
      <c r="BV84" s="139"/>
      <c r="BW84" s="139"/>
      <c r="BX84" s="139"/>
      <c r="BY84" s="139"/>
      <c r="BZ84" s="139"/>
      <c r="CA84" s="147">
        <v>0</v>
      </c>
      <c r="CB84" s="139"/>
      <c r="CC84" s="139"/>
      <c r="CD84" s="139"/>
      <c r="CE84" s="139"/>
      <c r="CF84" s="139"/>
      <c r="CG84" s="139"/>
      <c r="CH84" s="139"/>
      <c r="CI84" s="139"/>
      <c r="CJ84" s="139"/>
      <c r="CK84" s="139"/>
      <c r="CL84" s="139"/>
      <c r="CM84" s="139"/>
      <c r="CN84" s="139"/>
      <c r="CO84" s="127"/>
      <c r="CP84" s="139"/>
      <c r="CQ84" s="139"/>
      <c r="CR84" s="139"/>
      <c r="CS84" s="139"/>
      <c r="CT84" s="139"/>
      <c r="CU84" s="139"/>
      <c r="CV84" s="139"/>
      <c r="CW84" s="139"/>
      <c r="CX84" s="139"/>
      <c r="CY84" s="139"/>
      <c r="CZ84" s="139"/>
      <c r="DA84" s="139"/>
      <c r="DB84" s="139"/>
      <c r="DC84" s="139"/>
      <c r="DD84" s="139"/>
      <c r="DE84" s="139"/>
      <c r="DF84" s="139"/>
      <c r="DG84" s="127"/>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c r="IU84" s="139"/>
      <c r="IV84" s="139"/>
      <c r="IW84" s="139"/>
      <c r="IX84" s="139"/>
      <c r="IY84" s="139"/>
      <c r="IZ84" s="139"/>
      <c r="JA84" s="139"/>
      <c r="JB84" s="139"/>
      <c r="JC84" s="139"/>
      <c r="JD84" s="139"/>
      <c r="JE84" s="139"/>
      <c r="JF84" s="139"/>
      <c r="JG84" s="139"/>
      <c r="JH84" s="139"/>
      <c r="JI84" s="139"/>
      <c r="JJ84" s="139"/>
      <c r="JK84" s="139"/>
      <c r="JL84" s="139"/>
      <c r="JM84" s="139"/>
      <c r="JN84" s="139"/>
      <c r="JO84" s="139"/>
      <c r="JP84" s="139"/>
      <c r="JQ84" s="139"/>
      <c r="JR84" s="139"/>
      <c r="JS84" s="139"/>
      <c r="JT84" s="139"/>
      <c r="JU84" s="139"/>
      <c r="JV84" s="632"/>
      <c r="JW84" s="414"/>
      <c r="JX84" s="414"/>
      <c r="JY84" s="414"/>
      <c r="JZ84" s="414"/>
      <c r="KA84" s="414"/>
      <c r="KB84" s="414"/>
      <c r="KC84" s="414"/>
      <c r="KD84" s="414"/>
      <c r="KE84" s="414"/>
      <c r="KF84" s="414"/>
      <c r="KG84" s="414"/>
      <c r="KH84" s="414"/>
      <c r="KI84" s="633"/>
    </row>
    <row r="85" spans="1:295" hidden="1" x14ac:dyDescent="0.2">
      <c r="B85" s="24" t="s">
        <v>130</v>
      </c>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1"/>
      <c r="AZ85" s="139"/>
      <c r="BA85" s="139"/>
      <c r="BB85" s="139"/>
      <c r="BC85" s="143"/>
      <c r="BD85" s="139"/>
      <c r="BE85" s="139"/>
      <c r="BF85" s="143">
        <v>-255.19</v>
      </c>
      <c r="BG85" s="139"/>
      <c r="BH85" s="139"/>
      <c r="BI85" s="139"/>
      <c r="BJ85" s="139"/>
      <c r="BK85" s="139"/>
      <c r="BL85" s="139"/>
      <c r="BM85" s="139"/>
      <c r="BN85" s="139"/>
      <c r="BO85" s="139"/>
      <c r="BP85" s="139"/>
      <c r="BQ85" s="139"/>
      <c r="BR85" s="127"/>
      <c r="BS85" s="139"/>
      <c r="BT85" s="139"/>
      <c r="BU85" s="139"/>
      <c r="BV85" s="139"/>
      <c r="BW85" s="139"/>
      <c r="BX85" s="139"/>
      <c r="BY85" s="139"/>
      <c r="BZ85" s="139"/>
      <c r="CA85" s="147">
        <v>0</v>
      </c>
      <c r="CB85" s="139"/>
      <c r="CC85" s="139"/>
      <c r="CD85" s="139"/>
      <c r="CE85" s="139"/>
      <c r="CF85" s="139"/>
      <c r="CG85" s="139"/>
      <c r="CH85" s="139"/>
      <c r="CI85" s="139"/>
      <c r="CJ85" s="139"/>
      <c r="CK85" s="139"/>
      <c r="CL85" s="139"/>
      <c r="CM85" s="139"/>
      <c r="CN85" s="139"/>
      <c r="CO85" s="127"/>
      <c r="CP85" s="139"/>
      <c r="CQ85" s="139"/>
      <c r="CR85" s="139"/>
      <c r="CS85" s="139"/>
      <c r="CT85" s="139"/>
      <c r="CU85" s="139"/>
      <c r="CV85" s="139"/>
      <c r="CW85" s="139"/>
      <c r="CX85" s="139"/>
      <c r="CY85" s="139"/>
      <c r="CZ85" s="139"/>
      <c r="DA85" s="139"/>
      <c r="DB85" s="139"/>
      <c r="DC85" s="139"/>
      <c r="DD85" s="139"/>
      <c r="DE85" s="139"/>
      <c r="DF85" s="139"/>
      <c r="DG85" s="127"/>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c r="IU85" s="139"/>
      <c r="IV85" s="139"/>
      <c r="IW85" s="139"/>
      <c r="IX85" s="139"/>
      <c r="IY85" s="139"/>
      <c r="IZ85" s="139"/>
      <c r="JA85" s="139"/>
      <c r="JB85" s="139"/>
      <c r="JC85" s="139"/>
      <c r="JD85" s="139"/>
      <c r="JE85" s="139"/>
      <c r="JF85" s="139"/>
      <c r="JG85" s="139"/>
      <c r="JH85" s="139"/>
      <c r="JI85" s="139"/>
      <c r="JJ85" s="139"/>
      <c r="JK85" s="139"/>
      <c r="JL85" s="139"/>
      <c r="JM85" s="139"/>
      <c r="JN85" s="139"/>
      <c r="JO85" s="139"/>
      <c r="JP85" s="139"/>
      <c r="JQ85" s="139"/>
      <c r="JR85" s="139"/>
      <c r="JS85" s="139"/>
      <c r="JT85" s="139"/>
      <c r="JU85" s="139"/>
      <c r="JV85" s="632"/>
      <c r="JW85" s="414"/>
      <c r="JX85" s="414"/>
      <c r="JY85" s="414"/>
      <c r="JZ85" s="414"/>
      <c r="KA85" s="414"/>
      <c r="KB85" s="414"/>
      <c r="KC85" s="414"/>
      <c r="KD85" s="414"/>
      <c r="KE85" s="414"/>
      <c r="KF85" s="414"/>
      <c r="KG85" s="414"/>
      <c r="KH85" s="414"/>
      <c r="KI85" s="633"/>
    </row>
    <row r="86" spans="1:295" x14ac:dyDescent="0.2">
      <c r="B86" s="24" t="s">
        <v>131</v>
      </c>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1"/>
      <c r="AZ86" s="139"/>
      <c r="BA86" s="139"/>
      <c r="BB86" s="139"/>
      <c r="BC86" s="143"/>
      <c r="BD86" s="139"/>
      <c r="BE86" s="139"/>
      <c r="BF86" s="143"/>
      <c r="BG86" s="139"/>
      <c r="BH86" s="139"/>
      <c r="BI86" s="139"/>
      <c r="BJ86" s="139"/>
      <c r="BK86" s="139"/>
      <c r="BL86" s="139"/>
      <c r="BM86" s="139"/>
      <c r="BN86" s="139"/>
      <c r="BO86" s="139"/>
      <c r="BP86" s="139"/>
      <c r="BQ86" s="139"/>
      <c r="BR86" s="127"/>
      <c r="BS86" s="139"/>
      <c r="BT86" s="139"/>
      <c r="BU86" s="139"/>
      <c r="BV86" s="139"/>
      <c r="BW86" s="139"/>
      <c r="BX86" s="139"/>
      <c r="BY86" s="139"/>
      <c r="BZ86" s="139"/>
      <c r="CA86" s="147"/>
      <c r="CB86" s="139"/>
      <c r="CC86" s="139"/>
      <c r="CD86" s="139"/>
      <c r="CE86" s="139"/>
      <c r="CF86" s="139"/>
      <c r="CG86" s="139"/>
      <c r="CH86" s="139"/>
      <c r="CI86" s="139"/>
      <c r="CJ86" s="139"/>
      <c r="CK86" s="139"/>
      <c r="CL86" s="139"/>
      <c r="CM86" s="139"/>
      <c r="CN86" s="139"/>
      <c r="CO86" s="127"/>
      <c r="CP86" s="139"/>
      <c r="CQ86" s="139"/>
      <c r="CR86" s="139"/>
      <c r="CS86" s="139"/>
      <c r="CT86" s="139"/>
      <c r="CU86" s="139"/>
      <c r="CV86" s="139"/>
      <c r="CW86" s="139"/>
      <c r="CX86" s="139"/>
      <c r="CY86" s="139"/>
      <c r="CZ86" s="139"/>
      <c r="DA86" s="139"/>
      <c r="DB86" s="139"/>
      <c r="DC86" s="139"/>
      <c r="DD86" s="139"/>
      <c r="DE86" s="139"/>
      <c r="DF86" s="139"/>
      <c r="DG86" s="127"/>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45">
        <v>6857681.3499999996</v>
      </c>
      <c r="EF86" s="145">
        <v>310546.52</v>
      </c>
      <c r="EG86" s="145">
        <v>232909.89</v>
      </c>
      <c r="EH86" s="145">
        <v>-1930.9200000000073</v>
      </c>
      <c r="EI86" s="145">
        <v>446944.77</v>
      </c>
      <c r="EJ86" s="145">
        <v>744907.94</v>
      </c>
      <c r="EK86" s="145">
        <v>1117361.9099999999</v>
      </c>
      <c r="EL86" s="145">
        <v>1266343.5</v>
      </c>
      <c r="EM86" s="145">
        <v>1191852.71</v>
      </c>
      <c r="EN86" s="145">
        <v>1042871.12</v>
      </c>
      <c r="EO86" s="145">
        <v>819398.74</v>
      </c>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c r="GT86" s="145"/>
      <c r="GU86" s="145"/>
      <c r="GV86" s="145"/>
      <c r="GW86" s="145"/>
      <c r="GX86" s="145"/>
      <c r="GY86" s="145"/>
      <c r="GZ86" s="145"/>
      <c r="HA86" s="145"/>
      <c r="HB86" s="145"/>
      <c r="HC86" s="145"/>
      <c r="HD86" s="145"/>
      <c r="HE86" s="145"/>
      <c r="HF86" s="145"/>
      <c r="HG86" s="145"/>
      <c r="HH86" s="145"/>
      <c r="HI86" s="145"/>
      <c r="HJ86" s="145"/>
      <c r="HK86" s="145"/>
      <c r="HL86" s="145"/>
      <c r="HM86" s="145"/>
      <c r="HN86" s="145"/>
      <c r="HO86" s="145"/>
      <c r="HP86" s="145"/>
      <c r="HQ86" s="145"/>
      <c r="HR86" s="145"/>
      <c r="HS86" s="145"/>
      <c r="HT86" s="145"/>
      <c r="HU86" s="145"/>
      <c r="HV86" s="145"/>
      <c r="HW86" s="145"/>
      <c r="HX86" s="145"/>
      <c r="HY86" s="145"/>
      <c r="HZ86" s="145"/>
      <c r="IA86" s="145"/>
      <c r="IB86" s="145"/>
      <c r="IC86" s="145"/>
      <c r="ID86" s="145"/>
      <c r="IE86" s="145"/>
      <c r="IF86" s="145"/>
      <c r="IG86" s="145"/>
      <c r="IH86" s="145"/>
      <c r="II86" s="145"/>
      <c r="IJ86" s="145"/>
      <c r="IK86" s="145"/>
      <c r="IL86" s="145"/>
      <c r="IM86" s="145"/>
      <c r="IN86" s="145"/>
      <c r="IO86" s="145"/>
      <c r="IP86" s="145"/>
      <c r="IQ86" s="145"/>
      <c r="IR86" s="145"/>
      <c r="IS86" s="145"/>
      <c r="IT86" s="145"/>
      <c r="IU86" s="145"/>
      <c r="IV86" s="145"/>
      <c r="IW86" s="145"/>
      <c r="IX86" s="145"/>
      <c r="IY86" s="145"/>
      <c r="IZ86" s="145"/>
      <c r="JA86" s="145"/>
      <c r="JB86" s="145"/>
      <c r="JC86" s="145"/>
      <c r="JD86" s="145"/>
      <c r="JE86" s="145"/>
      <c r="JF86" s="145"/>
      <c r="JG86" s="145"/>
      <c r="JH86" s="145"/>
      <c r="JI86" s="145"/>
      <c r="JJ86" s="145"/>
      <c r="JK86" s="145"/>
      <c r="JL86" s="145"/>
      <c r="JM86" s="145"/>
      <c r="JN86" s="145"/>
      <c r="JO86" s="145"/>
      <c r="JP86" s="145"/>
      <c r="JQ86" s="145"/>
      <c r="JR86" s="145"/>
      <c r="JS86" s="139"/>
      <c r="JT86" s="139"/>
      <c r="JU86" s="139"/>
      <c r="JV86" s="632"/>
      <c r="JW86" s="414"/>
      <c r="JX86" s="414"/>
      <c r="JY86" s="414"/>
      <c r="JZ86" s="414"/>
      <c r="KA86" s="414"/>
      <c r="KB86" s="414"/>
      <c r="KC86" s="414"/>
      <c r="KD86" s="414"/>
      <c r="KE86" s="414"/>
      <c r="KF86" s="414"/>
      <c r="KG86" s="414"/>
      <c r="KH86" s="414"/>
      <c r="KI86" s="633"/>
    </row>
    <row r="87" spans="1:295" x14ac:dyDescent="0.2">
      <c r="B87" s="58" t="s">
        <v>132</v>
      </c>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1"/>
      <c r="AZ87" s="139"/>
      <c r="BA87" s="139"/>
      <c r="BB87" s="139"/>
      <c r="BC87" s="143"/>
      <c r="BD87" s="139"/>
      <c r="BE87" s="139"/>
      <c r="BF87" s="143"/>
      <c r="BG87" s="139"/>
      <c r="BH87" s="139"/>
      <c r="BI87" s="139"/>
      <c r="BJ87" s="139"/>
      <c r="BK87" s="139"/>
      <c r="BL87" s="139"/>
      <c r="BM87" s="139"/>
      <c r="BN87" s="139"/>
      <c r="BO87" s="139"/>
      <c r="BP87" s="139"/>
      <c r="BQ87" s="139"/>
      <c r="BR87" s="127"/>
      <c r="BS87" s="139"/>
      <c r="BT87" s="139"/>
      <c r="BU87" s="139"/>
      <c r="BV87" s="139"/>
      <c r="BW87" s="139"/>
      <c r="BX87" s="139"/>
      <c r="BY87" s="139"/>
      <c r="BZ87" s="139"/>
      <c r="CA87" s="147"/>
      <c r="CB87" s="139"/>
      <c r="CC87" s="139"/>
      <c r="CD87" s="139"/>
      <c r="CE87" s="139"/>
      <c r="CF87" s="139"/>
      <c r="CG87" s="139"/>
      <c r="CH87" s="139"/>
      <c r="CI87" s="139"/>
      <c r="CJ87" s="139"/>
      <c r="CK87" s="139"/>
      <c r="CL87" s="139"/>
      <c r="CM87" s="139"/>
      <c r="CN87" s="139"/>
      <c r="CO87" s="127"/>
      <c r="CP87" s="139"/>
      <c r="CQ87" s="139"/>
      <c r="CR87" s="139"/>
      <c r="CS87" s="139"/>
      <c r="CT87" s="139"/>
      <c r="CU87" s="139"/>
      <c r="CV87" s="139"/>
      <c r="CW87" s="139"/>
      <c r="CX87" s="139"/>
      <c r="CY87" s="139"/>
      <c r="CZ87" s="139"/>
      <c r="DA87" s="139"/>
      <c r="DB87" s="139"/>
      <c r="DC87" s="139"/>
      <c r="DD87" s="139"/>
      <c r="DE87" s="139"/>
      <c r="DF87" s="139"/>
      <c r="DG87" s="127"/>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c r="GT87" s="145"/>
      <c r="GU87" s="145"/>
      <c r="GV87" s="145"/>
      <c r="GW87" s="145"/>
      <c r="GX87" s="145"/>
      <c r="GY87" s="145"/>
      <c r="GZ87" s="145"/>
      <c r="HA87" s="145"/>
      <c r="HB87" s="145"/>
      <c r="HC87" s="145"/>
      <c r="HD87" s="145"/>
      <c r="HE87" s="145"/>
      <c r="HF87" s="145"/>
      <c r="HG87" s="145"/>
      <c r="HH87" s="145"/>
      <c r="HI87" s="145"/>
      <c r="HJ87" s="145"/>
      <c r="HK87" s="145"/>
      <c r="HL87" s="145"/>
      <c r="HM87" s="145"/>
      <c r="HN87" s="145"/>
      <c r="HO87" s="145"/>
      <c r="HP87" s="145"/>
      <c r="HQ87" s="145"/>
      <c r="HR87" s="145"/>
      <c r="HS87" s="145"/>
      <c r="HT87" s="145"/>
      <c r="HU87" s="145"/>
      <c r="HV87" s="145"/>
      <c r="HW87" s="145"/>
      <c r="HX87" s="145"/>
      <c r="HY87" s="145"/>
      <c r="HZ87" s="145"/>
      <c r="IA87" s="145"/>
      <c r="IB87" s="145"/>
      <c r="IC87" s="145"/>
      <c r="ID87" s="145"/>
      <c r="IE87" s="145"/>
      <c r="IF87" s="145"/>
      <c r="IG87" s="145"/>
      <c r="IH87" s="145"/>
      <c r="II87" s="145"/>
      <c r="IJ87" s="145"/>
      <c r="IK87" s="145"/>
      <c r="IL87" s="145"/>
      <c r="IM87" s="145"/>
      <c r="IN87" s="145"/>
      <c r="IO87" s="145"/>
      <c r="IP87" s="145"/>
      <c r="IQ87" s="145"/>
      <c r="IR87" s="145"/>
      <c r="IS87" s="145"/>
      <c r="IT87" s="145"/>
      <c r="IU87" s="145">
        <v>5260</v>
      </c>
      <c r="IV87" s="145"/>
      <c r="IW87" s="145"/>
      <c r="IX87" s="145"/>
      <c r="IY87" s="145"/>
      <c r="IZ87" s="145"/>
      <c r="JA87" s="145"/>
      <c r="JB87" s="145"/>
      <c r="JC87" s="145"/>
      <c r="JD87" s="145"/>
      <c r="JE87" s="145"/>
      <c r="JF87" s="145"/>
      <c r="JG87" s="145"/>
      <c r="JH87" s="145"/>
      <c r="JI87" s="145"/>
      <c r="JJ87" s="145"/>
      <c r="JK87" s="145"/>
      <c r="JL87" s="145"/>
      <c r="JM87" s="145"/>
      <c r="JN87" s="145"/>
      <c r="JO87" s="145"/>
      <c r="JP87" s="145"/>
      <c r="JQ87" s="145"/>
      <c r="JR87" s="145"/>
      <c r="JS87" s="139"/>
      <c r="JT87" s="139"/>
      <c r="JU87" s="139"/>
      <c r="JV87" s="632"/>
      <c r="JW87" s="414"/>
      <c r="JX87" s="414"/>
      <c r="JY87" s="414"/>
      <c r="JZ87" s="414"/>
      <c r="KA87" s="414"/>
      <c r="KB87" s="414"/>
      <c r="KC87" s="414"/>
      <c r="KD87" s="414"/>
      <c r="KE87" s="414"/>
      <c r="KF87" s="414"/>
      <c r="KG87" s="414"/>
      <c r="KH87" s="414"/>
      <c r="KI87" s="633"/>
    </row>
    <row r="88" spans="1:295" x14ac:dyDescent="0.2">
      <c r="B88" s="24" t="s">
        <v>124</v>
      </c>
      <c r="D88" s="142">
        <v>-9309611.0399999991</v>
      </c>
      <c r="E88" s="142">
        <v>-8998728.4499999993</v>
      </c>
      <c r="F88" s="142">
        <v>-7691608.3700000001</v>
      </c>
      <c r="G88" s="142">
        <v>-7625351.3254894968</v>
      </c>
      <c r="H88" s="142">
        <v>-11338385.041528828</v>
      </c>
      <c r="I88" s="142">
        <v>-5192776.3790033562</v>
      </c>
      <c r="J88" s="142">
        <v>-6037291.0314844772</v>
      </c>
      <c r="K88" s="142">
        <v>-8205651.4357875213</v>
      </c>
      <c r="L88" s="142">
        <v>-7196768.0671058232</v>
      </c>
      <c r="M88" s="142">
        <v>-6321772.7041240409</v>
      </c>
      <c r="N88" s="142">
        <v>-7596669.1441258285</v>
      </c>
      <c r="O88" s="142">
        <v>-4491544.7749753818</v>
      </c>
      <c r="P88" s="142">
        <v>-6888901.9336469946</v>
      </c>
      <c r="Q88" s="142">
        <v>-8228344.880969042</v>
      </c>
      <c r="R88" s="142">
        <v>-6932965.3065840043</v>
      </c>
      <c r="S88" s="142">
        <v>-4000005.4894040972</v>
      </c>
      <c r="T88" s="142">
        <v>3200965.1741301194</v>
      </c>
      <c r="U88" s="142">
        <v>3958622.2170984074</v>
      </c>
      <c r="V88" s="142">
        <v>4487074.7047606483</v>
      </c>
      <c r="W88" s="142">
        <v>5174517.0417939611</v>
      </c>
      <c r="X88" s="142">
        <v>25349866.55425451</v>
      </c>
      <c r="Y88" s="142">
        <v>2317210.9144901969</v>
      </c>
      <c r="Z88" s="142">
        <v>533583.2712472789</v>
      </c>
      <c r="AA88" s="142">
        <v>116967.44977879152</v>
      </c>
      <c r="AB88" s="142">
        <v>-2292561.77</v>
      </c>
      <c r="AC88" s="142">
        <v>-7632348.3399999999</v>
      </c>
      <c r="AD88" s="142">
        <v>-567085.96</v>
      </c>
      <c r="AE88" s="142">
        <v>-3239767.15</v>
      </c>
      <c r="AF88" s="142">
        <v>545566.52</v>
      </c>
      <c r="AG88" s="142">
        <v>726044.46</v>
      </c>
      <c r="AH88" s="142">
        <v>7156408.3600000003</v>
      </c>
      <c r="AI88" s="142">
        <v>6534705.5199999996</v>
      </c>
      <c r="AJ88" s="142">
        <v>3442513.46</v>
      </c>
      <c r="AK88" s="142">
        <v>-232476.75</v>
      </c>
      <c r="AL88" s="142">
        <v>365250.8</v>
      </c>
      <c r="AM88" s="142">
        <v>-590647.91</v>
      </c>
      <c r="AN88" s="142">
        <v>-3494480.41</v>
      </c>
      <c r="AO88" s="142">
        <v>-1688587.81</v>
      </c>
      <c r="AP88" s="142">
        <v>-1512275.66</v>
      </c>
      <c r="AQ88" s="142">
        <v>-7254448.4500000002</v>
      </c>
      <c r="AR88" s="142">
        <v>8329692.7199999997</v>
      </c>
      <c r="AS88" s="142">
        <v>4870994.01</v>
      </c>
      <c r="AT88" s="142">
        <v>1827166.81</v>
      </c>
      <c r="AU88" s="142">
        <v>8581356.0800000001</v>
      </c>
      <c r="AV88" s="142">
        <v>4685830.8</v>
      </c>
      <c r="AW88" s="142">
        <v>4024674.81</v>
      </c>
      <c r="AX88" s="142">
        <v>3071200.73</v>
      </c>
      <c r="AY88" s="142">
        <v>2348000.31</v>
      </c>
      <c r="AZ88" s="143">
        <v>28244.66</v>
      </c>
      <c r="BA88" s="143">
        <v>-10482477.199999999</v>
      </c>
      <c r="BB88" s="143">
        <v>3956035.19</v>
      </c>
      <c r="BC88" s="143">
        <v>7183444.4800000004</v>
      </c>
      <c r="BD88" s="143">
        <v>18068055.82</v>
      </c>
      <c r="BE88" s="143">
        <v>18634405.850000001</v>
      </c>
      <c r="BF88" s="143">
        <v>14955806.460000001</v>
      </c>
      <c r="BG88" s="143">
        <v>6311311.6299999999</v>
      </c>
      <c r="BH88" s="143">
        <v>1848421.89</v>
      </c>
      <c r="BI88" s="143">
        <v>-6384011.3099999996</v>
      </c>
      <c r="BJ88" s="143">
        <v>3293813.56</v>
      </c>
      <c r="BK88" s="143">
        <v>-1247340</v>
      </c>
      <c r="BL88" s="143">
        <v>181511.81</v>
      </c>
      <c r="BM88" s="143">
        <v>-895927.61</v>
      </c>
      <c r="BN88" s="143">
        <v>-1004019.67</v>
      </c>
      <c r="BO88" s="143">
        <v>-16502733.289999999</v>
      </c>
      <c r="BP88" s="143">
        <v>-3407382.61</v>
      </c>
      <c r="BQ88" s="143">
        <v>-3119669.97</v>
      </c>
      <c r="BR88" s="146">
        <v>-10276374.390000001</v>
      </c>
      <c r="BS88" s="143">
        <v>-6738422.5300000003</v>
      </c>
      <c r="BT88" s="143">
        <v>-5050017.18</v>
      </c>
      <c r="BU88" s="143">
        <v>-13417835.08</v>
      </c>
      <c r="BV88" s="143">
        <v>-12375452.18</v>
      </c>
      <c r="BW88" s="143">
        <v>-12177449.73</v>
      </c>
      <c r="BX88" s="143">
        <v>-8665117.2599999998</v>
      </c>
      <c r="BY88" s="147">
        <v>-8019201.3799999999</v>
      </c>
      <c r="BZ88" s="147">
        <v>-15454541.189999999</v>
      </c>
      <c r="CA88" s="147">
        <v>-20304466.93</v>
      </c>
      <c r="CB88" s="143">
        <v>-8177230.9199999999</v>
      </c>
      <c r="CC88" s="143">
        <v>-2301020.4700000002</v>
      </c>
      <c r="CD88" s="143">
        <v>-4022894.16</v>
      </c>
      <c r="CE88" s="143">
        <v>-960129.06</v>
      </c>
      <c r="CF88" s="143">
        <v>4131413.16</v>
      </c>
      <c r="CG88" s="143">
        <v>10013970.52</v>
      </c>
      <c r="CH88" s="143">
        <v>6722091.5899999999</v>
      </c>
      <c r="CI88" s="143">
        <v>5259396.99</v>
      </c>
      <c r="CJ88" s="143">
        <v>2188939.08</v>
      </c>
      <c r="CK88" s="143">
        <v>-10025699.880000001</v>
      </c>
      <c r="CL88" s="143">
        <v>-6083711.5099999998</v>
      </c>
      <c r="CM88" s="143">
        <v>-14764374.300000001</v>
      </c>
      <c r="CN88" s="143">
        <v>7919371.3600000003</v>
      </c>
      <c r="CO88" s="146">
        <v>12808113.539999999</v>
      </c>
      <c r="CP88" s="143">
        <v>1571538.65</v>
      </c>
      <c r="CQ88" s="143">
        <v>-12283822.939999999</v>
      </c>
      <c r="CR88" s="143">
        <v>-4996699.46</v>
      </c>
      <c r="CS88" s="143">
        <v>-16045183.99</v>
      </c>
      <c r="CT88" s="143">
        <v>-17435590.23</v>
      </c>
      <c r="CU88" s="143">
        <v>-10758034.710000001</v>
      </c>
      <c r="CV88" s="143">
        <v>-5990769.8899999997</v>
      </c>
      <c r="CW88" s="143">
        <v>-12297838.529999999</v>
      </c>
      <c r="CX88" s="143">
        <v>-9335298.9900000002</v>
      </c>
      <c r="CY88" s="143">
        <v>-13027140.41</v>
      </c>
      <c r="CZ88" s="149">
        <v>4913335.6500000004</v>
      </c>
      <c r="DA88" s="143">
        <v>8773533.5600000005</v>
      </c>
      <c r="DB88" s="150">
        <v>5285427.1100000003</v>
      </c>
      <c r="DC88" s="150">
        <v>6893590.4400000004</v>
      </c>
      <c r="DD88" s="143">
        <v>3867459.85</v>
      </c>
      <c r="DE88" s="143">
        <v>-10947027.109999999</v>
      </c>
      <c r="DF88" s="147">
        <v>-9452435.8300000001</v>
      </c>
      <c r="DG88" s="159">
        <v>-2739093.32</v>
      </c>
      <c r="DH88" s="143">
        <v>-3362357.94</v>
      </c>
      <c r="DI88" s="143">
        <v>-5367656.9800000004</v>
      </c>
      <c r="DJ88" s="143">
        <v>-3108907.05</v>
      </c>
      <c r="DK88" s="143">
        <v>-7478098.1600000001</v>
      </c>
      <c r="DL88" s="143">
        <v>-327399.37</v>
      </c>
      <c r="DM88" s="143">
        <v>6941015.21</v>
      </c>
      <c r="DN88" s="143">
        <v>5639044.96</v>
      </c>
      <c r="DO88" s="143">
        <v>-4248055.3899999997</v>
      </c>
      <c r="DP88" s="143">
        <v>-3516256.68</v>
      </c>
      <c r="DQ88" s="143">
        <v>-9801218.3499999996</v>
      </c>
      <c r="DR88" s="143">
        <v>-3903557.93</v>
      </c>
      <c r="DS88" s="143">
        <v>-3271615.23</v>
      </c>
      <c r="DT88" s="143">
        <v>-1955895.19</v>
      </c>
      <c r="DU88" s="143">
        <v>-7438417.5099999998</v>
      </c>
      <c r="DV88" s="143">
        <v>-1992735.03</v>
      </c>
      <c r="DW88" s="143">
        <v>-5819713.4500000002</v>
      </c>
      <c r="DX88" s="143">
        <v>-4339645.3499999996</v>
      </c>
      <c r="DY88" s="143">
        <v>-1322830.7</v>
      </c>
      <c r="DZ88" s="143">
        <v>-1578782.04</v>
      </c>
      <c r="EA88" s="145">
        <v>-4055739.17</v>
      </c>
      <c r="EB88" s="143">
        <v>-14083326.83</v>
      </c>
      <c r="EC88" s="143">
        <v>-7053860.8200000003</v>
      </c>
      <c r="ED88" s="143">
        <v>-1367511.25</v>
      </c>
      <c r="EE88" s="143">
        <v>-2466586.27</v>
      </c>
      <c r="EF88" s="143">
        <v>-1928635.71</v>
      </c>
      <c r="EG88" s="145">
        <v>-78660.08</v>
      </c>
      <c r="EH88" s="145">
        <v>-5696765.2300000004</v>
      </c>
      <c r="EI88" s="145">
        <v>-5126697.13</v>
      </c>
      <c r="EJ88" s="145">
        <v>3218631.44</v>
      </c>
      <c r="EK88" s="145">
        <v>3353855.88</v>
      </c>
      <c r="EL88" s="145">
        <v>1038151.9</v>
      </c>
      <c r="EM88" s="145">
        <v>470925.99</v>
      </c>
      <c r="EN88" s="145">
        <v>2925912.86</v>
      </c>
      <c r="EO88" s="145">
        <v>-913921.57</v>
      </c>
      <c r="EP88" s="145">
        <v>-2496159.2999999998</v>
      </c>
      <c r="EQ88" s="145">
        <v>-451769.73</v>
      </c>
      <c r="ER88" s="145">
        <v>-3699651.54</v>
      </c>
      <c r="ES88" s="145">
        <v>-1768570.2</v>
      </c>
      <c r="ET88" s="149">
        <v>-6903153.5099999998</v>
      </c>
      <c r="EU88" s="149">
        <v>-3660545.69</v>
      </c>
      <c r="EV88" s="149">
        <v>3681481.28</v>
      </c>
      <c r="EW88" s="149">
        <v>4748247.83</v>
      </c>
      <c r="EX88" s="149">
        <v>3247313.88</v>
      </c>
      <c r="EY88" s="149">
        <v>8901216.1899999995</v>
      </c>
      <c r="EZ88" s="149">
        <v>3737468.6</v>
      </c>
      <c r="FA88" s="149">
        <v>1341769.67</v>
      </c>
      <c r="FB88" s="149">
        <v>-195343.45</v>
      </c>
      <c r="FC88" s="149">
        <v>2773281.6</v>
      </c>
      <c r="FD88" s="149">
        <v>1202288.78</v>
      </c>
      <c r="FE88" s="145">
        <v>-1388829.17</v>
      </c>
      <c r="FF88" s="145">
        <v>231855.97</v>
      </c>
      <c r="FG88" s="145">
        <v>-335148.12</v>
      </c>
      <c r="FH88" s="145">
        <v>76270.61</v>
      </c>
      <c r="FI88" s="145">
        <v>-702854.26</v>
      </c>
      <c r="FJ88" s="145">
        <v>-3250360.94</v>
      </c>
      <c r="FK88" s="145">
        <v>-4124126.6</v>
      </c>
      <c r="FL88" s="145">
        <v>-6383507.5099999998</v>
      </c>
      <c r="FM88" s="145">
        <v>-8944259.2699999996</v>
      </c>
      <c r="FN88" s="145">
        <v>-4669504.38</v>
      </c>
      <c r="FO88" s="145">
        <v>-1698484.86</v>
      </c>
      <c r="FP88" s="145">
        <v>-1751446.18</v>
      </c>
      <c r="FQ88" s="145">
        <v>-3699011.46</v>
      </c>
      <c r="FR88" s="145">
        <v>-3297807.14</v>
      </c>
      <c r="FS88" s="145">
        <v>-4210339.05</v>
      </c>
      <c r="FT88" s="145">
        <v>635097.76</v>
      </c>
      <c r="FU88" s="145">
        <v>-1715624.75</v>
      </c>
      <c r="FV88" s="145">
        <v>94068.6</v>
      </c>
      <c r="FW88" s="145">
        <v>-293010.62</v>
      </c>
      <c r="FX88" s="145">
        <v>-4303338.57</v>
      </c>
      <c r="FY88" s="145">
        <v>-4958908.41</v>
      </c>
      <c r="FZ88" s="145">
        <v>-4757633.9000000004</v>
      </c>
      <c r="GA88" s="145">
        <v>-3670570.75</v>
      </c>
      <c r="GB88" s="145">
        <v>-4099135.16</v>
      </c>
      <c r="GC88" s="145">
        <v>-3449309.95</v>
      </c>
      <c r="GD88" s="145">
        <v>-3110389.06</v>
      </c>
      <c r="GE88" s="145">
        <v>-3340133.56</v>
      </c>
      <c r="GF88" s="145">
        <v>1252100.95</v>
      </c>
      <c r="GG88" s="145">
        <v>7140367.9000000004</v>
      </c>
      <c r="GH88" s="145">
        <v>5871993.1100000003</v>
      </c>
      <c r="GI88" s="145">
        <v>-1424889.48</v>
      </c>
      <c r="GJ88" s="145">
        <v>-3881813.57</v>
      </c>
      <c r="GK88" s="145">
        <v>-3916793.23</v>
      </c>
      <c r="GL88" s="145">
        <v>-3408758.64</v>
      </c>
      <c r="GM88" s="145">
        <v>-2494000.9300000002</v>
      </c>
      <c r="GN88" s="145">
        <v>-4130128.38</v>
      </c>
      <c r="GO88" s="145">
        <v>-5125126.83</v>
      </c>
      <c r="GP88" s="145">
        <v>-4226683.9800000004</v>
      </c>
      <c r="GQ88" s="145">
        <v>-6400664.3200000003</v>
      </c>
      <c r="GR88" s="145">
        <v>-1864172.69</v>
      </c>
      <c r="GS88" s="145">
        <v>2193160.44</v>
      </c>
      <c r="GT88" s="145">
        <v>-2746725.48</v>
      </c>
      <c r="GU88" s="145">
        <v>-889947.51</v>
      </c>
      <c r="GV88" s="145">
        <v>-5447314.1799999997</v>
      </c>
      <c r="GW88" s="145">
        <v>-6533565.1900000004</v>
      </c>
      <c r="GX88" s="145">
        <v>-4824113.3899999997</v>
      </c>
      <c r="GY88" s="145">
        <v>-5358036.5</v>
      </c>
      <c r="GZ88" s="145">
        <v>-5936118.7400000002</v>
      </c>
      <c r="HA88" s="145">
        <v>-6303017.54</v>
      </c>
      <c r="HB88" s="145">
        <v>-4042948.18</v>
      </c>
      <c r="HC88" s="145">
        <v>-2830733.35</v>
      </c>
      <c r="HD88" s="181">
        <v>22338109.600000001</v>
      </c>
      <c r="HE88" s="181">
        <v>20281530.920000002</v>
      </c>
      <c r="HF88" s="181">
        <v>8607805.9700000007</v>
      </c>
      <c r="HG88" s="182">
        <v>57136388.979999997</v>
      </c>
      <c r="HH88" s="182">
        <v>56507726.700000003</v>
      </c>
      <c r="HI88" s="145">
        <v>-6690336.4000000004</v>
      </c>
      <c r="HJ88" s="145">
        <v>-1103576.81</v>
      </c>
      <c r="HK88" s="145">
        <v>-633614.35</v>
      </c>
      <c r="HL88" s="145">
        <v>-2655959.14</v>
      </c>
      <c r="HM88" s="145">
        <v>-2571982.86</v>
      </c>
      <c r="HN88" s="145">
        <v>-3614593.37</v>
      </c>
      <c r="HO88" s="145">
        <v>-1151072.8700000001</v>
      </c>
      <c r="HP88" s="145">
        <v>5387173.2000000002</v>
      </c>
      <c r="HQ88" s="145">
        <v>3263390.08</v>
      </c>
      <c r="HR88" s="145">
        <v>4676121.5199999996</v>
      </c>
      <c r="HS88" s="145">
        <v>3854682.5</v>
      </c>
      <c r="HT88" s="145">
        <v>3264827.05</v>
      </c>
      <c r="HU88" s="145">
        <v>-1953952.04</v>
      </c>
      <c r="HV88" s="145">
        <v>-921611.17</v>
      </c>
      <c r="HW88" s="145">
        <v>-1649670.28</v>
      </c>
      <c r="HX88" s="145">
        <v>-551701.27</v>
      </c>
      <c r="HY88" s="15">
        <v>-443897.16</v>
      </c>
      <c r="HZ88" s="15">
        <v>-1365018.15</v>
      </c>
      <c r="IA88" s="15">
        <v>629865.84</v>
      </c>
      <c r="IB88" s="15">
        <v>2028917.11</v>
      </c>
      <c r="IC88" s="15">
        <v>2103003.0499999998</v>
      </c>
      <c r="ID88" s="15">
        <v>3122703.02</v>
      </c>
      <c r="IE88" s="15">
        <v>-9251082.0399999991</v>
      </c>
      <c r="IF88" s="15">
        <v>2270124.1800000002</v>
      </c>
      <c r="IG88" s="15">
        <v>-50887.5</v>
      </c>
      <c r="IH88" s="15">
        <v>1239250.06</v>
      </c>
      <c r="II88" s="15">
        <v>-1853757.32</v>
      </c>
      <c r="IJ88" s="15">
        <v>-1693674.41</v>
      </c>
      <c r="IK88" s="15">
        <v>-3891998.93</v>
      </c>
      <c r="IL88" s="15">
        <v>-3846413.48</v>
      </c>
      <c r="IM88" s="15">
        <v>5083461.07</v>
      </c>
      <c r="IN88" s="15">
        <v>2405272.9500000002</v>
      </c>
      <c r="IO88" s="15">
        <v>13990077.67</v>
      </c>
      <c r="IP88" s="15">
        <v>3744245.13</v>
      </c>
      <c r="IQ88" s="15">
        <v>2739154.46</v>
      </c>
      <c r="IR88" s="15">
        <v>5444909.29</v>
      </c>
      <c r="IS88" s="15">
        <v>2795388.75</v>
      </c>
      <c r="IT88" s="15">
        <v>9253446.4299999997</v>
      </c>
      <c r="IU88" s="15">
        <v>-2589797.77</v>
      </c>
      <c r="IV88" s="15">
        <v>-7121163.4800000004</v>
      </c>
      <c r="IW88" s="15">
        <v>-9815272.9800000004</v>
      </c>
      <c r="IX88" s="15">
        <v>-7835483.46</v>
      </c>
      <c r="IY88" s="15">
        <v>-2989649.19</v>
      </c>
      <c r="IZ88" s="15">
        <v>7695201.5199999996</v>
      </c>
      <c r="JA88" s="15">
        <v>-8797315.9199999999</v>
      </c>
      <c r="JB88" s="15">
        <v>-27166630.329999998</v>
      </c>
      <c r="JC88" s="15">
        <v>-14234688.130000001</v>
      </c>
      <c r="JD88" s="15">
        <v>-18039514.02</v>
      </c>
      <c r="JE88" s="15">
        <v>-19410124.609999999</v>
      </c>
      <c r="JF88" s="15">
        <v>-7636106.5999999996</v>
      </c>
      <c r="JG88" s="15">
        <v>-6216683.8600000003</v>
      </c>
      <c r="JH88" s="15">
        <v>-10681929.77</v>
      </c>
      <c r="JI88" s="15">
        <v>-9575509.1400000006</v>
      </c>
      <c r="JJ88" s="145">
        <v>-6678876.7800000003</v>
      </c>
      <c r="JK88" s="145">
        <v>-11522199.6</v>
      </c>
      <c r="JL88" s="145">
        <v>-2872688.03</v>
      </c>
      <c r="JM88" s="145">
        <v>5743987.9900000002</v>
      </c>
      <c r="JN88" s="145">
        <v>414703.47</v>
      </c>
      <c r="JO88" s="145">
        <v>-791668.99</v>
      </c>
      <c r="JP88" s="145">
        <v>-8604347.9399999995</v>
      </c>
      <c r="JQ88" s="145">
        <v>-15229944.66</v>
      </c>
      <c r="JR88" s="145">
        <v>-9303545.8100000005</v>
      </c>
      <c r="JS88" s="145">
        <v>-3740979.82</v>
      </c>
      <c r="JT88" s="145">
        <v>-3724515.6</v>
      </c>
      <c r="JU88" s="395">
        <v>-2839803.51</v>
      </c>
      <c r="JV88" s="634"/>
      <c r="JW88" s="413"/>
      <c r="JX88" s="413"/>
      <c r="JY88" s="413"/>
      <c r="JZ88" s="413"/>
      <c r="KA88" s="413"/>
      <c r="KB88" s="413"/>
      <c r="KC88" s="413"/>
      <c r="KD88" s="413"/>
      <c r="KE88" s="413"/>
      <c r="KF88" s="413"/>
      <c r="KG88" s="413"/>
      <c r="KH88" s="413"/>
      <c r="KI88" s="635"/>
    </row>
    <row r="89" spans="1:295" x14ac:dyDescent="0.2">
      <c r="B89" s="24" t="s">
        <v>126</v>
      </c>
      <c r="D89" s="142">
        <v>221802.65</v>
      </c>
      <c r="E89" s="142">
        <v>187071.24</v>
      </c>
      <c r="F89" s="142">
        <v>952431.85600000073</v>
      </c>
      <c r="G89" s="142">
        <v>-1381656.74</v>
      </c>
      <c r="H89" s="142">
        <v>1231128.6299999999</v>
      </c>
      <c r="I89" s="142">
        <v>531821.71</v>
      </c>
      <c r="J89" s="142">
        <v>-51428.88</v>
      </c>
      <c r="K89" s="142">
        <v>0</v>
      </c>
      <c r="L89" s="142">
        <v>0</v>
      </c>
      <c r="M89" s="142">
        <v>0</v>
      </c>
      <c r="N89" s="142">
        <v>0</v>
      </c>
      <c r="O89" s="142">
        <v>0</v>
      </c>
      <c r="P89" s="142">
        <v>0</v>
      </c>
      <c r="Q89" s="142">
        <v>0</v>
      </c>
      <c r="R89" s="142">
        <v>0</v>
      </c>
      <c r="S89" s="142">
        <v>0</v>
      </c>
      <c r="T89" s="142">
        <v>0</v>
      </c>
      <c r="U89" s="142">
        <v>0</v>
      </c>
      <c r="V89" s="142">
        <v>0</v>
      </c>
      <c r="W89" s="142">
        <v>0</v>
      </c>
      <c r="X89" s="142">
        <v>0</v>
      </c>
      <c r="Y89" s="142">
        <v>0</v>
      </c>
      <c r="Z89" s="142">
        <v>0</v>
      </c>
      <c r="AA89" s="142">
        <v>0</v>
      </c>
      <c r="AB89" s="142">
        <v>0</v>
      </c>
      <c r="AC89" s="142">
        <v>0</v>
      </c>
      <c r="AD89" s="142">
        <v>0</v>
      </c>
      <c r="AE89" s="142">
        <v>0</v>
      </c>
      <c r="AF89" s="142">
        <v>0</v>
      </c>
      <c r="AG89" s="142">
        <v>0</v>
      </c>
      <c r="AH89" s="142">
        <v>0</v>
      </c>
      <c r="AI89" s="142">
        <v>0</v>
      </c>
      <c r="AJ89" s="142">
        <v>0</v>
      </c>
      <c r="AK89" s="142">
        <v>0</v>
      </c>
      <c r="AL89" s="142">
        <v>0</v>
      </c>
      <c r="AM89" s="142">
        <v>0</v>
      </c>
      <c r="AN89" s="142">
        <v>0</v>
      </c>
      <c r="AO89" s="142">
        <v>0</v>
      </c>
      <c r="AP89" s="142">
        <v>0</v>
      </c>
      <c r="AQ89" s="142">
        <v>0</v>
      </c>
      <c r="AR89" s="142">
        <v>0</v>
      </c>
      <c r="AS89" s="142">
        <v>0</v>
      </c>
      <c r="AT89" s="142">
        <v>0</v>
      </c>
      <c r="AU89" s="142">
        <v>0</v>
      </c>
      <c r="AV89" s="142">
        <v>0</v>
      </c>
      <c r="AW89" s="142">
        <v>0</v>
      </c>
      <c r="AX89" s="142">
        <v>0</v>
      </c>
      <c r="AY89" s="142">
        <v>0</v>
      </c>
      <c r="AZ89" s="142">
        <v>0</v>
      </c>
      <c r="BA89" s="142">
        <v>0</v>
      </c>
      <c r="BB89" s="142">
        <v>0</v>
      </c>
      <c r="BC89" s="142">
        <v>0</v>
      </c>
      <c r="BD89" s="142">
        <v>0</v>
      </c>
      <c r="BE89" s="142">
        <v>0</v>
      </c>
      <c r="BF89" s="142">
        <v>0</v>
      </c>
      <c r="BG89" s="142">
        <v>0</v>
      </c>
      <c r="BH89" s="142">
        <v>0</v>
      </c>
      <c r="BI89" s="142">
        <v>0</v>
      </c>
      <c r="BJ89" s="142">
        <v>0</v>
      </c>
      <c r="BK89" s="142">
        <v>0</v>
      </c>
      <c r="BL89" s="142">
        <v>0</v>
      </c>
      <c r="BM89" s="142">
        <v>0</v>
      </c>
      <c r="BN89" s="142">
        <v>0</v>
      </c>
      <c r="BO89" s="142">
        <v>0</v>
      </c>
      <c r="BP89" s="142">
        <v>0</v>
      </c>
      <c r="BQ89" s="142">
        <v>0</v>
      </c>
      <c r="BR89" s="114">
        <v>0</v>
      </c>
      <c r="BS89" s="142">
        <v>0</v>
      </c>
      <c r="BT89" s="142">
        <v>0</v>
      </c>
      <c r="BU89" s="142">
        <v>0</v>
      </c>
      <c r="BV89" s="142">
        <v>0</v>
      </c>
      <c r="BW89" s="142">
        <v>0</v>
      </c>
      <c r="BX89" s="143">
        <v>0</v>
      </c>
      <c r="BY89" s="143">
        <v>0</v>
      </c>
      <c r="BZ89" s="143">
        <v>0</v>
      </c>
      <c r="CA89" s="147">
        <v>0</v>
      </c>
      <c r="CB89" s="143"/>
      <c r="CC89" s="143"/>
      <c r="CD89" s="143"/>
      <c r="CE89" s="143"/>
      <c r="CF89" s="143"/>
      <c r="CG89" s="143"/>
      <c r="CH89" s="143"/>
      <c r="CI89" s="143"/>
      <c r="CJ89" s="143">
        <v>0</v>
      </c>
      <c r="CK89" s="143">
        <v>0</v>
      </c>
      <c r="CL89" s="143">
        <v>0</v>
      </c>
      <c r="CM89" s="143">
        <v>0</v>
      </c>
      <c r="CN89" s="143">
        <v>0</v>
      </c>
      <c r="CO89" s="146">
        <v>0</v>
      </c>
      <c r="CP89" s="143">
        <v>0</v>
      </c>
      <c r="CQ89" s="143">
        <v>0</v>
      </c>
      <c r="CR89" s="143">
        <v>0</v>
      </c>
      <c r="CS89" s="143">
        <v>0</v>
      </c>
      <c r="CT89" s="143">
        <v>0</v>
      </c>
      <c r="CU89" s="143">
        <v>0</v>
      </c>
      <c r="CV89" s="143">
        <v>0</v>
      </c>
      <c r="CW89" s="143">
        <v>0</v>
      </c>
      <c r="CX89" s="143">
        <v>0</v>
      </c>
      <c r="CY89" s="143">
        <v>0</v>
      </c>
      <c r="CZ89" s="143">
        <v>0</v>
      </c>
      <c r="DA89" s="143">
        <v>0</v>
      </c>
      <c r="DB89" s="143">
        <v>0</v>
      </c>
      <c r="DC89" s="143">
        <v>0</v>
      </c>
      <c r="DD89" s="143">
        <v>0</v>
      </c>
      <c r="DE89" s="143">
        <v>0</v>
      </c>
      <c r="DF89" s="143">
        <v>0</v>
      </c>
      <c r="DG89" s="146">
        <v>0</v>
      </c>
      <c r="DH89" s="143">
        <v>0</v>
      </c>
      <c r="DI89" s="143">
        <v>0</v>
      </c>
      <c r="DJ89" s="143">
        <v>0</v>
      </c>
      <c r="DK89" s="143">
        <v>0</v>
      </c>
      <c r="DL89" s="143">
        <v>0</v>
      </c>
      <c r="DM89" s="143">
        <v>0</v>
      </c>
      <c r="DN89" s="143">
        <v>0</v>
      </c>
      <c r="DO89" s="143">
        <v>0</v>
      </c>
      <c r="DP89" s="143">
        <v>0</v>
      </c>
      <c r="DQ89" s="143">
        <v>0</v>
      </c>
      <c r="DR89" s="143">
        <v>0</v>
      </c>
      <c r="DS89" s="143">
        <v>0</v>
      </c>
      <c r="DT89" s="143">
        <v>0</v>
      </c>
      <c r="DU89" s="143">
        <v>0</v>
      </c>
      <c r="DV89" s="143">
        <v>0</v>
      </c>
      <c r="DW89" s="143">
        <v>0</v>
      </c>
      <c r="DX89" s="143">
        <v>0</v>
      </c>
      <c r="DY89" s="143">
        <v>0</v>
      </c>
      <c r="DZ89" s="143">
        <v>0</v>
      </c>
      <c r="EA89" s="143">
        <v>0</v>
      </c>
      <c r="EB89" s="143"/>
      <c r="EC89" s="143"/>
      <c r="ED89" s="143"/>
      <c r="EE89" s="143"/>
      <c r="EF89" s="143"/>
      <c r="EG89" s="143"/>
      <c r="EH89" s="143"/>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c r="JN89" s="143"/>
      <c r="JO89" s="143"/>
      <c r="JP89" s="143"/>
      <c r="JQ89" s="143"/>
      <c r="JR89" s="143"/>
      <c r="JS89" s="143"/>
      <c r="JT89" s="143"/>
      <c r="JU89" s="143"/>
      <c r="JV89" s="636"/>
      <c r="JW89" s="415"/>
      <c r="JX89" s="415"/>
      <c r="JY89" s="415"/>
      <c r="JZ89" s="415"/>
      <c r="KA89" s="415"/>
      <c r="KB89" s="415"/>
      <c r="KC89" s="415"/>
      <c r="KD89" s="415"/>
      <c r="KE89" s="415"/>
      <c r="KF89" s="415"/>
      <c r="KG89" s="415"/>
      <c r="KH89" s="415"/>
      <c r="KI89" s="637"/>
    </row>
    <row r="90" spans="1:295" x14ac:dyDescent="0.2">
      <c r="B90" s="24" t="s">
        <v>108</v>
      </c>
      <c r="D90" s="180">
        <f>SUM(D82:D89)</f>
        <v>-9087808.3899999987</v>
      </c>
      <c r="E90" s="180">
        <f t="shared" ref="E90:BP90" si="232">SUM(E82:E89)</f>
        <v>-63019466.859999992</v>
      </c>
      <c r="F90" s="180">
        <f t="shared" si="232"/>
        <v>-6739176.5139999995</v>
      </c>
      <c r="G90" s="180">
        <f t="shared" si="232"/>
        <v>-9007008.065489497</v>
      </c>
      <c r="H90" s="180">
        <f t="shared" si="232"/>
        <v>-10107256.411528829</v>
      </c>
      <c r="I90" s="180">
        <f t="shared" si="232"/>
        <v>-4660954.6690033562</v>
      </c>
      <c r="J90" s="180">
        <f t="shared" si="232"/>
        <v>-6088719.9114844771</v>
      </c>
      <c r="K90" s="180">
        <f t="shared" si="232"/>
        <v>-8205651.4357875213</v>
      </c>
      <c r="L90" s="180">
        <f t="shared" si="232"/>
        <v>-7196768.0671058232</v>
      </c>
      <c r="M90" s="180">
        <f t="shared" si="232"/>
        <v>-6321772.7041240409</v>
      </c>
      <c r="N90" s="180">
        <f t="shared" si="232"/>
        <v>-7596669.1441258285</v>
      </c>
      <c r="O90" s="180">
        <f t="shared" si="232"/>
        <v>-4491544.7749753818</v>
      </c>
      <c r="P90" s="180">
        <f t="shared" si="232"/>
        <v>-6888901.9336469946</v>
      </c>
      <c r="Q90" s="180">
        <f t="shared" si="232"/>
        <v>-8228344.880969042</v>
      </c>
      <c r="R90" s="180">
        <f t="shared" si="232"/>
        <v>-6932965.3065840043</v>
      </c>
      <c r="S90" s="180">
        <f t="shared" si="232"/>
        <v>-4000005.4894040972</v>
      </c>
      <c r="T90" s="180">
        <f t="shared" si="232"/>
        <v>3200965.1741301194</v>
      </c>
      <c r="U90" s="180">
        <f t="shared" si="232"/>
        <v>3958622.2170984074</v>
      </c>
      <c r="V90" s="180">
        <f t="shared" si="232"/>
        <v>103452814.00476065</v>
      </c>
      <c r="W90" s="180">
        <f t="shared" si="232"/>
        <v>5174517.0417939611</v>
      </c>
      <c r="X90" s="180">
        <f t="shared" si="232"/>
        <v>25349866.55425451</v>
      </c>
      <c r="Y90" s="180">
        <f t="shared" si="232"/>
        <v>-35853834.765509799</v>
      </c>
      <c r="Z90" s="180">
        <f t="shared" si="232"/>
        <v>533583.2712472789</v>
      </c>
      <c r="AA90" s="180">
        <f t="shared" si="232"/>
        <v>116967.44977879152</v>
      </c>
      <c r="AB90" s="180">
        <f t="shared" si="232"/>
        <v>-2292561.77</v>
      </c>
      <c r="AC90" s="180">
        <f t="shared" si="232"/>
        <v>-7632348.3399999999</v>
      </c>
      <c r="AD90" s="180">
        <f t="shared" si="232"/>
        <v>-567085.96</v>
      </c>
      <c r="AE90" s="180">
        <f t="shared" si="232"/>
        <v>-3476684.21</v>
      </c>
      <c r="AF90" s="180">
        <f t="shared" si="232"/>
        <v>545566.52</v>
      </c>
      <c r="AG90" s="180">
        <f t="shared" si="232"/>
        <v>726044.46</v>
      </c>
      <c r="AH90" s="180">
        <f t="shared" si="232"/>
        <v>7156408.3600000003</v>
      </c>
      <c r="AI90" s="180">
        <f t="shared" si="232"/>
        <v>6534705.5199999996</v>
      </c>
      <c r="AJ90" s="180">
        <f t="shared" si="232"/>
        <v>3442513.46</v>
      </c>
      <c r="AK90" s="180">
        <f t="shared" si="232"/>
        <v>-232476.75</v>
      </c>
      <c r="AL90" s="180">
        <f t="shared" si="232"/>
        <v>365250.8</v>
      </c>
      <c r="AM90" s="180">
        <f t="shared" si="232"/>
        <v>-590647.91</v>
      </c>
      <c r="AN90" s="180">
        <f t="shared" si="232"/>
        <v>-3494480.41</v>
      </c>
      <c r="AO90" s="180">
        <f t="shared" si="232"/>
        <v>-1688587.81</v>
      </c>
      <c r="AP90" s="180">
        <f t="shared" si="232"/>
        <v>-1512275.66</v>
      </c>
      <c r="AQ90" s="180">
        <f t="shared" si="232"/>
        <v>-11239874.449999999</v>
      </c>
      <c r="AR90" s="180">
        <f t="shared" si="232"/>
        <v>8329692.7199999997</v>
      </c>
      <c r="AS90" s="180">
        <f t="shared" si="232"/>
        <v>4870994.01</v>
      </c>
      <c r="AT90" s="180">
        <f t="shared" si="232"/>
        <v>1827166.81</v>
      </c>
      <c r="AU90" s="180">
        <f t="shared" si="232"/>
        <v>8581356.0800000001</v>
      </c>
      <c r="AV90" s="180">
        <f t="shared" si="232"/>
        <v>2419467.7999999998</v>
      </c>
      <c r="AW90" s="180">
        <f t="shared" si="232"/>
        <v>4024674.81</v>
      </c>
      <c r="AX90" s="180">
        <f t="shared" si="232"/>
        <v>3071200.73</v>
      </c>
      <c r="AY90" s="180">
        <f t="shared" si="232"/>
        <v>2348000.31</v>
      </c>
      <c r="AZ90" s="180">
        <f t="shared" si="232"/>
        <v>28244.66</v>
      </c>
      <c r="BA90" s="180">
        <f t="shared" si="232"/>
        <v>-10482477.199999999</v>
      </c>
      <c r="BB90" s="180">
        <f t="shared" si="232"/>
        <v>3956035.19</v>
      </c>
      <c r="BC90" s="180">
        <f t="shared" si="232"/>
        <v>-15351225.52</v>
      </c>
      <c r="BD90" s="180">
        <f t="shared" si="232"/>
        <v>18068055.82</v>
      </c>
      <c r="BE90" s="180">
        <f t="shared" si="232"/>
        <v>18634405.850000001</v>
      </c>
      <c r="BF90" s="180">
        <f t="shared" si="232"/>
        <v>14955551.270000001</v>
      </c>
      <c r="BG90" s="180">
        <f t="shared" si="232"/>
        <v>6311311.6299999999</v>
      </c>
      <c r="BH90" s="180">
        <f t="shared" si="232"/>
        <v>1848421.89</v>
      </c>
      <c r="BI90" s="180">
        <f t="shared" si="232"/>
        <v>-6384011.3099999996</v>
      </c>
      <c r="BJ90" s="180">
        <f t="shared" si="232"/>
        <v>3293813.56</v>
      </c>
      <c r="BK90" s="180">
        <f t="shared" si="232"/>
        <v>-1247340</v>
      </c>
      <c r="BL90" s="180">
        <f t="shared" si="232"/>
        <v>181511.81</v>
      </c>
      <c r="BM90" s="180">
        <f t="shared" si="232"/>
        <v>-895927.61</v>
      </c>
      <c r="BN90" s="180">
        <f t="shared" si="232"/>
        <v>-1004019.67</v>
      </c>
      <c r="BO90" s="180">
        <f t="shared" si="232"/>
        <v>-72571135.289999992</v>
      </c>
      <c r="BP90" s="180">
        <f t="shared" si="232"/>
        <v>-3407382.61</v>
      </c>
      <c r="BQ90" s="180">
        <f t="shared" ref="BQ90" si="233">SUM(BQ82:BQ89)</f>
        <v>-3119669.97</v>
      </c>
      <c r="BR90" s="180">
        <f>ROUND(SUM(BR82:BR89),2)</f>
        <v>-10276374.390000001</v>
      </c>
      <c r="BS90" s="180">
        <f t="shared" ref="BS90:ED90" si="234">ROUND(SUM(BS82:BS89),2)</f>
        <v>-6738422.5300000003</v>
      </c>
      <c r="BT90" s="180">
        <f t="shared" si="234"/>
        <v>-5050017.18</v>
      </c>
      <c r="BU90" s="180">
        <f t="shared" si="234"/>
        <v>-13417835.08</v>
      </c>
      <c r="BV90" s="180">
        <f t="shared" si="234"/>
        <v>-12375452.18</v>
      </c>
      <c r="BW90" s="180">
        <f t="shared" si="234"/>
        <v>-12177449.73</v>
      </c>
      <c r="BX90" s="180">
        <f t="shared" si="234"/>
        <v>-8665117.2599999998</v>
      </c>
      <c r="BY90" s="180">
        <f t="shared" si="234"/>
        <v>-8019201.3799999999</v>
      </c>
      <c r="BZ90" s="180">
        <f t="shared" si="234"/>
        <v>-15454541.189999999</v>
      </c>
      <c r="CA90" s="180">
        <f t="shared" si="234"/>
        <v>81084901.069999993</v>
      </c>
      <c r="CB90" s="180">
        <f t="shared" si="234"/>
        <v>-8177230.9199999999</v>
      </c>
      <c r="CC90" s="180">
        <f t="shared" si="234"/>
        <v>-2301020.4700000002</v>
      </c>
      <c r="CD90" s="180">
        <f t="shared" si="234"/>
        <v>-4022894.16</v>
      </c>
      <c r="CE90" s="180">
        <f t="shared" si="234"/>
        <v>-960129.06</v>
      </c>
      <c r="CF90" s="180">
        <f t="shared" si="234"/>
        <v>4131413.16</v>
      </c>
      <c r="CG90" s="180">
        <f t="shared" si="234"/>
        <v>10013970.52</v>
      </c>
      <c r="CH90" s="180">
        <f t="shared" si="234"/>
        <v>6722091.5899999999</v>
      </c>
      <c r="CI90" s="154">
        <f t="shared" si="234"/>
        <v>5259396.99</v>
      </c>
      <c r="CJ90" s="180">
        <f t="shared" si="234"/>
        <v>2188939.08</v>
      </c>
      <c r="CK90" s="180">
        <f t="shared" si="234"/>
        <v>-10025699.880000001</v>
      </c>
      <c r="CL90" s="180">
        <f t="shared" si="234"/>
        <v>-6083711.5099999998</v>
      </c>
      <c r="CM90" s="180">
        <f t="shared" si="234"/>
        <v>11243491.699999999</v>
      </c>
      <c r="CN90" s="180">
        <f t="shared" si="234"/>
        <v>7919371.3600000003</v>
      </c>
      <c r="CO90" s="180">
        <f t="shared" si="234"/>
        <v>12808113.539999999</v>
      </c>
      <c r="CP90" s="180">
        <f t="shared" si="234"/>
        <v>1571538.65</v>
      </c>
      <c r="CQ90" s="180">
        <f t="shared" si="234"/>
        <v>-12283822.939999999</v>
      </c>
      <c r="CR90" s="180">
        <f t="shared" si="234"/>
        <v>-4996699.46</v>
      </c>
      <c r="CS90" s="180">
        <f t="shared" si="234"/>
        <v>-16045183.99</v>
      </c>
      <c r="CT90" s="180">
        <f t="shared" si="234"/>
        <v>-17435590.23</v>
      </c>
      <c r="CU90" s="180">
        <f t="shared" si="234"/>
        <v>10026414.289999999</v>
      </c>
      <c r="CV90" s="180">
        <f t="shared" si="234"/>
        <v>-5990769.8899999997</v>
      </c>
      <c r="CW90" s="180">
        <f t="shared" si="234"/>
        <v>-12297838.529999999</v>
      </c>
      <c r="CX90" s="180">
        <f t="shared" si="234"/>
        <v>-9335298.9900000002</v>
      </c>
      <c r="CY90" s="180">
        <f t="shared" si="234"/>
        <v>58165851.590000004</v>
      </c>
      <c r="CZ90" s="180">
        <f t="shared" si="234"/>
        <v>4913335.6500000004</v>
      </c>
      <c r="DA90" s="180">
        <f t="shared" si="234"/>
        <v>8773533.5600000005</v>
      </c>
      <c r="DB90" s="180">
        <f t="shared" si="234"/>
        <v>5285427.1100000003</v>
      </c>
      <c r="DC90" s="180">
        <f t="shared" si="234"/>
        <v>6893590.4400000004</v>
      </c>
      <c r="DD90" s="180">
        <f t="shared" si="234"/>
        <v>3867459.85</v>
      </c>
      <c r="DE90" s="180">
        <f t="shared" si="234"/>
        <v>-10947027.109999999</v>
      </c>
      <c r="DF90" s="180">
        <f t="shared" si="234"/>
        <v>-9452435.8300000001</v>
      </c>
      <c r="DG90" s="180">
        <f t="shared" si="234"/>
        <v>-2739093.32</v>
      </c>
      <c r="DH90" s="180">
        <f t="shared" si="234"/>
        <v>-3362357.94</v>
      </c>
      <c r="DI90" s="180">
        <f t="shared" si="234"/>
        <v>-5367656.9800000004</v>
      </c>
      <c r="DJ90" s="180">
        <f t="shared" si="234"/>
        <v>-3108907.05</v>
      </c>
      <c r="DK90" s="180">
        <f t="shared" si="234"/>
        <v>-7478098.1600000001</v>
      </c>
      <c r="DL90" s="172">
        <f t="shared" si="234"/>
        <v>32641577.629999999</v>
      </c>
      <c r="DM90" s="172">
        <f t="shared" si="234"/>
        <v>6941015.21</v>
      </c>
      <c r="DN90" s="172">
        <f t="shared" si="234"/>
        <v>5639044.96</v>
      </c>
      <c r="DO90" s="172">
        <f t="shared" si="234"/>
        <v>-4248055.3899999997</v>
      </c>
      <c r="DP90" s="172">
        <f t="shared" si="234"/>
        <v>-3516256.68</v>
      </c>
      <c r="DQ90" s="172">
        <f t="shared" si="234"/>
        <v>-9801218.3499999996</v>
      </c>
      <c r="DR90" s="172">
        <f t="shared" si="234"/>
        <v>-3903557.93</v>
      </c>
      <c r="DS90" s="172">
        <f t="shared" si="234"/>
        <v>-3271615.23</v>
      </c>
      <c r="DT90" s="172">
        <f t="shared" si="234"/>
        <v>-1955895.19</v>
      </c>
      <c r="DU90" s="172">
        <f t="shared" si="234"/>
        <v>-7438417.5099999998</v>
      </c>
      <c r="DV90" s="172">
        <f t="shared" si="234"/>
        <v>-1992735.03</v>
      </c>
      <c r="DW90" s="172">
        <f t="shared" si="234"/>
        <v>-5819713.4500000002</v>
      </c>
      <c r="DX90" s="172">
        <f t="shared" si="234"/>
        <v>18814796.649999999</v>
      </c>
      <c r="DY90" s="172">
        <f t="shared" si="234"/>
        <v>-1322830.7</v>
      </c>
      <c r="DZ90" s="172">
        <f t="shared" si="234"/>
        <v>-1578782.04</v>
      </c>
      <c r="EA90" s="172">
        <f t="shared" si="234"/>
        <v>-4055739.17</v>
      </c>
      <c r="EB90" s="172">
        <f t="shared" si="234"/>
        <v>-14083326.83</v>
      </c>
      <c r="EC90" s="172">
        <f t="shared" si="234"/>
        <v>-7053860.8200000003</v>
      </c>
      <c r="ED90" s="172">
        <f t="shared" si="234"/>
        <v>-1367511.25</v>
      </c>
      <c r="EE90" s="172">
        <f t="shared" ref="EE90:GP90" si="235">ROUND(SUM(EE82:EE89),2)</f>
        <v>4391095.08</v>
      </c>
      <c r="EF90" s="172">
        <f t="shared" si="235"/>
        <v>-1618089.19</v>
      </c>
      <c r="EG90" s="172">
        <f t="shared" si="235"/>
        <v>154249.81</v>
      </c>
      <c r="EH90" s="172">
        <f t="shared" si="235"/>
        <v>-5698696.1500000004</v>
      </c>
      <c r="EI90" s="172">
        <f t="shared" si="235"/>
        <v>-4679752.3600000003</v>
      </c>
      <c r="EJ90" s="172">
        <f t="shared" si="235"/>
        <v>38892080.380000003</v>
      </c>
      <c r="EK90" s="172">
        <f t="shared" si="235"/>
        <v>4471217.79</v>
      </c>
      <c r="EL90" s="172">
        <f t="shared" si="235"/>
        <v>2304495.4</v>
      </c>
      <c r="EM90" s="172">
        <f t="shared" si="235"/>
        <v>1662778.7</v>
      </c>
      <c r="EN90" s="172">
        <f t="shared" si="235"/>
        <v>3968783.98</v>
      </c>
      <c r="EO90" s="172">
        <f t="shared" si="235"/>
        <v>-94522.83</v>
      </c>
      <c r="EP90" s="172">
        <f t="shared" si="235"/>
        <v>-2496159.2999999998</v>
      </c>
      <c r="EQ90" s="172">
        <f t="shared" si="235"/>
        <v>-451769.73</v>
      </c>
      <c r="ER90" s="172">
        <f t="shared" si="235"/>
        <v>-3699651.54</v>
      </c>
      <c r="ES90" s="172">
        <f t="shared" si="235"/>
        <v>-1768570.2</v>
      </c>
      <c r="ET90" s="172">
        <f t="shared" si="235"/>
        <v>-6903153.5099999998</v>
      </c>
      <c r="EU90" s="172">
        <f t="shared" si="235"/>
        <v>-3660545.69</v>
      </c>
      <c r="EV90" s="172">
        <f t="shared" si="235"/>
        <v>13941551.279999999</v>
      </c>
      <c r="EW90" s="172">
        <f t="shared" si="235"/>
        <v>4748247.83</v>
      </c>
      <c r="EX90" s="172">
        <f t="shared" si="235"/>
        <v>3247313.88</v>
      </c>
      <c r="EY90" s="172">
        <f t="shared" si="235"/>
        <v>8901216.1899999995</v>
      </c>
      <c r="EZ90" s="172">
        <f t="shared" si="235"/>
        <v>3737468.6</v>
      </c>
      <c r="FA90" s="172">
        <f t="shared" si="235"/>
        <v>1341769.67</v>
      </c>
      <c r="FB90" s="172">
        <f t="shared" si="235"/>
        <v>-195343.45</v>
      </c>
      <c r="FC90" s="172">
        <f t="shared" si="235"/>
        <v>2773281.6</v>
      </c>
      <c r="FD90" s="172">
        <f t="shared" si="235"/>
        <v>1202288.78</v>
      </c>
      <c r="FE90" s="172">
        <f t="shared" si="235"/>
        <v>-1388829.17</v>
      </c>
      <c r="FF90" s="172">
        <f t="shared" si="235"/>
        <v>231855.97</v>
      </c>
      <c r="FG90" s="172">
        <f t="shared" si="235"/>
        <v>-335148.12</v>
      </c>
      <c r="FH90" s="172">
        <f t="shared" si="235"/>
        <v>-29411587.390000001</v>
      </c>
      <c r="FI90" s="172">
        <f t="shared" si="235"/>
        <v>-702854.26</v>
      </c>
      <c r="FJ90" s="172">
        <f t="shared" si="235"/>
        <v>-3250360.94</v>
      </c>
      <c r="FK90" s="172">
        <f t="shared" si="235"/>
        <v>-4124126.6</v>
      </c>
      <c r="FL90" s="172">
        <f t="shared" si="235"/>
        <v>-6383507.5099999998</v>
      </c>
      <c r="FM90" s="172">
        <f t="shared" si="235"/>
        <v>-8944259.2699999996</v>
      </c>
      <c r="FN90" s="172">
        <f t="shared" si="235"/>
        <v>-4669504.38</v>
      </c>
      <c r="FO90" s="172">
        <f t="shared" si="235"/>
        <v>-1698484.86</v>
      </c>
      <c r="FP90" s="172">
        <f t="shared" si="235"/>
        <v>-1751446.18</v>
      </c>
      <c r="FQ90" s="172">
        <f t="shared" si="235"/>
        <v>-3699011.46</v>
      </c>
      <c r="FR90" s="172">
        <f t="shared" si="235"/>
        <v>-3297807.14</v>
      </c>
      <c r="FS90" s="172">
        <f t="shared" si="235"/>
        <v>-4210339.05</v>
      </c>
      <c r="FT90" s="172">
        <f t="shared" si="235"/>
        <v>48408408.759999998</v>
      </c>
      <c r="FU90" s="172">
        <f t="shared" si="235"/>
        <v>-1715624.75</v>
      </c>
      <c r="FV90" s="172">
        <f t="shared" si="235"/>
        <v>94068.6</v>
      </c>
      <c r="FW90" s="172">
        <f t="shared" si="235"/>
        <v>-293010.62</v>
      </c>
      <c r="FX90" s="172">
        <f t="shared" si="235"/>
        <v>-4303338.57</v>
      </c>
      <c r="FY90" s="172">
        <f t="shared" si="235"/>
        <v>-4958908.41</v>
      </c>
      <c r="FZ90" s="172">
        <f t="shared" si="235"/>
        <v>-4757633.9000000004</v>
      </c>
      <c r="GA90" s="172">
        <f t="shared" si="235"/>
        <v>-3670570.75</v>
      </c>
      <c r="GB90" s="172">
        <f t="shared" si="235"/>
        <v>-4099135.16</v>
      </c>
      <c r="GC90" s="172">
        <f t="shared" si="235"/>
        <v>-3449309.95</v>
      </c>
      <c r="GD90" s="172">
        <f t="shared" si="235"/>
        <v>-3110389.06</v>
      </c>
      <c r="GE90" s="172">
        <f t="shared" si="235"/>
        <v>-3340133.56</v>
      </c>
      <c r="GF90" s="172">
        <f t="shared" si="235"/>
        <v>29385610.949999999</v>
      </c>
      <c r="GG90" s="172">
        <f t="shared" si="235"/>
        <v>7140367.9000000004</v>
      </c>
      <c r="GH90" s="172">
        <f t="shared" si="235"/>
        <v>5871993.1100000003</v>
      </c>
      <c r="GI90" s="172">
        <f t="shared" si="235"/>
        <v>-1424889.48</v>
      </c>
      <c r="GJ90" s="172">
        <f t="shared" si="235"/>
        <v>-3881813.57</v>
      </c>
      <c r="GK90" s="172">
        <f t="shared" si="235"/>
        <v>-3916793.23</v>
      </c>
      <c r="GL90" s="172">
        <f t="shared" si="235"/>
        <v>-3408758.64</v>
      </c>
      <c r="GM90" s="172">
        <f t="shared" si="235"/>
        <v>-2494000.9300000002</v>
      </c>
      <c r="GN90" s="172">
        <f t="shared" si="235"/>
        <v>-4130128.38</v>
      </c>
      <c r="GO90" s="172">
        <f t="shared" si="235"/>
        <v>-5125126.83</v>
      </c>
      <c r="GP90" s="172">
        <f t="shared" si="235"/>
        <v>-4226683.9800000004</v>
      </c>
      <c r="GQ90" s="172">
        <f t="shared" ref="GQ90:JN90" si="236">ROUND(SUM(GQ82:GQ89),2)</f>
        <v>-6400664.3200000003</v>
      </c>
      <c r="GR90" s="172">
        <f t="shared" si="236"/>
        <v>13434414.310000001</v>
      </c>
      <c r="GS90" s="172">
        <f t="shared" si="236"/>
        <v>2193160.44</v>
      </c>
      <c r="GT90" s="172">
        <f t="shared" si="236"/>
        <v>-2746725.48</v>
      </c>
      <c r="GU90" s="172">
        <f t="shared" si="236"/>
        <v>-889947.51</v>
      </c>
      <c r="GV90" s="172">
        <f t="shared" si="236"/>
        <v>-5447314.1799999997</v>
      </c>
      <c r="GW90" s="172">
        <f t="shared" si="236"/>
        <v>-6533565.1900000004</v>
      </c>
      <c r="GX90" s="172">
        <f t="shared" si="236"/>
        <v>-4824113.3899999997</v>
      </c>
      <c r="GY90" s="172">
        <f t="shared" si="236"/>
        <v>-5358036.5</v>
      </c>
      <c r="GZ90" s="172">
        <f t="shared" si="236"/>
        <v>-5936118.7400000002</v>
      </c>
      <c r="HA90" s="172">
        <f t="shared" si="236"/>
        <v>-6303017.54</v>
      </c>
      <c r="HB90" s="172">
        <f t="shared" si="236"/>
        <v>-4042948.18</v>
      </c>
      <c r="HC90" s="172">
        <f t="shared" si="236"/>
        <v>-2830733.35</v>
      </c>
      <c r="HD90" s="172">
        <f t="shared" si="236"/>
        <v>75507010.599999994</v>
      </c>
      <c r="HE90" s="172">
        <f t="shared" si="236"/>
        <v>20281530.920000002</v>
      </c>
      <c r="HF90" s="172">
        <f t="shared" si="236"/>
        <v>8607805.9700000007</v>
      </c>
      <c r="HG90" s="172">
        <f t="shared" si="236"/>
        <v>57136388.979999997</v>
      </c>
      <c r="HH90" s="172">
        <f t="shared" si="236"/>
        <v>56507726.700000003</v>
      </c>
      <c r="HI90" s="172">
        <f t="shared" si="236"/>
        <v>-6690336.4000000004</v>
      </c>
      <c r="HJ90" s="172">
        <f t="shared" si="236"/>
        <v>-52331023.299999997</v>
      </c>
      <c r="HK90" s="172">
        <f t="shared" si="236"/>
        <v>-633614.35</v>
      </c>
      <c r="HL90" s="172">
        <f t="shared" si="236"/>
        <v>-2655959.14</v>
      </c>
      <c r="HM90" s="172">
        <f t="shared" si="236"/>
        <v>-2571982.86</v>
      </c>
      <c r="HN90" s="172">
        <f t="shared" si="236"/>
        <v>-3614593.37</v>
      </c>
      <c r="HO90" s="172">
        <f t="shared" si="236"/>
        <v>-1151072.8700000001</v>
      </c>
      <c r="HP90" s="172">
        <f t="shared" si="236"/>
        <v>-93794544.879999995</v>
      </c>
      <c r="HQ90" s="172">
        <f t="shared" si="236"/>
        <v>3263390.08</v>
      </c>
      <c r="HR90" s="172">
        <f t="shared" si="236"/>
        <v>4676121.5199999996</v>
      </c>
      <c r="HS90" s="172">
        <f t="shared" si="236"/>
        <v>3854682.5</v>
      </c>
      <c r="HT90" s="172">
        <f t="shared" si="236"/>
        <v>3264827.05</v>
      </c>
      <c r="HU90" s="172">
        <f t="shared" si="236"/>
        <v>-1953952.04</v>
      </c>
      <c r="HV90" s="172">
        <f t="shared" si="236"/>
        <v>-921611.17</v>
      </c>
      <c r="HW90" s="172">
        <f t="shared" si="236"/>
        <v>-1649670.28</v>
      </c>
      <c r="HX90" s="172">
        <f t="shared" si="236"/>
        <v>-551701.27</v>
      </c>
      <c r="HY90" s="172">
        <f t="shared" si="236"/>
        <v>-443897.16</v>
      </c>
      <c r="HZ90" s="172">
        <f t="shared" si="236"/>
        <v>-1365018.15</v>
      </c>
      <c r="IA90" s="172">
        <f t="shared" si="236"/>
        <v>629865.84</v>
      </c>
      <c r="IB90" s="172">
        <f t="shared" si="236"/>
        <v>-11238482.449999999</v>
      </c>
      <c r="IC90" s="172">
        <f t="shared" si="236"/>
        <v>2103003.0499999998</v>
      </c>
      <c r="ID90" s="172">
        <f t="shared" si="236"/>
        <v>3122703.02</v>
      </c>
      <c r="IE90" s="172">
        <f t="shared" si="236"/>
        <v>-9251082.0399999991</v>
      </c>
      <c r="IF90" s="172">
        <f t="shared" si="236"/>
        <v>2270124.1800000002</v>
      </c>
      <c r="IG90" s="172">
        <f t="shared" si="236"/>
        <v>-50887.5</v>
      </c>
      <c r="IH90" s="172">
        <f t="shared" si="236"/>
        <v>1239250.06</v>
      </c>
      <c r="II90" s="172">
        <f t="shared" si="236"/>
        <v>-1853757.32</v>
      </c>
      <c r="IJ90" s="172">
        <f t="shared" si="236"/>
        <v>-1693674.41</v>
      </c>
      <c r="IK90" s="172">
        <f t="shared" si="236"/>
        <v>-3891998.93</v>
      </c>
      <c r="IL90" s="172">
        <f t="shared" si="236"/>
        <v>-3846413.48</v>
      </c>
      <c r="IM90" s="172">
        <f t="shared" si="236"/>
        <v>5083461.07</v>
      </c>
      <c r="IN90" s="172">
        <f t="shared" si="236"/>
        <v>2767268.72</v>
      </c>
      <c r="IO90" s="172">
        <f t="shared" si="236"/>
        <v>13990077.67</v>
      </c>
      <c r="IP90" s="172">
        <f t="shared" si="236"/>
        <v>3744245.13</v>
      </c>
      <c r="IQ90" s="172">
        <f t="shared" si="236"/>
        <v>2739154.46</v>
      </c>
      <c r="IR90" s="172">
        <f t="shared" si="236"/>
        <v>5444909.29</v>
      </c>
      <c r="IS90" s="172">
        <f t="shared" si="236"/>
        <v>2795388.75</v>
      </c>
      <c r="IT90" s="172">
        <f t="shared" si="236"/>
        <v>9253446.4299999997</v>
      </c>
      <c r="IU90" s="172">
        <f t="shared" si="236"/>
        <v>-2584537.77</v>
      </c>
      <c r="IV90" s="172">
        <f t="shared" si="236"/>
        <v>-7121163.4800000004</v>
      </c>
      <c r="IW90" s="172">
        <f t="shared" si="236"/>
        <v>-9815272.9800000004</v>
      </c>
      <c r="IX90" s="172">
        <f t="shared" si="236"/>
        <v>-7835483.46</v>
      </c>
      <c r="IY90" s="172">
        <f t="shared" ref="IY90:JJ90" si="237">ROUND(SUM(IY82:IY89),2)</f>
        <v>-2989649.19</v>
      </c>
      <c r="IZ90" s="172">
        <f t="shared" si="237"/>
        <v>-4998445.05</v>
      </c>
      <c r="JA90" s="172">
        <f t="shared" si="237"/>
        <v>-8797315.9199999999</v>
      </c>
      <c r="JB90" s="172">
        <f t="shared" si="237"/>
        <v>-27166630.329999998</v>
      </c>
      <c r="JC90" s="172">
        <f t="shared" si="237"/>
        <v>-14234688.130000001</v>
      </c>
      <c r="JD90" s="172">
        <f t="shared" si="237"/>
        <v>-18039514.02</v>
      </c>
      <c r="JE90" s="172">
        <f t="shared" si="237"/>
        <v>-19410124.609999999</v>
      </c>
      <c r="JF90" s="172">
        <f t="shared" si="237"/>
        <v>-7636106.5999999996</v>
      </c>
      <c r="JG90" s="172">
        <f t="shared" si="237"/>
        <v>-6216683.8600000003</v>
      </c>
      <c r="JH90" s="172">
        <f t="shared" si="237"/>
        <v>-10681929.77</v>
      </c>
      <c r="JI90" s="172">
        <f t="shared" si="237"/>
        <v>-9575509.1400000006</v>
      </c>
      <c r="JJ90" s="172">
        <f t="shared" si="237"/>
        <v>-6678876.7800000003</v>
      </c>
      <c r="JK90" s="172">
        <f t="shared" si="236"/>
        <v>-11522199.6</v>
      </c>
      <c r="JL90" s="172">
        <f t="shared" si="236"/>
        <v>135962639.88999999</v>
      </c>
      <c r="JM90" s="172">
        <f t="shared" si="236"/>
        <v>5743987.9900000002</v>
      </c>
      <c r="JN90" s="172">
        <f t="shared" si="236"/>
        <v>414703.47</v>
      </c>
      <c r="JO90" s="172">
        <f t="shared" ref="JO90:JU90" si="238">ROUND(SUM(JO82:JO89),2)</f>
        <v>-791668.99</v>
      </c>
      <c r="JP90" s="172">
        <f t="shared" si="238"/>
        <v>-8604347.9399999995</v>
      </c>
      <c r="JQ90" s="172">
        <f t="shared" si="238"/>
        <v>-15229944.66</v>
      </c>
      <c r="JR90" s="172">
        <f t="shared" si="238"/>
        <v>-9303545.8100000005</v>
      </c>
      <c r="JS90" s="172">
        <f t="shared" si="238"/>
        <v>-3740979.82</v>
      </c>
      <c r="JT90" s="172">
        <f t="shared" si="238"/>
        <v>-3724515.6</v>
      </c>
      <c r="JU90" s="172">
        <f t="shared" si="238"/>
        <v>-2839803.51</v>
      </c>
      <c r="JV90" s="632"/>
      <c r="JW90" s="414"/>
      <c r="JX90" s="414"/>
      <c r="JY90" s="414"/>
      <c r="JZ90" s="414"/>
      <c r="KA90" s="414"/>
      <c r="KB90" s="414"/>
      <c r="KC90" s="414"/>
      <c r="KD90" s="414"/>
      <c r="KE90" s="414"/>
      <c r="KF90" s="414"/>
      <c r="KG90" s="414"/>
      <c r="KH90" s="414"/>
      <c r="KI90" s="633"/>
    </row>
    <row r="91" spans="1:295" x14ac:dyDescent="0.2">
      <c r="B91" s="24" t="s">
        <v>109</v>
      </c>
      <c r="D91" s="50">
        <f t="shared" ref="D91:BO91" si="239">+D81+D90</f>
        <v>56519466.859999999</v>
      </c>
      <c r="E91" s="50">
        <f t="shared" si="239"/>
        <v>-6499999.9999999925</v>
      </c>
      <c r="F91" s="50">
        <f t="shared" si="239"/>
        <v>-13239176.513999991</v>
      </c>
      <c r="G91" s="50">
        <f t="shared" si="239"/>
        <v>-22246184.579489488</v>
      </c>
      <c r="H91" s="50">
        <f t="shared" si="239"/>
        <v>-32353440.991018318</v>
      </c>
      <c r="I91" s="50">
        <f t="shared" si="239"/>
        <v>-37014395.659003355</v>
      </c>
      <c r="J91" s="50">
        <f t="shared" si="239"/>
        <v>-43103115.571484476</v>
      </c>
      <c r="K91" s="50">
        <f t="shared" si="239"/>
        <v>-51308767.005787522</v>
      </c>
      <c r="L91" s="50">
        <f t="shared" si="239"/>
        <v>-58505535.07710582</v>
      </c>
      <c r="M91" s="50">
        <f t="shared" si="239"/>
        <v>-64827307.784124039</v>
      </c>
      <c r="N91" s="50">
        <f t="shared" si="239"/>
        <v>-72423976.924125835</v>
      </c>
      <c r="O91" s="50">
        <f t="shared" si="239"/>
        <v>-76915521.694975376</v>
      </c>
      <c r="P91" s="50">
        <f t="shared" si="239"/>
        <v>-83804423.623646989</v>
      </c>
      <c r="Q91" s="50">
        <f t="shared" si="239"/>
        <v>-92032768.500969052</v>
      </c>
      <c r="R91" s="50">
        <f t="shared" si="239"/>
        <v>-98965733.806584001</v>
      </c>
      <c r="S91" s="50">
        <f t="shared" si="239"/>
        <v>-102965739.2994041</v>
      </c>
      <c r="T91" s="50">
        <f t="shared" si="239"/>
        <v>-99764774.12586987</v>
      </c>
      <c r="U91" s="50">
        <f t="shared" si="239"/>
        <v>-95806151.91290158</v>
      </c>
      <c r="V91" s="50">
        <f t="shared" si="239"/>
        <v>7646662.0947606564</v>
      </c>
      <c r="W91" s="50">
        <f t="shared" si="239"/>
        <v>12821179.131793961</v>
      </c>
      <c r="X91" s="50">
        <f t="shared" si="239"/>
        <v>38171045.684254512</v>
      </c>
      <c r="Y91" s="50">
        <f t="shared" si="239"/>
        <v>2317210.9144902006</v>
      </c>
      <c r="Z91" s="50">
        <f t="shared" si="239"/>
        <v>2850794.181247279</v>
      </c>
      <c r="AA91" s="50">
        <f t="shared" si="239"/>
        <v>2967761.6297787917</v>
      </c>
      <c r="AB91" s="50">
        <f t="shared" si="239"/>
        <v>675199.85977879167</v>
      </c>
      <c r="AC91" s="50">
        <f t="shared" si="239"/>
        <v>-6957148.4802212082</v>
      </c>
      <c r="AD91" s="50">
        <f t="shared" si="239"/>
        <v>-7524234.4402212081</v>
      </c>
      <c r="AE91" s="50">
        <f t="shared" si="239"/>
        <v>-11000918.650221208</v>
      </c>
      <c r="AF91" s="50">
        <f t="shared" si="239"/>
        <v>-10455352.130221209</v>
      </c>
      <c r="AG91" s="50">
        <f t="shared" si="239"/>
        <v>-9729307.6702212095</v>
      </c>
      <c r="AH91" s="50">
        <f t="shared" si="239"/>
        <v>-2572899.3102212092</v>
      </c>
      <c r="AI91" s="50">
        <f t="shared" si="239"/>
        <v>3961806.2097787904</v>
      </c>
      <c r="AJ91" s="50">
        <f t="shared" si="239"/>
        <v>7404319.6697787903</v>
      </c>
      <c r="AK91" s="50">
        <f t="shared" si="239"/>
        <v>7171842.9197787903</v>
      </c>
      <c r="AL91" s="50">
        <f t="shared" si="239"/>
        <v>7537093.7197787901</v>
      </c>
      <c r="AM91" s="50">
        <f t="shared" si="239"/>
        <v>6946445.80977879</v>
      </c>
      <c r="AN91" s="50">
        <f t="shared" si="239"/>
        <v>3451965.3997787898</v>
      </c>
      <c r="AO91" s="50">
        <f t="shared" si="239"/>
        <v>1763377.5897787898</v>
      </c>
      <c r="AP91" s="50">
        <f t="shared" si="239"/>
        <v>251101.92977878987</v>
      </c>
      <c r="AQ91" s="50">
        <f t="shared" si="239"/>
        <v>-10988772.520221209</v>
      </c>
      <c r="AR91" s="50">
        <f t="shared" si="239"/>
        <v>-2659079.8002212094</v>
      </c>
      <c r="AS91" s="50">
        <f t="shared" si="239"/>
        <v>2211914.2097787904</v>
      </c>
      <c r="AT91" s="50">
        <f t="shared" si="239"/>
        <v>4039081.0197787904</v>
      </c>
      <c r="AU91" s="50">
        <f t="shared" si="239"/>
        <v>12620437.09977879</v>
      </c>
      <c r="AV91" s="50">
        <f t="shared" si="239"/>
        <v>15039904.899778791</v>
      </c>
      <c r="AW91" s="50">
        <f t="shared" si="239"/>
        <v>19064579.709778789</v>
      </c>
      <c r="AX91" s="50">
        <f t="shared" si="239"/>
        <v>22135780.43977879</v>
      </c>
      <c r="AY91" s="50">
        <f t="shared" si="239"/>
        <v>24483780.749778789</v>
      </c>
      <c r="AZ91" s="127">
        <f t="shared" si="239"/>
        <v>24512025.409778789</v>
      </c>
      <c r="BA91" s="127">
        <f t="shared" si="239"/>
        <v>14029548.209778789</v>
      </c>
      <c r="BB91" s="127">
        <f t="shared" si="239"/>
        <v>17985583.399778791</v>
      </c>
      <c r="BC91" s="127">
        <f t="shared" si="239"/>
        <v>2634357.8797787912</v>
      </c>
      <c r="BD91" s="127">
        <f t="shared" si="239"/>
        <v>20702413.699778792</v>
      </c>
      <c r="BE91" s="127">
        <f t="shared" si="239"/>
        <v>39336819.549778789</v>
      </c>
      <c r="BF91" s="127">
        <f t="shared" si="239"/>
        <v>54292370.819778793</v>
      </c>
      <c r="BG91" s="127">
        <f t="shared" si="239"/>
        <v>60603682.449778795</v>
      </c>
      <c r="BH91" s="127">
        <f t="shared" si="239"/>
        <v>62452104.339778796</v>
      </c>
      <c r="BI91" s="127">
        <f t="shared" si="239"/>
        <v>56068093.029778793</v>
      </c>
      <c r="BJ91" s="127">
        <f t="shared" si="239"/>
        <v>59361906.589778796</v>
      </c>
      <c r="BK91" s="127">
        <f t="shared" si="239"/>
        <v>58114566.589778796</v>
      </c>
      <c r="BL91" s="127">
        <f t="shared" si="239"/>
        <v>58296078.399778798</v>
      </c>
      <c r="BM91" s="127">
        <f t="shared" si="239"/>
        <v>57400150.789778799</v>
      </c>
      <c r="BN91" s="127">
        <f t="shared" si="239"/>
        <v>56396131.119778797</v>
      </c>
      <c r="BO91" s="127">
        <f t="shared" si="239"/>
        <v>-16175004.170221195</v>
      </c>
      <c r="BP91" s="127">
        <f>+BP81+BP90</f>
        <v>-19582386.780221194</v>
      </c>
      <c r="BQ91" s="127">
        <f>+BQ81+BQ90</f>
        <v>-22702056.750221193</v>
      </c>
      <c r="BR91" s="127">
        <f>ROUND(+BR81+BR90,2)</f>
        <v>-32978431.140000001</v>
      </c>
      <c r="BS91" s="127">
        <f t="shared" ref="BS91:ED91" si="240">ROUND(+BS81+BS90,2)</f>
        <v>-39716853.670000002</v>
      </c>
      <c r="BT91" s="127">
        <f t="shared" si="240"/>
        <v>-44766870.850000001</v>
      </c>
      <c r="BU91" s="127">
        <f t="shared" si="240"/>
        <v>-58184705.93</v>
      </c>
      <c r="BV91" s="127">
        <f t="shared" si="240"/>
        <v>-70560158.109999999</v>
      </c>
      <c r="BW91" s="127">
        <f t="shared" si="240"/>
        <v>-82737607.840000004</v>
      </c>
      <c r="BX91" s="127">
        <f t="shared" si="240"/>
        <v>-91402725.099999994</v>
      </c>
      <c r="BY91" s="127">
        <f t="shared" si="240"/>
        <v>-99421926.480000004</v>
      </c>
      <c r="BZ91" s="127">
        <f t="shared" si="240"/>
        <v>-114876467.67</v>
      </c>
      <c r="CA91" s="127">
        <f t="shared" si="240"/>
        <v>-33791566.600000001</v>
      </c>
      <c r="CB91" s="127">
        <f t="shared" si="240"/>
        <v>-41968797.520000003</v>
      </c>
      <c r="CC91" s="127">
        <f t="shared" si="240"/>
        <v>-44269817.990000002</v>
      </c>
      <c r="CD91" s="127">
        <f t="shared" si="240"/>
        <v>-48292712.149999999</v>
      </c>
      <c r="CE91" s="127">
        <f t="shared" si="240"/>
        <v>-49252841.210000001</v>
      </c>
      <c r="CF91" s="127">
        <f t="shared" si="240"/>
        <v>-45121428.049999997</v>
      </c>
      <c r="CG91" s="127">
        <f t="shared" si="240"/>
        <v>-35107457.530000001</v>
      </c>
      <c r="CH91" s="127">
        <f t="shared" si="240"/>
        <v>-28385365.940000001</v>
      </c>
      <c r="CI91" s="157">
        <f t="shared" si="240"/>
        <v>-23125968.949999999</v>
      </c>
      <c r="CJ91" s="127">
        <f t="shared" si="240"/>
        <v>-20937029.870000001</v>
      </c>
      <c r="CK91" s="127">
        <f t="shared" si="240"/>
        <v>-30962729.75</v>
      </c>
      <c r="CL91" s="127">
        <f t="shared" si="240"/>
        <v>-37046441.259999998</v>
      </c>
      <c r="CM91" s="127">
        <f t="shared" si="240"/>
        <v>-25802949.559999999</v>
      </c>
      <c r="CN91" s="127">
        <f t="shared" si="240"/>
        <v>-17883578.199999999</v>
      </c>
      <c r="CO91" s="127">
        <f t="shared" si="240"/>
        <v>-5075464.66</v>
      </c>
      <c r="CP91" s="127">
        <f t="shared" si="240"/>
        <v>-3503926.01</v>
      </c>
      <c r="CQ91" s="127">
        <f t="shared" si="240"/>
        <v>-15787748.949999999</v>
      </c>
      <c r="CR91" s="127">
        <f t="shared" si="240"/>
        <v>-20784448.41</v>
      </c>
      <c r="CS91" s="127">
        <f t="shared" si="240"/>
        <v>-36829632.399999999</v>
      </c>
      <c r="CT91" s="127">
        <f t="shared" si="240"/>
        <v>-54265222.630000003</v>
      </c>
      <c r="CU91" s="127">
        <f t="shared" si="240"/>
        <v>-44238808.340000004</v>
      </c>
      <c r="CV91" s="127">
        <f t="shared" si="240"/>
        <v>-50229578.229999997</v>
      </c>
      <c r="CW91" s="127">
        <f t="shared" si="240"/>
        <v>-62527416.759999998</v>
      </c>
      <c r="CX91" s="127">
        <f t="shared" si="240"/>
        <v>-71862715.75</v>
      </c>
      <c r="CY91" s="127">
        <f t="shared" si="240"/>
        <v>-13696864.16</v>
      </c>
      <c r="CZ91" s="127">
        <f t="shared" si="240"/>
        <v>-8783528.5099999998</v>
      </c>
      <c r="DA91" s="127">
        <f t="shared" si="240"/>
        <v>-9994.9500000000007</v>
      </c>
      <c r="DB91" s="127">
        <f t="shared" si="240"/>
        <v>5275432.16</v>
      </c>
      <c r="DC91" s="127">
        <f t="shared" si="240"/>
        <v>12169022.6</v>
      </c>
      <c r="DD91" s="127">
        <f t="shared" si="240"/>
        <v>16036482.449999999</v>
      </c>
      <c r="DE91" s="127">
        <f t="shared" si="240"/>
        <v>5089455.34</v>
      </c>
      <c r="DF91" s="127">
        <f t="shared" si="240"/>
        <v>-4362980.49</v>
      </c>
      <c r="DG91" s="127">
        <f t="shared" si="240"/>
        <v>-7102073.8099999996</v>
      </c>
      <c r="DH91" s="127">
        <f t="shared" si="240"/>
        <v>-10464431.75</v>
      </c>
      <c r="DI91" s="127">
        <f t="shared" si="240"/>
        <v>-15832088.73</v>
      </c>
      <c r="DJ91" s="127">
        <f t="shared" si="240"/>
        <v>-18940995.780000001</v>
      </c>
      <c r="DK91" s="127">
        <f t="shared" si="240"/>
        <v>-26419093.940000001</v>
      </c>
      <c r="DL91" s="139">
        <f t="shared" si="240"/>
        <v>6222483.6900000004</v>
      </c>
      <c r="DM91" s="139">
        <f t="shared" si="240"/>
        <v>13163498.9</v>
      </c>
      <c r="DN91" s="139">
        <f t="shared" si="240"/>
        <v>18802543.859999999</v>
      </c>
      <c r="DO91" s="139">
        <f t="shared" si="240"/>
        <v>14554488.470000001</v>
      </c>
      <c r="DP91" s="139">
        <f t="shared" si="240"/>
        <v>11038231.789999999</v>
      </c>
      <c r="DQ91" s="139">
        <f t="shared" si="240"/>
        <v>1237013.44</v>
      </c>
      <c r="DR91" s="139">
        <f t="shared" si="240"/>
        <v>-2666544.4900000002</v>
      </c>
      <c r="DS91" s="139">
        <f t="shared" si="240"/>
        <v>-5938159.7199999997</v>
      </c>
      <c r="DT91" s="139">
        <f t="shared" si="240"/>
        <v>-7894054.9100000001</v>
      </c>
      <c r="DU91" s="139">
        <f t="shared" si="240"/>
        <v>-15332472.42</v>
      </c>
      <c r="DV91" s="139">
        <f t="shared" si="240"/>
        <v>-17325207.449999999</v>
      </c>
      <c r="DW91" s="139">
        <f t="shared" si="240"/>
        <v>-23144920.899999999</v>
      </c>
      <c r="DX91" s="139">
        <f t="shared" si="240"/>
        <v>-4330124.25</v>
      </c>
      <c r="DY91" s="139">
        <f t="shared" si="240"/>
        <v>-5652954.9500000002</v>
      </c>
      <c r="DZ91" s="139">
        <f t="shared" si="240"/>
        <v>-7231736.9900000002</v>
      </c>
      <c r="EA91" s="139">
        <f t="shared" si="240"/>
        <v>-11287476.16</v>
      </c>
      <c r="EB91" s="139">
        <f t="shared" si="240"/>
        <v>-25370802.989999998</v>
      </c>
      <c r="EC91" s="139">
        <f t="shared" si="240"/>
        <v>-32424663.809999999</v>
      </c>
      <c r="ED91" s="139">
        <f t="shared" si="240"/>
        <v>-33792175.060000002</v>
      </c>
      <c r="EE91" s="139">
        <f t="shared" ref="EE91:GP91" si="241">ROUND(+EE81+EE90,2)</f>
        <v>-29401079.98</v>
      </c>
      <c r="EF91" s="139">
        <f t="shared" si="241"/>
        <v>-31019169.170000002</v>
      </c>
      <c r="EG91" s="139">
        <f t="shared" si="241"/>
        <v>-30864919.359999999</v>
      </c>
      <c r="EH91" s="139">
        <f t="shared" si="241"/>
        <v>-36563615.509999998</v>
      </c>
      <c r="EI91" s="139">
        <f t="shared" si="241"/>
        <v>-41243367.869999997</v>
      </c>
      <c r="EJ91" s="139">
        <f t="shared" si="241"/>
        <v>-2351287.4900000002</v>
      </c>
      <c r="EK91" s="139">
        <f t="shared" si="241"/>
        <v>2119930.2999999998</v>
      </c>
      <c r="EL91" s="139">
        <f t="shared" si="241"/>
        <v>4424425.7</v>
      </c>
      <c r="EM91" s="139">
        <f t="shared" si="241"/>
        <v>6087204.4000000004</v>
      </c>
      <c r="EN91" s="139">
        <f t="shared" si="241"/>
        <v>10055988.380000001</v>
      </c>
      <c r="EO91" s="139">
        <f t="shared" si="241"/>
        <v>9961465.5500000007</v>
      </c>
      <c r="EP91" s="139">
        <f t="shared" si="241"/>
        <v>7465306.25</v>
      </c>
      <c r="EQ91" s="139">
        <f t="shared" si="241"/>
        <v>7013536.5199999996</v>
      </c>
      <c r="ER91" s="139">
        <f t="shared" si="241"/>
        <v>3313884.98</v>
      </c>
      <c r="ES91" s="139">
        <f t="shared" si="241"/>
        <v>1545314.78</v>
      </c>
      <c r="ET91" s="139">
        <f t="shared" si="241"/>
        <v>-5357838.7300000004</v>
      </c>
      <c r="EU91" s="139">
        <f t="shared" si="241"/>
        <v>-9018384.4199999999</v>
      </c>
      <c r="EV91" s="139">
        <f t="shared" si="241"/>
        <v>4923166.8600000003</v>
      </c>
      <c r="EW91" s="139">
        <f t="shared" si="241"/>
        <v>9671414.6899999995</v>
      </c>
      <c r="EX91" s="139">
        <f t="shared" si="241"/>
        <v>12918728.57</v>
      </c>
      <c r="EY91" s="139">
        <f t="shared" si="241"/>
        <v>21819944.760000002</v>
      </c>
      <c r="EZ91" s="139">
        <f t="shared" si="241"/>
        <v>25557413.359999999</v>
      </c>
      <c r="FA91" s="139">
        <f t="shared" si="241"/>
        <v>26899183.030000001</v>
      </c>
      <c r="FB91" s="139">
        <f t="shared" si="241"/>
        <v>26703839.579999998</v>
      </c>
      <c r="FC91" s="139">
        <f t="shared" si="241"/>
        <v>29477121.18</v>
      </c>
      <c r="FD91" s="139">
        <f t="shared" si="241"/>
        <v>30679409.960000001</v>
      </c>
      <c r="FE91" s="139">
        <f t="shared" si="241"/>
        <v>29290580.789999999</v>
      </c>
      <c r="FF91" s="139">
        <f t="shared" si="241"/>
        <v>29522436.760000002</v>
      </c>
      <c r="FG91" s="139">
        <f t="shared" si="241"/>
        <v>29187288.640000001</v>
      </c>
      <c r="FH91" s="139">
        <f t="shared" si="241"/>
        <v>-224298.75</v>
      </c>
      <c r="FI91" s="139">
        <f t="shared" si="241"/>
        <v>-927153.01</v>
      </c>
      <c r="FJ91" s="139">
        <f t="shared" si="241"/>
        <v>-4177513.95</v>
      </c>
      <c r="FK91" s="139">
        <f t="shared" si="241"/>
        <v>-8301640.5499999998</v>
      </c>
      <c r="FL91" s="139">
        <f t="shared" si="241"/>
        <v>-14685148.060000001</v>
      </c>
      <c r="FM91" s="139">
        <f t="shared" si="241"/>
        <v>-23629407.329999998</v>
      </c>
      <c r="FN91" s="139">
        <f t="shared" si="241"/>
        <v>-28298911.710000001</v>
      </c>
      <c r="FO91" s="139">
        <f t="shared" si="241"/>
        <v>-29997396.57</v>
      </c>
      <c r="FP91" s="139">
        <f t="shared" si="241"/>
        <v>-31748842.75</v>
      </c>
      <c r="FQ91" s="139">
        <f t="shared" si="241"/>
        <v>-35447854.210000001</v>
      </c>
      <c r="FR91" s="139">
        <f t="shared" si="241"/>
        <v>-38745661.350000001</v>
      </c>
      <c r="FS91" s="139">
        <f t="shared" si="241"/>
        <v>-42956000.399999999</v>
      </c>
      <c r="FT91" s="139">
        <f t="shared" si="241"/>
        <v>5452408.3600000003</v>
      </c>
      <c r="FU91" s="139">
        <f t="shared" si="241"/>
        <v>3736783.61</v>
      </c>
      <c r="FV91" s="139">
        <f t="shared" si="241"/>
        <v>3830852.21</v>
      </c>
      <c r="FW91" s="139">
        <f t="shared" si="241"/>
        <v>3537841.59</v>
      </c>
      <c r="FX91" s="139">
        <f t="shared" si="241"/>
        <v>-765496.98</v>
      </c>
      <c r="FY91" s="139">
        <f t="shared" si="241"/>
        <v>-5724405.3899999997</v>
      </c>
      <c r="FZ91" s="139">
        <f t="shared" si="241"/>
        <v>-10482039.289999999</v>
      </c>
      <c r="GA91" s="139">
        <f t="shared" si="241"/>
        <v>-14152610.039999999</v>
      </c>
      <c r="GB91" s="139">
        <f t="shared" si="241"/>
        <v>-18251745.199999999</v>
      </c>
      <c r="GC91" s="139">
        <f t="shared" si="241"/>
        <v>-21701055.149999999</v>
      </c>
      <c r="GD91" s="139">
        <f t="shared" si="241"/>
        <v>-24811444.210000001</v>
      </c>
      <c r="GE91" s="139">
        <f t="shared" si="241"/>
        <v>-28151577.77</v>
      </c>
      <c r="GF91" s="139">
        <f t="shared" si="241"/>
        <v>1234033.18</v>
      </c>
      <c r="GG91" s="139">
        <f t="shared" si="241"/>
        <v>8374401.0800000001</v>
      </c>
      <c r="GH91" s="139">
        <f t="shared" si="241"/>
        <v>14246394.189999999</v>
      </c>
      <c r="GI91" s="139">
        <f t="shared" si="241"/>
        <v>12821504.710000001</v>
      </c>
      <c r="GJ91" s="139">
        <f t="shared" si="241"/>
        <v>8939691.1400000006</v>
      </c>
      <c r="GK91" s="139">
        <f t="shared" si="241"/>
        <v>5022897.91</v>
      </c>
      <c r="GL91" s="139">
        <f t="shared" si="241"/>
        <v>1614139.27</v>
      </c>
      <c r="GM91" s="139">
        <f t="shared" si="241"/>
        <v>-879861.66</v>
      </c>
      <c r="GN91" s="139">
        <f t="shared" si="241"/>
        <v>-5009990.04</v>
      </c>
      <c r="GO91" s="139">
        <f t="shared" si="241"/>
        <v>-10135116.869999999</v>
      </c>
      <c r="GP91" s="139">
        <f t="shared" si="241"/>
        <v>-14361800.85</v>
      </c>
      <c r="GQ91" s="139">
        <f t="shared" ref="GQ91:JN91" si="242">ROUND(+GQ81+GQ90,2)</f>
        <v>-20762465.170000002</v>
      </c>
      <c r="GR91" s="139">
        <f t="shared" si="242"/>
        <v>-7328050.8600000003</v>
      </c>
      <c r="GS91" s="139">
        <f t="shared" si="242"/>
        <v>-5134890.42</v>
      </c>
      <c r="GT91" s="139">
        <f t="shared" si="242"/>
        <v>-7881615.9000000004</v>
      </c>
      <c r="GU91" s="139">
        <f t="shared" si="242"/>
        <v>-8771563.4100000001</v>
      </c>
      <c r="GV91" s="139">
        <f t="shared" si="242"/>
        <v>-14218877.59</v>
      </c>
      <c r="GW91" s="139">
        <f t="shared" si="242"/>
        <v>-20752442.780000001</v>
      </c>
      <c r="GX91" s="139">
        <f t="shared" si="242"/>
        <v>-25576556.170000002</v>
      </c>
      <c r="GY91" s="139">
        <f t="shared" si="242"/>
        <v>-30934592.670000002</v>
      </c>
      <c r="GZ91" s="139">
        <f t="shared" si="242"/>
        <v>-36870711.409999996</v>
      </c>
      <c r="HA91" s="139">
        <f t="shared" si="242"/>
        <v>-43173728.950000003</v>
      </c>
      <c r="HB91" s="139">
        <f t="shared" si="242"/>
        <v>-47216677.130000003</v>
      </c>
      <c r="HC91" s="139">
        <f t="shared" si="242"/>
        <v>-50047410.479999997</v>
      </c>
      <c r="HD91" s="139">
        <f t="shared" si="242"/>
        <v>25459600.120000001</v>
      </c>
      <c r="HE91" s="139">
        <f t="shared" si="242"/>
        <v>45741131.039999999</v>
      </c>
      <c r="HF91" s="139">
        <f t="shared" si="242"/>
        <v>54348937.009999998</v>
      </c>
      <c r="HG91" s="139">
        <f t="shared" si="242"/>
        <v>111485325.98999999</v>
      </c>
      <c r="HH91" s="139">
        <f t="shared" si="242"/>
        <v>167993052.69</v>
      </c>
      <c r="HI91" s="139">
        <f t="shared" si="242"/>
        <v>161302716.28999999</v>
      </c>
      <c r="HJ91" s="139">
        <f t="shared" si="242"/>
        <v>108971692.98999999</v>
      </c>
      <c r="HK91" s="139">
        <f t="shared" si="242"/>
        <v>108338078.64</v>
      </c>
      <c r="HL91" s="139">
        <f t="shared" si="242"/>
        <v>105682119.5</v>
      </c>
      <c r="HM91" s="139">
        <f t="shared" si="242"/>
        <v>103110136.64</v>
      </c>
      <c r="HN91" s="139">
        <f t="shared" si="242"/>
        <v>99495543.269999996</v>
      </c>
      <c r="HO91" s="139">
        <f t="shared" si="242"/>
        <v>98344470.400000006</v>
      </c>
      <c r="HP91" s="139">
        <f t="shared" si="242"/>
        <v>4549925.5199999996</v>
      </c>
      <c r="HQ91" s="139">
        <f t="shared" si="242"/>
        <v>7813315.5999999996</v>
      </c>
      <c r="HR91" s="139">
        <f t="shared" si="242"/>
        <v>12489437.119999999</v>
      </c>
      <c r="HS91" s="139">
        <f t="shared" si="242"/>
        <v>16344119.619999999</v>
      </c>
      <c r="HT91" s="139">
        <f t="shared" si="242"/>
        <v>19608946.670000002</v>
      </c>
      <c r="HU91" s="139">
        <f t="shared" si="242"/>
        <v>17654994.629999999</v>
      </c>
      <c r="HV91" s="139">
        <f t="shared" si="242"/>
        <v>16733383.460000001</v>
      </c>
      <c r="HW91" s="139">
        <f t="shared" si="242"/>
        <v>15083713.18</v>
      </c>
      <c r="HX91" s="139">
        <f t="shared" si="242"/>
        <v>14532011.91</v>
      </c>
      <c r="HY91" s="139">
        <f t="shared" si="242"/>
        <v>14088114.75</v>
      </c>
      <c r="HZ91" s="139">
        <f t="shared" si="242"/>
        <v>12723096.6</v>
      </c>
      <c r="IA91" s="139">
        <f t="shared" si="242"/>
        <v>13352962.439999999</v>
      </c>
      <c r="IB91" s="139">
        <f t="shared" si="242"/>
        <v>2114479.9900000002</v>
      </c>
      <c r="IC91" s="139">
        <f t="shared" si="242"/>
        <v>4217483.04</v>
      </c>
      <c r="ID91" s="139">
        <f t="shared" si="242"/>
        <v>7340186.0599999996</v>
      </c>
      <c r="IE91" s="139">
        <f t="shared" si="242"/>
        <v>-1910895.98</v>
      </c>
      <c r="IF91" s="139">
        <f t="shared" si="242"/>
        <v>359228.2</v>
      </c>
      <c r="IG91" s="139">
        <f t="shared" si="242"/>
        <v>308340.7</v>
      </c>
      <c r="IH91" s="139">
        <f t="shared" si="242"/>
        <v>1547590.76</v>
      </c>
      <c r="II91" s="139">
        <f t="shared" si="242"/>
        <v>-306166.56</v>
      </c>
      <c r="IJ91" s="139">
        <f t="shared" si="242"/>
        <v>-1999840.97</v>
      </c>
      <c r="IK91" s="139">
        <f t="shared" si="242"/>
        <v>-5891839.9000000004</v>
      </c>
      <c r="IL91" s="139">
        <f t="shared" si="242"/>
        <v>-9738253.3800000008</v>
      </c>
      <c r="IM91" s="139">
        <f t="shared" si="242"/>
        <v>-4654792.3099999996</v>
      </c>
      <c r="IN91" s="139">
        <f t="shared" si="242"/>
        <v>-1887523.59</v>
      </c>
      <c r="IO91" s="139">
        <f t="shared" si="242"/>
        <v>12102554.08</v>
      </c>
      <c r="IP91" s="139">
        <f t="shared" si="242"/>
        <v>15846799.210000001</v>
      </c>
      <c r="IQ91" s="139">
        <f t="shared" si="242"/>
        <v>18585953.670000002</v>
      </c>
      <c r="IR91" s="139">
        <f t="shared" si="242"/>
        <v>24030862.960000001</v>
      </c>
      <c r="IS91" s="139">
        <f t="shared" si="242"/>
        <v>26826251.710000001</v>
      </c>
      <c r="IT91" s="139">
        <f t="shared" si="242"/>
        <v>36079698.140000001</v>
      </c>
      <c r="IU91" s="139">
        <f t="shared" si="242"/>
        <v>33495160.370000001</v>
      </c>
      <c r="IV91" s="139">
        <f t="shared" si="242"/>
        <v>26373996.890000001</v>
      </c>
      <c r="IW91" s="139">
        <f t="shared" si="242"/>
        <v>16558723.91</v>
      </c>
      <c r="IX91" s="139">
        <f t="shared" si="242"/>
        <v>8723240.4499999993</v>
      </c>
      <c r="IY91" s="139">
        <f t="shared" ref="IY91:JJ91" si="243">ROUND(+IY81+IY90,2)</f>
        <v>5733591.2599999998</v>
      </c>
      <c r="IZ91" s="139">
        <f t="shared" si="243"/>
        <v>735146.21</v>
      </c>
      <c r="JA91" s="139">
        <f t="shared" si="243"/>
        <v>-8062169.71</v>
      </c>
      <c r="JB91" s="139">
        <f t="shared" si="243"/>
        <v>-35228800.039999999</v>
      </c>
      <c r="JC91" s="139">
        <f t="shared" si="243"/>
        <v>-49463488.170000002</v>
      </c>
      <c r="JD91" s="139">
        <f t="shared" si="243"/>
        <v>-67503002.189999998</v>
      </c>
      <c r="JE91" s="139">
        <f t="shared" si="243"/>
        <v>-86913126.799999997</v>
      </c>
      <c r="JF91" s="139">
        <f t="shared" si="243"/>
        <v>-94549233.400000006</v>
      </c>
      <c r="JG91" s="139">
        <f t="shared" si="243"/>
        <v>-100765917.26000001</v>
      </c>
      <c r="JH91" s="139">
        <f t="shared" si="243"/>
        <v>-111447847.03</v>
      </c>
      <c r="JI91" s="139">
        <f t="shared" si="243"/>
        <v>-121023356.17</v>
      </c>
      <c r="JJ91" s="139">
        <f t="shared" si="243"/>
        <v>-127702232.95</v>
      </c>
      <c r="JK91" s="139">
        <f t="shared" si="242"/>
        <v>-139224432.55000001</v>
      </c>
      <c r="JL91" s="139">
        <f t="shared" si="242"/>
        <v>-3261792.66</v>
      </c>
      <c r="JM91" s="139">
        <f t="shared" si="242"/>
        <v>2482195.33</v>
      </c>
      <c r="JN91" s="139">
        <f t="shared" si="242"/>
        <v>2896898.8</v>
      </c>
      <c r="JO91" s="139">
        <f t="shared" ref="JO91:JU91" si="244">ROUND(+JO81+JO90,2)</f>
        <v>2105229.81</v>
      </c>
      <c r="JP91" s="139">
        <f t="shared" si="244"/>
        <v>-6499118.1299999999</v>
      </c>
      <c r="JQ91" s="139">
        <f t="shared" si="244"/>
        <v>-21729062.789999999</v>
      </c>
      <c r="JR91" s="139">
        <f t="shared" si="244"/>
        <v>-31032608.600000001</v>
      </c>
      <c r="JS91" s="139">
        <f t="shared" si="244"/>
        <v>-34773588.420000002</v>
      </c>
      <c r="JT91" s="139">
        <f t="shared" si="244"/>
        <v>-38498104.020000003</v>
      </c>
      <c r="JU91" s="139">
        <f t="shared" si="244"/>
        <v>-41337907.530000001</v>
      </c>
      <c r="JV91" s="632"/>
      <c r="JW91" s="414"/>
      <c r="JX91" s="414"/>
      <c r="JY91" s="414"/>
      <c r="JZ91" s="414"/>
      <c r="KA91" s="414"/>
      <c r="KB91" s="414"/>
      <c r="KC91" s="414"/>
      <c r="KD91" s="414"/>
      <c r="KE91" s="414"/>
      <c r="KF91" s="414"/>
      <c r="KG91" s="414"/>
      <c r="KH91" s="414"/>
      <c r="KI91" s="633"/>
    </row>
    <row r="92" spans="1:295" x14ac:dyDescent="0.2">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27"/>
      <c r="DJ92" s="127"/>
      <c r="DK92" s="127"/>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c r="IW92" s="139"/>
      <c r="IX92" s="139"/>
      <c r="IY92" s="139"/>
      <c r="IZ92" s="139"/>
      <c r="JA92" s="139"/>
      <c r="JB92" s="139"/>
      <c r="JC92" s="139"/>
      <c r="JD92" s="139"/>
      <c r="JE92" s="139"/>
      <c r="JF92" s="139"/>
      <c r="JG92" s="139"/>
      <c r="JH92" s="139"/>
      <c r="JI92" s="139"/>
      <c r="JJ92" s="139"/>
      <c r="JK92" s="139"/>
      <c r="JL92" s="139"/>
      <c r="JM92" s="139"/>
      <c r="JN92" s="139"/>
      <c r="JO92" s="139"/>
      <c r="JP92" s="139"/>
      <c r="JQ92" s="139"/>
      <c r="JR92" s="139"/>
      <c r="JS92" s="139"/>
      <c r="JT92" s="139"/>
      <c r="JU92" s="139"/>
      <c r="JV92" s="632"/>
      <c r="JW92" s="414"/>
      <c r="JX92" s="414"/>
      <c r="JY92" s="414"/>
      <c r="JZ92" s="414"/>
      <c r="KA92" s="414"/>
      <c r="KB92" s="414"/>
      <c r="KC92" s="414"/>
      <c r="KD92" s="414"/>
      <c r="KE92" s="414"/>
      <c r="KF92" s="414"/>
      <c r="KG92" s="414"/>
      <c r="KH92" s="414"/>
      <c r="KI92" s="633"/>
    </row>
    <row r="93" spans="1:295" ht="14.25" customHeight="1" x14ac:dyDescent="0.2">
      <c r="A93" s="23" t="s">
        <v>133</v>
      </c>
      <c r="C93" s="24">
        <v>19100142</v>
      </c>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27"/>
      <c r="DJ93" s="127"/>
      <c r="DK93" s="127"/>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c r="IU93" s="139"/>
      <c r="IV93" s="139"/>
      <c r="IW93" s="139"/>
      <c r="IX93" s="139"/>
      <c r="IY93" s="139"/>
      <c r="IZ93" s="139"/>
      <c r="JA93" s="139"/>
      <c r="JB93" s="139"/>
      <c r="JC93" s="139"/>
      <c r="JD93" s="139"/>
      <c r="JE93" s="139"/>
      <c r="JF93" s="139"/>
      <c r="JG93" s="139"/>
      <c r="JH93" s="139"/>
      <c r="JI93" s="139"/>
      <c r="JJ93" s="139"/>
      <c r="JK93" s="139"/>
      <c r="JL93" s="139"/>
      <c r="JM93" s="139"/>
      <c r="JN93" s="139"/>
      <c r="JO93" s="139"/>
      <c r="JP93" s="139"/>
      <c r="JQ93" s="139"/>
      <c r="JR93" s="139"/>
      <c r="JS93" s="139"/>
      <c r="JT93" s="139"/>
      <c r="JU93" s="139"/>
      <c r="JV93" s="632"/>
      <c r="JW93" s="414"/>
      <c r="JX93" s="414"/>
      <c r="JY93" s="414"/>
      <c r="JZ93" s="414"/>
      <c r="KA93" s="414"/>
      <c r="KB93" s="414"/>
      <c r="KC93" s="414"/>
      <c r="KD93" s="414"/>
      <c r="KE93" s="414"/>
      <c r="KF93" s="414"/>
      <c r="KG93" s="414"/>
      <c r="KH93" s="414"/>
      <c r="KI93" s="633"/>
    </row>
    <row r="94" spans="1:295" x14ac:dyDescent="0.2">
      <c r="B94" s="24" t="s">
        <v>104</v>
      </c>
      <c r="D94" s="114">
        <v>-53927.15</v>
      </c>
      <c r="E94" s="50">
        <f>+D99</f>
        <v>-10375.190000000002</v>
      </c>
      <c r="F94" s="50">
        <f>+E99</f>
        <v>0</v>
      </c>
      <c r="G94" s="50">
        <f>+F99</f>
        <v>64829.06</v>
      </c>
      <c r="H94" s="50">
        <f>+G99</f>
        <v>119495.51999999999</v>
      </c>
      <c r="I94" s="50">
        <f t="shared" ref="I94:AA94" si="245">ROUND(+H99,2)</f>
        <v>165175.88</v>
      </c>
      <c r="J94" s="50">
        <f t="shared" si="245"/>
        <v>168205.18</v>
      </c>
      <c r="K94" s="50">
        <f t="shared" si="245"/>
        <v>139982.28</v>
      </c>
      <c r="L94" s="50">
        <f t="shared" si="245"/>
        <v>92479.19</v>
      </c>
      <c r="M94" s="50">
        <f t="shared" si="245"/>
        <v>12227.42</v>
      </c>
      <c r="N94" s="50">
        <f t="shared" si="245"/>
        <v>-58922.44</v>
      </c>
      <c r="O94" s="50">
        <f t="shared" si="245"/>
        <v>-126415.56</v>
      </c>
      <c r="P94" s="50">
        <f t="shared" si="245"/>
        <v>-173301.01</v>
      </c>
      <c r="Q94" s="50">
        <f t="shared" si="245"/>
        <v>-196763.88</v>
      </c>
      <c r="R94" s="50">
        <f t="shared" si="245"/>
        <v>-199834.99</v>
      </c>
      <c r="S94" s="50">
        <f t="shared" si="245"/>
        <v>-186268.75</v>
      </c>
      <c r="T94" s="50">
        <f t="shared" si="245"/>
        <v>-168060.17</v>
      </c>
      <c r="U94" s="50">
        <f t="shared" si="245"/>
        <v>-156457.12</v>
      </c>
      <c r="V94" s="50">
        <f>ROUND(+U99,2)</f>
        <v>-158859.75</v>
      </c>
      <c r="W94" s="50">
        <f t="shared" si="245"/>
        <v>53936.38</v>
      </c>
      <c r="X94" s="50">
        <f t="shared" si="245"/>
        <v>45170.29</v>
      </c>
      <c r="Y94" s="50">
        <f t="shared" si="245"/>
        <v>31393.52</v>
      </c>
      <c r="Z94" s="50">
        <f>ROUND(+Y99,2)</f>
        <v>-14338.59</v>
      </c>
      <c r="AA94" s="50">
        <f t="shared" si="245"/>
        <v>-21593.09</v>
      </c>
      <c r="AB94" s="50">
        <f>+AA99</f>
        <v>-12015.68</v>
      </c>
      <c r="AC94" s="50">
        <f>+AB99</f>
        <v>16375.869999999999</v>
      </c>
      <c r="AD94" s="50">
        <f>+AC99</f>
        <v>60393.09</v>
      </c>
      <c r="AE94" s="50">
        <f t="shared" ref="AE94:AP94" si="246">+AD99</f>
        <v>119544.01999999999</v>
      </c>
      <c r="AF94" s="50">
        <f t="shared" si="246"/>
        <v>102009.44999999998</v>
      </c>
      <c r="AG94" s="50">
        <f t="shared" si="246"/>
        <v>130721.57999999999</v>
      </c>
      <c r="AH94" s="50">
        <f t="shared" si="246"/>
        <v>145289.25</v>
      </c>
      <c r="AI94" s="50">
        <f t="shared" si="246"/>
        <v>140992.14000000001</v>
      </c>
      <c r="AJ94" s="50">
        <f t="shared" si="246"/>
        <v>127129.20000000001</v>
      </c>
      <c r="AK94" s="50">
        <f t="shared" si="246"/>
        <v>107721.89000000001</v>
      </c>
      <c r="AL94" s="50">
        <f t="shared" si="246"/>
        <v>94979.6</v>
      </c>
      <c r="AM94" s="50">
        <f t="shared" si="246"/>
        <v>93204.47</v>
      </c>
      <c r="AN94" s="50">
        <f t="shared" si="246"/>
        <v>105588.42</v>
      </c>
      <c r="AO94" s="50">
        <f t="shared" si="246"/>
        <v>135223.96</v>
      </c>
      <c r="AP94" s="50">
        <f t="shared" si="246"/>
        <v>180965.55</v>
      </c>
      <c r="AQ94" s="50">
        <f>AP99</f>
        <v>238810.52</v>
      </c>
      <c r="AR94" s="50">
        <f>+AQ99</f>
        <v>211545.51</v>
      </c>
      <c r="AS94" s="50">
        <f>+AR99</f>
        <v>242331.52000000002</v>
      </c>
      <c r="AT94" s="50">
        <f t="shared" ref="AT94:BQ94" si="247">+AS99</f>
        <v>278754.44</v>
      </c>
      <c r="AU94" s="50">
        <f t="shared" si="247"/>
        <v>299939.14</v>
      </c>
      <c r="AV94" s="50">
        <f t="shared" si="247"/>
        <v>309055.93</v>
      </c>
      <c r="AW94" s="50">
        <f t="shared" si="247"/>
        <v>324605.33</v>
      </c>
      <c r="AX94" s="50">
        <f t="shared" si="247"/>
        <v>304277.45</v>
      </c>
      <c r="AY94" s="50">
        <f t="shared" si="247"/>
        <v>381582.83</v>
      </c>
      <c r="AZ94" s="127">
        <f t="shared" si="247"/>
        <v>104436.58000000002</v>
      </c>
      <c r="BA94" s="127">
        <f t="shared" si="247"/>
        <v>155895.36000000002</v>
      </c>
      <c r="BB94" s="127">
        <f t="shared" si="247"/>
        <v>227659.39</v>
      </c>
      <c r="BC94" s="127">
        <f t="shared" si="247"/>
        <v>313162.67000000004</v>
      </c>
      <c r="BD94" s="127">
        <f t="shared" si="247"/>
        <v>176676.64000000004</v>
      </c>
      <c r="BE94" s="127">
        <f t="shared" si="247"/>
        <v>225205.11000000004</v>
      </c>
      <c r="BF94" s="127">
        <f t="shared" si="247"/>
        <v>255732.43000000005</v>
      </c>
      <c r="BG94" s="127">
        <f t="shared" si="247"/>
        <v>288517.56000000006</v>
      </c>
      <c r="BH94" s="127">
        <f t="shared" si="247"/>
        <v>305770.23000000004</v>
      </c>
      <c r="BI94" s="127">
        <f t="shared" si="247"/>
        <v>309320.35000000003</v>
      </c>
      <c r="BJ94" s="127">
        <f t="shared" si="247"/>
        <v>305827.73000000004</v>
      </c>
      <c r="BK94" s="127">
        <f t="shared" si="247"/>
        <v>310799.29000000004</v>
      </c>
      <c r="BL94" s="127">
        <f t="shared" si="247"/>
        <v>335702.12000000005</v>
      </c>
      <c r="BM94" s="127">
        <f t="shared" si="247"/>
        <v>393713.85000000003</v>
      </c>
      <c r="BN94" s="127">
        <f t="shared" si="247"/>
        <v>483804.92000000004</v>
      </c>
      <c r="BO94" s="127">
        <f t="shared" si="247"/>
        <v>602503.81000000006</v>
      </c>
      <c r="BP94" s="127">
        <f t="shared" si="247"/>
        <v>344651.68000000005</v>
      </c>
      <c r="BQ94" s="127">
        <f t="shared" si="247"/>
        <v>419772.66000000003</v>
      </c>
      <c r="BR94" s="127">
        <f>ROUND(+BQ99,2)</f>
        <v>428691.56</v>
      </c>
      <c r="BS94" s="127">
        <f t="shared" ref="BS94:ED94" si="248">ROUND(+BR99,2)</f>
        <v>436873.02</v>
      </c>
      <c r="BT94" s="127">
        <f t="shared" si="248"/>
        <v>398624.22</v>
      </c>
      <c r="BU94" s="127">
        <f t="shared" si="248"/>
        <v>363444.93</v>
      </c>
      <c r="BV94" s="127">
        <f t="shared" si="248"/>
        <v>325000.02</v>
      </c>
      <c r="BW94" s="127">
        <f t="shared" si="248"/>
        <v>274861.88</v>
      </c>
      <c r="BX94" s="127">
        <f t="shared" si="248"/>
        <v>253009.27</v>
      </c>
      <c r="BY94" s="127">
        <f t="shared" si="248"/>
        <v>266407.09000000003</v>
      </c>
      <c r="BZ94" s="127">
        <f t="shared" si="248"/>
        <v>323247.59999999998</v>
      </c>
      <c r="CA94" s="127">
        <f t="shared" si="248"/>
        <v>419470.03</v>
      </c>
      <c r="CB94" s="127">
        <f t="shared" si="248"/>
        <v>337524.06</v>
      </c>
      <c r="CC94" s="127">
        <f t="shared" si="248"/>
        <v>385014.98</v>
      </c>
      <c r="CD94" s="127">
        <f t="shared" si="248"/>
        <v>469275.62</v>
      </c>
      <c r="CE94" s="127">
        <f t="shared" si="248"/>
        <v>515392.09</v>
      </c>
      <c r="CF94" s="127">
        <f t="shared" si="248"/>
        <v>519886.62</v>
      </c>
      <c r="CG94" s="127">
        <f t="shared" si="248"/>
        <v>505321.68</v>
      </c>
      <c r="CH94" s="127">
        <f t="shared" si="248"/>
        <v>470830.2</v>
      </c>
      <c r="CI94" s="127">
        <f t="shared" si="248"/>
        <v>433219.12</v>
      </c>
      <c r="CJ94" s="127">
        <f t="shared" si="248"/>
        <v>418368.23</v>
      </c>
      <c r="CK94" s="127">
        <f t="shared" si="248"/>
        <v>426578.51</v>
      </c>
      <c r="CL94" s="127">
        <f t="shared" si="248"/>
        <v>461984.66</v>
      </c>
      <c r="CM94" s="127">
        <f t="shared" si="248"/>
        <v>520704.28</v>
      </c>
      <c r="CN94" s="127">
        <f t="shared" si="248"/>
        <v>339595.45</v>
      </c>
      <c r="CO94" s="127">
        <f t="shared" si="248"/>
        <v>398625.65</v>
      </c>
      <c r="CP94" s="127">
        <f t="shared" si="248"/>
        <v>460454.54</v>
      </c>
      <c r="CQ94" s="127">
        <f t="shared" si="248"/>
        <v>487482.74</v>
      </c>
      <c r="CR94" s="127">
        <f t="shared" si="248"/>
        <v>491402.36</v>
      </c>
      <c r="CS94" s="127">
        <f t="shared" si="248"/>
        <v>483832.24</v>
      </c>
      <c r="CT94" s="127">
        <f t="shared" si="248"/>
        <v>470171.39</v>
      </c>
      <c r="CU94" s="127">
        <f t="shared" si="248"/>
        <v>459651.08</v>
      </c>
      <c r="CV94" s="127">
        <f t="shared" si="248"/>
        <v>435706.43</v>
      </c>
      <c r="CW94" s="127">
        <f t="shared" si="248"/>
        <v>444473.96</v>
      </c>
      <c r="CX94" s="127">
        <f t="shared" si="248"/>
        <v>470288.68</v>
      </c>
      <c r="CY94" s="127">
        <f t="shared" si="248"/>
        <v>509784.08</v>
      </c>
      <c r="CZ94" s="127">
        <f t="shared" si="248"/>
        <v>318460.46000000002</v>
      </c>
      <c r="DA94" s="127">
        <f t="shared" si="248"/>
        <v>353613.97</v>
      </c>
      <c r="DB94" s="127">
        <f t="shared" si="248"/>
        <v>383403.82</v>
      </c>
      <c r="DC94" s="127">
        <f t="shared" si="248"/>
        <v>393745.56</v>
      </c>
      <c r="DD94" s="127">
        <f t="shared" si="248"/>
        <v>401487.71</v>
      </c>
      <c r="DE94" s="127">
        <f t="shared" si="248"/>
        <v>409649.63</v>
      </c>
      <c r="DF94" s="127">
        <f t="shared" si="248"/>
        <v>416997.6</v>
      </c>
      <c r="DG94" s="127">
        <f t="shared" si="248"/>
        <v>426834.92</v>
      </c>
      <c r="DH94" s="127">
        <f t="shared" si="248"/>
        <v>443796.64</v>
      </c>
      <c r="DI94" s="127">
        <f t="shared" si="248"/>
        <v>474066.74</v>
      </c>
      <c r="DJ94" s="127">
        <f t="shared" si="248"/>
        <v>520380.62</v>
      </c>
      <c r="DK94" s="127">
        <f t="shared" si="248"/>
        <v>578458.31000000006</v>
      </c>
      <c r="DL94" s="139">
        <f t="shared" si="248"/>
        <v>652548.92000000004</v>
      </c>
      <c r="DM94" s="139">
        <f t="shared" si="248"/>
        <v>329352.32000000001</v>
      </c>
      <c r="DN94" s="139">
        <f t="shared" si="248"/>
        <v>356544.41</v>
      </c>
      <c r="DO94" s="139">
        <f t="shared" si="248"/>
        <v>370050.09</v>
      </c>
      <c r="DP94" s="139">
        <f t="shared" si="248"/>
        <v>368086.52</v>
      </c>
      <c r="DQ94" s="139">
        <f t="shared" si="248"/>
        <v>352329.61</v>
      </c>
      <c r="DR94" s="139">
        <f t="shared" si="248"/>
        <v>330033.88</v>
      </c>
      <c r="DS94" s="139">
        <f t="shared" si="248"/>
        <v>301358.5</v>
      </c>
      <c r="DT94" s="139">
        <f t="shared" si="248"/>
        <v>277654.67</v>
      </c>
      <c r="DU94" s="139">
        <f t="shared" si="248"/>
        <v>264740.84000000003</v>
      </c>
      <c r="DV94" s="139">
        <f t="shared" si="248"/>
        <v>268139.86</v>
      </c>
      <c r="DW94" s="139">
        <f t="shared" si="248"/>
        <v>284325.26</v>
      </c>
      <c r="DX94" s="139">
        <f t="shared" si="248"/>
        <v>302076.06</v>
      </c>
      <c r="DY94" s="139">
        <f t="shared" si="248"/>
        <v>323534.52</v>
      </c>
      <c r="DZ94" s="139">
        <f t="shared" si="248"/>
        <v>329388.78000000003</v>
      </c>
      <c r="EA94" s="139">
        <f t="shared" si="248"/>
        <v>316690.65000000002</v>
      </c>
      <c r="EB94" s="139">
        <f t="shared" si="248"/>
        <v>284255.78000000003</v>
      </c>
      <c r="EC94" s="139">
        <f t="shared" si="248"/>
        <v>235103.97</v>
      </c>
      <c r="ED94" s="139">
        <f t="shared" si="248"/>
        <v>170526.24</v>
      </c>
      <c r="EE94" s="139">
        <f t="shared" ref="EE94:GP94" si="249">ROUND(+ED99,2)</f>
        <v>104987.45</v>
      </c>
      <c r="EF94" s="139">
        <f t="shared" si="249"/>
        <v>48531.24</v>
      </c>
      <c r="EG94" s="139">
        <f t="shared" si="249"/>
        <v>1618.63</v>
      </c>
      <c r="EH94" s="139">
        <f t="shared" si="249"/>
        <v>-29962.29</v>
      </c>
      <c r="EI94" s="139">
        <f t="shared" si="249"/>
        <v>-44486.43</v>
      </c>
      <c r="EJ94" s="139">
        <f t="shared" si="249"/>
        <v>-45311.58</v>
      </c>
      <c r="EK94" s="139">
        <f t="shared" si="249"/>
        <v>-43252.84</v>
      </c>
      <c r="EL94" s="139">
        <f t="shared" si="249"/>
        <v>-48998.29</v>
      </c>
      <c r="EM94" s="139">
        <f t="shared" si="249"/>
        <v>-73074.63</v>
      </c>
      <c r="EN94" s="139">
        <f t="shared" si="249"/>
        <v>-118122.94</v>
      </c>
      <c r="EO94" s="139">
        <f t="shared" si="249"/>
        <v>-180121.62</v>
      </c>
      <c r="EP94" s="139">
        <f t="shared" si="249"/>
        <v>-244440.93</v>
      </c>
      <c r="EQ94" s="139">
        <f t="shared" si="249"/>
        <v>-310319.59999999998</v>
      </c>
      <c r="ER94" s="139">
        <f t="shared" si="249"/>
        <v>-363349.52</v>
      </c>
      <c r="ES94" s="139">
        <f t="shared" si="249"/>
        <v>-402077.97</v>
      </c>
      <c r="ET94" s="139">
        <f t="shared" si="249"/>
        <v>-422286.39</v>
      </c>
      <c r="EU94" s="139">
        <f t="shared" si="249"/>
        <v>-423220.43</v>
      </c>
      <c r="EV94" s="139">
        <f t="shared" si="249"/>
        <v>-410018.65</v>
      </c>
      <c r="EW94" s="139">
        <f t="shared" si="249"/>
        <v>-396243</v>
      </c>
      <c r="EX94" s="139">
        <f t="shared" si="249"/>
        <v>-391151.97</v>
      </c>
      <c r="EY94" s="139">
        <f t="shared" si="249"/>
        <v>-412103.85</v>
      </c>
      <c r="EZ94" s="139">
        <f t="shared" si="249"/>
        <v>-448769.52</v>
      </c>
      <c r="FA94" s="139">
        <f t="shared" si="249"/>
        <v>-509929.61</v>
      </c>
      <c r="FB94" s="139">
        <f t="shared" si="249"/>
        <v>-575384.07999999996</v>
      </c>
      <c r="FC94" s="139">
        <f t="shared" si="249"/>
        <v>-639825.1</v>
      </c>
      <c r="FD94" s="139">
        <f t="shared" si="249"/>
        <v>-693784.95</v>
      </c>
      <c r="FE94" s="139">
        <f t="shared" si="249"/>
        <v>-734174.06</v>
      </c>
      <c r="FF94" s="139">
        <f t="shared" si="249"/>
        <v>-756976.41</v>
      </c>
      <c r="FG94" s="139">
        <f t="shared" si="249"/>
        <v>-761847.28</v>
      </c>
      <c r="FH94" s="139">
        <f t="shared" si="249"/>
        <v>-750999.18</v>
      </c>
      <c r="FI94" s="139">
        <f t="shared" si="249"/>
        <v>-731648.49</v>
      </c>
      <c r="FJ94" s="139">
        <f t="shared" si="249"/>
        <v>-721817.19</v>
      </c>
      <c r="FK94" s="139">
        <f t="shared" si="249"/>
        <v>-724012.46</v>
      </c>
      <c r="FL94" s="139">
        <f t="shared" si="249"/>
        <v>-733943.61</v>
      </c>
      <c r="FM94" s="139">
        <f t="shared" si="249"/>
        <v>-747615.36</v>
      </c>
      <c r="FN94" s="139">
        <f t="shared" si="249"/>
        <v>-760252.69</v>
      </c>
      <c r="FO94" s="139">
        <f t="shared" si="249"/>
        <v>-771060.44</v>
      </c>
      <c r="FP94" s="139">
        <f t="shared" si="249"/>
        <v>-770318.61</v>
      </c>
      <c r="FQ94" s="139">
        <f t="shared" si="249"/>
        <v>-753809.39</v>
      </c>
      <c r="FR94" s="139">
        <f t="shared" si="249"/>
        <v>-723077.29</v>
      </c>
      <c r="FS94" s="139">
        <f t="shared" si="249"/>
        <v>-679744.04</v>
      </c>
      <c r="FT94" s="139">
        <f t="shared" si="249"/>
        <v>-613678.06000000006</v>
      </c>
      <c r="FU94" s="139">
        <f t="shared" si="249"/>
        <v>-337739.08</v>
      </c>
      <c r="FV94" s="139">
        <f t="shared" si="249"/>
        <v>-294656.11</v>
      </c>
      <c r="FW94" s="139">
        <f t="shared" si="249"/>
        <v>-267474.42</v>
      </c>
      <c r="FX94" s="139">
        <f t="shared" si="249"/>
        <v>-256679.63</v>
      </c>
      <c r="FY94" s="139">
        <f t="shared" si="249"/>
        <v>-249771.39</v>
      </c>
      <c r="FZ94" s="139">
        <f t="shared" si="249"/>
        <v>-245777.86</v>
      </c>
      <c r="GA94" s="139">
        <f t="shared" si="249"/>
        <v>-234481.9</v>
      </c>
      <c r="GB94" s="139">
        <f t="shared" si="249"/>
        <v>-211346.38</v>
      </c>
      <c r="GC94" s="139">
        <f t="shared" si="249"/>
        <v>-171492.1</v>
      </c>
      <c r="GD94" s="139">
        <f t="shared" si="249"/>
        <v>-114216.83</v>
      </c>
      <c r="GE94" s="139">
        <f t="shared" si="249"/>
        <v>-40270.94</v>
      </c>
      <c r="GF94" s="139">
        <f t="shared" si="249"/>
        <v>50432.33</v>
      </c>
      <c r="GG94" s="139">
        <f t="shared" si="249"/>
        <v>61971.92</v>
      </c>
      <c r="GH94" s="139">
        <f t="shared" si="249"/>
        <v>106679.96</v>
      </c>
      <c r="GI94" s="139">
        <f t="shared" si="249"/>
        <v>125323.38</v>
      </c>
      <c r="GJ94" s="139">
        <f t="shared" si="249"/>
        <v>115423.39</v>
      </c>
      <c r="GK94" s="139">
        <f t="shared" si="249"/>
        <v>85182.86</v>
      </c>
      <c r="GL94" s="139">
        <f t="shared" si="249"/>
        <v>42299.62</v>
      </c>
      <c r="GM94" s="139">
        <f t="shared" si="249"/>
        <v>-4959.41</v>
      </c>
      <c r="GN94" s="139">
        <f t="shared" si="249"/>
        <v>-43218.22</v>
      </c>
      <c r="GO94" s="139">
        <f t="shared" si="249"/>
        <v>-67297.73</v>
      </c>
      <c r="GP94" s="139">
        <f t="shared" si="249"/>
        <v>-71446.87</v>
      </c>
      <c r="GQ94" s="139">
        <f t="shared" ref="GQ94:JN94" si="250">ROUND(+GP99,2)</f>
        <v>-55559.22</v>
      </c>
      <c r="GR94" s="139">
        <f t="shared" si="250"/>
        <v>-19936.11</v>
      </c>
      <c r="GS94" s="139">
        <f t="shared" si="250"/>
        <v>17717.47</v>
      </c>
      <c r="GT94" s="139">
        <f t="shared" si="250"/>
        <v>46941.33</v>
      </c>
      <c r="GU94" s="139">
        <f t="shared" si="250"/>
        <v>48652.86</v>
      </c>
      <c r="GV94" s="139">
        <f t="shared" si="250"/>
        <v>34207.279999999999</v>
      </c>
      <c r="GW94" s="139">
        <f t="shared" si="250"/>
        <v>-3075.75</v>
      </c>
      <c r="GX94" s="139">
        <f t="shared" si="250"/>
        <v>-53390.32</v>
      </c>
      <c r="GY94" s="139">
        <f t="shared" si="250"/>
        <v>-105698.38</v>
      </c>
      <c r="GZ94" s="139">
        <f t="shared" si="250"/>
        <v>-138771.28</v>
      </c>
      <c r="HA94" s="139">
        <f t="shared" si="250"/>
        <v>-154482.26</v>
      </c>
      <c r="HB94" s="139">
        <f t="shared" si="250"/>
        <v>-144154.42000000001</v>
      </c>
      <c r="HC94" s="139">
        <f t="shared" si="250"/>
        <v>-111038.33</v>
      </c>
      <c r="HD94" s="139">
        <f t="shared" si="250"/>
        <v>-52787.4</v>
      </c>
      <c r="HE94" s="139">
        <f t="shared" si="250"/>
        <v>9192.07</v>
      </c>
      <c r="HF94" s="139">
        <f t="shared" si="250"/>
        <v>66058.880000000005</v>
      </c>
      <c r="HG94" s="139">
        <f t="shared" si="250"/>
        <v>94645.01</v>
      </c>
      <c r="HH94" s="139">
        <f t="shared" si="250"/>
        <v>99383.24</v>
      </c>
      <c r="HI94" s="139">
        <f t="shared" si="250"/>
        <v>63476.08</v>
      </c>
      <c r="HJ94" s="139">
        <f t="shared" si="250"/>
        <v>15042.4</v>
      </c>
      <c r="HK94" s="139">
        <f t="shared" si="250"/>
        <v>-32067.02</v>
      </c>
      <c r="HL94" s="139">
        <f t="shared" si="250"/>
        <v>-59413.94</v>
      </c>
      <c r="HM94" s="139">
        <f t="shared" si="250"/>
        <v>-62309.7</v>
      </c>
      <c r="HN94" s="139">
        <f t="shared" si="250"/>
        <v>-37305.65</v>
      </c>
      <c r="HO94" s="139">
        <f t="shared" si="250"/>
        <v>14895.29</v>
      </c>
      <c r="HP94" s="139">
        <f t="shared" si="250"/>
        <v>90393.75</v>
      </c>
      <c r="HQ94" s="139">
        <f t="shared" si="250"/>
        <v>161176.9</v>
      </c>
      <c r="HR94" s="139">
        <f t="shared" si="250"/>
        <v>220814.94</v>
      </c>
      <c r="HS94" s="139">
        <f t="shared" si="250"/>
        <v>244383.91</v>
      </c>
      <c r="HT94" s="139">
        <f t="shared" si="250"/>
        <v>237610.19</v>
      </c>
      <c r="HU94" s="139">
        <f t="shared" si="250"/>
        <v>204336.84</v>
      </c>
      <c r="HV94" s="139">
        <f t="shared" si="250"/>
        <v>153862.5</v>
      </c>
      <c r="HW94" s="139">
        <f t="shared" si="250"/>
        <v>103675.96</v>
      </c>
      <c r="HX94" s="139">
        <f t="shared" si="250"/>
        <v>72177.11</v>
      </c>
      <c r="HY94" s="139">
        <f t="shared" si="250"/>
        <v>63229.74</v>
      </c>
      <c r="HZ94" s="139">
        <f t="shared" si="250"/>
        <v>74157.070000000007</v>
      </c>
      <c r="IA94" s="139">
        <f t="shared" si="250"/>
        <v>104699.19</v>
      </c>
      <c r="IB94" s="139">
        <f t="shared" si="250"/>
        <v>151353.99</v>
      </c>
      <c r="IC94" s="139">
        <f t="shared" si="250"/>
        <v>174396.79</v>
      </c>
      <c r="ID94" s="139">
        <f t="shared" si="250"/>
        <v>207805.59</v>
      </c>
      <c r="IE94" s="139">
        <f t="shared" si="250"/>
        <v>223240.64</v>
      </c>
      <c r="IF94" s="139">
        <f t="shared" si="250"/>
        <v>220637.45</v>
      </c>
      <c r="IG94" s="139">
        <f t="shared" si="250"/>
        <v>195569.54</v>
      </c>
      <c r="IH94" s="139">
        <f t="shared" si="250"/>
        <v>157892.18</v>
      </c>
      <c r="II94" s="139">
        <f t="shared" si="250"/>
        <v>119996.6</v>
      </c>
      <c r="IJ94" s="139">
        <f t="shared" si="250"/>
        <v>93836.03</v>
      </c>
      <c r="IK94" s="139">
        <f t="shared" si="250"/>
        <v>83280.5</v>
      </c>
      <c r="IL94" s="139">
        <f t="shared" si="250"/>
        <v>92718.94</v>
      </c>
      <c r="IM94" s="139">
        <f t="shared" si="250"/>
        <v>120209.46</v>
      </c>
      <c r="IN94" s="139">
        <f t="shared" si="250"/>
        <v>163743.07999999999</v>
      </c>
      <c r="IO94" s="139">
        <f t="shared" si="250"/>
        <v>197254.43</v>
      </c>
      <c r="IP94" s="139">
        <f t="shared" si="250"/>
        <v>234237.53</v>
      </c>
      <c r="IQ94" s="139">
        <f t="shared" si="250"/>
        <v>246765.88</v>
      </c>
      <c r="IR94" s="139">
        <f t="shared" si="250"/>
        <v>237541.96</v>
      </c>
      <c r="IS94" s="139">
        <f t="shared" si="250"/>
        <v>212502.81</v>
      </c>
      <c r="IT94" s="139">
        <f t="shared" si="250"/>
        <v>180682.5</v>
      </c>
      <c r="IU94" s="139">
        <f t="shared" si="250"/>
        <v>142125.85999999999</v>
      </c>
      <c r="IV94" s="139">
        <f t="shared" si="250"/>
        <v>111400.79</v>
      </c>
      <c r="IW94" s="139">
        <f t="shared" si="250"/>
        <v>93304.98</v>
      </c>
      <c r="IX94" s="139">
        <f t="shared" si="250"/>
        <v>96222.84</v>
      </c>
      <c r="IY94" s="139">
        <f t="shared" ref="IY94" si="251">ROUND(+IX99,2)</f>
        <v>121653.5</v>
      </c>
      <c r="IZ94" s="139">
        <f t="shared" ref="IZ94" si="252">ROUND(+IY99,2)</f>
        <v>185128.77</v>
      </c>
      <c r="JA94" s="139">
        <f t="shared" ref="JA94" si="253">ROUND(+IZ99,2)</f>
        <v>256095.61</v>
      </c>
      <c r="JB94" s="139">
        <f t="shared" ref="JB94" si="254">ROUND(+JA99,2)</f>
        <v>303892.21000000002</v>
      </c>
      <c r="JC94" s="139">
        <f t="shared" ref="JC94" si="255">ROUND(+JB99,2)</f>
        <v>311234.18</v>
      </c>
      <c r="JD94" s="139">
        <f t="shared" ref="JD94" si="256">ROUND(+JC99,2)</f>
        <v>281352.62</v>
      </c>
      <c r="JE94" s="139">
        <f t="shared" ref="JE94" si="257">ROUND(+JD99,2)</f>
        <v>206283.91</v>
      </c>
      <c r="JF94" s="139">
        <f t="shared" ref="JF94" si="258">ROUND(+JE99,2)</f>
        <v>81763.64</v>
      </c>
      <c r="JG94" s="139">
        <f t="shared" ref="JG94" si="259">ROUND(+JF99,2)</f>
        <v>-65106.67</v>
      </c>
      <c r="JH94" s="139">
        <f t="shared" ref="JH94" si="260">ROUND(+JG99,2)</f>
        <v>-181461.42</v>
      </c>
      <c r="JI94" s="139">
        <f t="shared" ref="JI94" si="261">ROUND(+JH99,2)</f>
        <v>-275191.64</v>
      </c>
      <c r="JJ94" s="139">
        <f t="shared" ref="JJ94" si="262">ROUND(+JI99,2)</f>
        <v>-325125.71000000002</v>
      </c>
      <c r="JK94" s="139">
        <f>ROUND(+JJ99,2)</f>
        <v>-332188.65000000002</v>
      </c>
      <c r="JL94" s="139">
        <f t="shared" si="250"/>
        <v>-304881.76</v>
      </c>
      <c r="JM94" s="139">
        <f t="shared" si="250"/>
        <v>-274122.11</v>
      </c>
      <c r="JN94" s="139">
        <f t="shared" si="250"/>
        <v>-272556.61</v>
      </c>
      <c r="JO94" s="139">
        <f t="shared" ref="JO94:JU94" si="263">ROUND(+JN99,2)</f>
        <v>-305924.89</v>
      </c>
      <c r="JP94" s="139">
        <f t="shared" si="263"/>
        <v>-395132.89</v>
      </c>
      <c r="JQ94" s="139">
        <f t="shared" si="263"/>
        <v>-529204.31999999995</v>
      </c>
      <c r="JR94" s="139">
        <f t="shared" si="263"/>
        <v>-689081.97</v>
      </c>
      <c r="JS94" s="139">
        <f t="shared" si="263"/>
        <v>-860800.65</v>
      </c>
      <c r="JT94" s="139">
        <f t="shared" si="263"/>
        <v>-1007807.4</v>
      </c>
      <c r="JU94" s="139">
        <f t="shared" si="263"/>
        <v>-1126642.94</v>
      </c>
      <c r="JV94" s="632"/>
      <c r="JW94" s="414"/>
      <c r="JX94" s="414"/>
      <c r="JY94" s="414"/>
      <c r="JZ94" s="414"/>
      <c r="KA94" s="414"/>
      <c r="KB94" s="414"/>
      <c r="KC94" s="414"/>
      <c r="KD94" s="414"/>
      <c r="KE94" s="414"/>
      <c r="KF94" s="414"/>
      <c r="KG94" s="414"/>
      <c r="KH94" s="414"/>
      <c r="KI94" s="633"/>
    </row>
    <row r="95" spans="1:295" x14ac:dyDescent="0.2">
      <c r="B95" s="24" t="s">
        <v>105</v>
      </c>
      <c r="D95" s="142"/>
      <c r="E95" s="142">
        <v>-64215.05</v>
      </c>
      <c r="F95" s="142"/>
      <c r="G95" s="142"/>
      <c r="H95" s="142"/>
      <c r="I95" s="142"/>
      <c r="J95" s="142"/>
      <c r="K95" s="142"/>
      <c r="L95" s="142"/>
      <c r="M95" s="142"/>
      <c r="N95" s="142"/>
      <c r="O95" s="142"/>
      <c r="P95" s="142"/>
      <c r="Q95" s="142"/>
      <c r="R95" s="142"/>
      <c r="S95" s="142"/>
      <c r="T95" s="142"/>
      <c r="U95" s="142"/>
      <c r="V95" s="142">
        <v>168060.17</v>
      </c>
      <c r="W95" s="142"/>
      <c r="X95" s="142"/>
      <c r="Y95" s="142">
        <v>-31393.52</v>
      </c>
      <c r="Z95" s="142"/>
      <c r="AA95" s="142"/>
      <c r="AB95" s="142"/>
      <c r="AC95" s="142"/>
      <c r="AD95" s="142"/>
      <c r="AE95" s="142">
        <v>-59810.41</v>
      </c>
      <c r="AF95" s="142"/>
      <c r="AG95" s="142"/>
      <c r="AH95" s="142"/>
      <c r="AI95" s="142"/>
      <c r="AJ95" s="142"/>
      <c r="AK95" s="142"/>
      <c r="AL95" s="142"/>
      <c r="AM95" s="142"/>
      <c r="AN95" s="142">
        <v>0</v>
      </c>
      <c r="AO95" s="142">
        <v>0</v>
      </c>
      <c r="AP95" s="142">
        <v>0</v>
      </c>
      <c r="AQ95" s="142">
        <v>-96708</v>
      </c>
      <c r="AR95" s="142">
        <v>0</v>
      </c>
      <c r="AS95" s="142">
        <v>0</v>
      </c>
      <c r="AT95" s="142">
        <v>0</v>
      </c>
      <c r="AU95" s="142">
        <v>0</v>
      </c>
      <c r="AV95" s="142">
        <v>0</v>
      </c>
      <c r="AW95" s="142">
        <v>0</v>
      </c>
      <c r="AX95" s="142">
        <v>0</v>
      </c>
      <c r="AY95" s="142"/>
      <c r="AZ95" s="143"/>
      <c r="BA95" s="143"/>
      <c r="BB95" s="143"/>
      <c r="BC95" s="143">
        <v>-197552</v>
      </c>
      <c r="BD95" s="143">
        <v>0</v>
      </c>
      <c r="BE95" s="143">
        <v>0</v>
      </c>
      <c r="BF95" s="143">
        <v>0</v>
      </c>
      <c r="BG95" s="143">
        <v>0</v>
      </c>
      <c r="BH95" s="139"/>
      <c r="BI95" s="139"/>
      <c r="BJ95" s="139"/>
      <c r="BK95" s="139"/>
      <c r="BL95" s="139"/>
      <c r="BM95" s="139"/>
      <c r="BN95" s="143">
        <v>0</v>
      </c>
      <c r="BO95" s="143">
        <v>-413583</v>
      </c>
      <c r="BP95" s="139"/>
      <c r="BQ95" s="139"/>
      <c r="BR95" s="127"/>
      <c r="BS95" s="139"/>
      <c r="BT95" s="139"/>
      <c r="BU95" s="139"/>
      <c r="BV95" s="139"/>
      <c r="BW95" s="139"/>
      <c r="BX95" s="139"/>
      <c r="BY95" s="139"/>
      <c r="BZ95" s="139"/>
      <c r="CA95" s="147">
        <v>-214894</v>
      </c>
      <c r="CB95" s="139"/>
      <c r="CC95" s="139"/>
      <c r="CD95" s="139"/>
      <c r="CE95" s="139"/>
      <c r="CF95" s="139"/>
      <c r="CG95" s="139"/>
      <c r="CH95" s="139"/>
      <c r="CI95" s="139"/>
      <c r="CJ95" s="139"/>
      <c r="CK95" s="139"/>
      <c r="CL95" s="139"/>
      <c r="CM95" s="143">
        <v>-231021</v>
      </c>
      <c r="CN95" s="139"/>
      <c r="CO95" s="127"/>
      <c r="CP95" s="139"/>
      <c r="CQ95" s="139"/>
      <c r="CR95" s="139"/>
      <c r="CS95" s="139"/>
      <c r="CT95" s="139"/>
      <c r="CU95" s="139"/>
      <c r="CV95" s="139"/>
      <c r="CW95" s="139"/>
      <c r="CX95" s="139"/>
      <c r="CY95" s="143">
        <v>-224640</v>
      </c>
      <c r="CZ95" s="139"/>
      <c r="DA95" s="139"/>
      <c r="DB95" s="139"/>
      <c r="DC95" s="139"/>
      <c r="DD95" s="139"/>
      <c r="DE95" s="139"/>
      <c r="DF95" s="139"/>
      <c r="DG95" s="139"/>
      <c r="DH95" s="139"/>
      <c r="DI95" s="139"/>
      <c r="DJ95" s="139"/>
      <c r="DK95" s="139"/>
      <c r="DL95" s="145">
        <v>-358888</v>
      </c>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83"/>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45">
        <v>226638</v>
      </c>
      <c r="FU95" s="139"/>
      <c r="FV95" s="139"/>
      <c r="FW95" s="139"/>
      <c r="FX95" s="139"/>
      <c r="FY95" s="139"/>
      <c r="FZ95" s="139"/>
      <c r="GA95" s="139"/>
      <c r="GB95" s="139"/>
      <c r="GC95" s="139"/>
      <c r="GD95" s="139"/>
      <c r="GE95" s="139"/>
      <c r="GF95" s="145">
        <v>-32402</v>
      </c>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5">
        <v>-20451.14</v>
      </c>
      <c r="IC95" s="139"/>
      <c r="ID95" s="139"/>
      <c r="IE95" s="139"/>
      <c r="IF95" s="139"/>
      <c r="IG95" s="139"/>
      <c r="IH95" s="139"/>
      <c r="II95" s="139"/>
      <c r="IJ95" s="139"/>
      <c r="IK95" s="139"/>
      <c r="IL95" s="139"/>
      <c r="IM95" s="139"/>
      <c r="IN95" s="145">
        <v>-4034.08</v>
      </c>
      <c r="IO95" s="139"/>
      <c r="IP95" s="139"/>
      <c r="IQ95" s="139"/>
      <c r="IR95" s="139"/>
      <c r="IS95" s="139"/>
      <c r="IT95" s="139"/>
      <c r="IU95" s="139"/>
      <c r="IV95" s="139"/>
      <c r="IW95" s="139"/>
      <c r="IX95" s="139"/>
      <c r="IY95" s="139"/>
      <c r="IZ95" s="15">
        <v>-3528.71</v>
      </c>
      <c r="JA95" s="139"/>
      <c r="JB95" s="139"/>
      <c r="JC95" s="139"/>
      <c r="JD95" s="139"/>
      <c r="JE95" s="139"/>
      <c r="JF95" s="139"/>
      <c r="JG95" s="139"/>
      <c r="JH95" s="139"/>
      <c r="JI95" s="139"/>
      <c r="JJ95" s="139"/>
      <c r="JK95" s="370"/>
      <c r="JL95" s="370"/>
      <c r="JM95" s="139"/>
      <c r="JN95" s="139"/>
      <c r="JO95" s="139"/>
      <c r="JP95" s="139"/>
      <c r="JQ95" s="139"/>
      <c r="JR95" s="139"/>
      <c r="JS95" s="139"/>
      <c r="JT95" s="139"/>
      <c r="JU95" s="139"/>
      <c r="JV95" s="632"/>
      <c r="JW95" s="414"/>
      <c r="JX95" s="414"/>
      <c r="JY95" s="414"/>
      <c r="JZ95" s="414"/>
      <c r="KA95" s="414"/>
      <c r="KB95" s="414"/>
      <c r="KC95" s="414"/>
      <c r="KD95" s="414"/>
      <c r="KE95" s="414"/>
      <c r="KF95" s="414"/>
      <c r="KG95" s="414"/>
      <c r="KH95" s="414"/>
      <c r="KI95" s="633"/>
    </row>
    <row r="96" spans="1:295" x14ac:dyDescent="0.2">
      <c r="B96" s="24" t="s">
        <v>134</v>
      </c>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v>-328008.39</v>
      </c>
      <c r="AZ96" s="143">
        <v>0</v>
      </c>
      <c r="BA96" s="143">
        <v>0</v>
      </c>
      <c r="BB96" s="143">
        <v>0</v>
      </c>
      <c r="BC96" s="143">
        <v>0</v>
      </c>
      <c r="BD96" s="143">
        <v>0</v>
      </c>
      <c r="BE96" s="143">
        <v>0</v>
      </c>
      <c r="BF96" s="143">
        <v>0</v>
      </c>
      <c r="BG96" s="143">
        <v>0</v>
      </c>
      <c r="BH96" s="139"/>
      <c r="BI96" s="139"/>
      <c r="BJ96" s="139"/>
      <c r="BK96" s="139"/>
      <c r="BL96" s="139"/>
      <c r="BM96" s="139"/>
      <c r="BN96" s="143">
        <v>59.16</v>
      </c>
      <c r="BO96" s="143">
        <v>0</v>
      </c>
      <c r="BP96" s="139"/>
      <c r="BQ96" s="139"/>
      <c r="BR96" s="127"/>
      <c r="BS96" s="139"/>
      <c r="BT96" s="139"/>
      <c r="BU96" s="139"/>
      <c r="BV96" s="139"/>
      <c r="BW96" s="139"/>
      <c r="BX96" s="139"/>
      <c r="BY96" s="139"/>
      <c r="BZ96" s="139"/>
      <c r="CA96" s="147">
        <v>0</v>
      </c>
      <c r="CB96" s="139"/>
      <c r="CC96" s="139"/>
      <c r="CD96" s="139"/>
      <c r="CE96" s="139"/>
      <c r="CF96" s="139"/>
      <c r="CG96" s="139"/>
      <c r="CH96" s="139"/>
      <c r="CI96" s="139"/>
      <c r="CJ96" s="139"/>
      <c r="CK96" s="139"/>
      <c r="CL96" s="139"/>
      <c r="CM96" s="139"/>
      <c r="CN96" s="139"/>
      <c r="CO96" s="127"/>
      <c r="CP96" s="139"/>
      <c r="CQ96" s="139"/>
      <c r="CR96" s="139"/>
      <c r="CS96" s="139"/>
      <c r="CT96" s="139"/>
      <c r="CU96" s="143">
        <v>-19861.259999999998</v>
      </c>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45"/>
      <c r="IO96" s="139"/>
      <c r="IP96" s="139"/>
      <c r="IQ96" s="139"/>
      <c r="IR96" s="139"/>
      <c r="IS96" s="139"/>
      <c r="IT96" s="139"/>
      <c r="IU96" s="139"/>
      <c r="IV96" s="139"/>
      <c r="IW96" s="139"/>
      <c r="IX96" s="139"/>
      <c r="IY96" s="139"/>
      <c r="IZ96" s="139"/>
      <c r="JA96" s="139"/>
      <c r="JB96" s="139"/>
      <c r="JC96" s="139"/>
      <c r="JD96" s="139"/>
      <c r="JE96" s="139"/>
      <c r="JF96" s="139"/>
      <c r="JG96" s="139"/>
      <c r="JH96" s="139"/>
      <c r="JI96" s="139"/>
      <c r="JJ96" s="139"/>
      <c r="JK96" s="139"/>
      <c r="JL96" s="139"/>
      <c r="JM96" s="139"/>
      <c r="JN96" s="139"/>
      <c r="JO96" s="139"/>
      <c r="JP96" s="139"/>
      <c r="JQ96" s="139"/>
      <c r="JR96" s="139"/>
      <c r="JS96" s="139"/>
      <c r="JT96" s="139"/>
      <c r="JU96" s="139"/>
      <c r="JV96" s="632"/>
      <c r="JW96" s="414"/>
      <c r="JX96" s="414"/>
      <c r="JY96" s="414"/>
      <c r="JZ96" s="414"/>
      <c r="KA96" s="414"/>
      <c r="KB96" s="414"/>
      <c r="KC96" s="414"/>
      <c r="KD96" s="414"/>
      <c r="KE96" s="414"/>
      <c r="KF96" s="414"/>
      <c r="KG96" s="414"/>
      <c r="KH96" s="414"/>
      <c r="KI96" s="633"/>
    </row>
    <row r="97" spans="1:295" x14ac:dyDescent="0.2">
      <c r="B97" s="24" t="s">
        <v>135</v>
      </c>
      <c r="D97" s="142">
        <v>43551.96</v>
      </c>
      <c r="E97" s="142">
        <v>74590.240000000005</v>
      </c>
      <c r="F97" s="142">
        <v>64829.06</v>
      </c>
      <c r="G97" s="142">
        <v>54666.46</v>
      </c>
      <c r="H97" s="142">
        <v>45680.36</v>
      </c>
      <c r="I97" s="142">
        <v>3029.3</v>
      </c>
      <c r="J97" s="142">
        <v>-28222.9</v>
      </c>
      <c r="K97" s="142">
        <v>-47503.09</v>
      </c>
      <c r="L97" s="142">
        <v>-80251.77</v>
      </c>
      <c r="M97" s="142">
        <v>-71149.86</v>
      </c>
      <c r="N97" s="142">
        <v>-67493.119999999995</v>
      </c>
      <c r="O97" s="142">
        <v>-46885.45</v>
      </c>
      <c r="P97" s="142">
        <v>-23462.87</v>
      </c>
      <c r="Q97" s="142">
        <v>-3071.11</v>
      </c>
      <c r="R97" s="142">
        <v>13566.24</v>
      </c>
      <c r="S97" s="142">
        <v>18208.580000000002</v>
      </c>
      <c r="T97" s="142">
        <v>11603.05</v>
      </c>
      <c r="U97" s="142">
        <v>-2402.63</v>
      </c>
      <c r="V97" s="142">
        <v>44735.96</v>
      </c>
      <c r="W97" s="142">
        <v>-8766.09</v>
      </c>
      <c r="X97" s="142">
        <v>-13776.77</v>
      </c>
      <c r="Y97" s="142">
        <v>-14338.59</v>
      </c>
      <c r="Z97" s="142">
        <v>-7254.5</v>
      </c>
      <c r="AA97" s="142">
        <v>9577.41</v>
      </c>
      <c r="AB97" s="142">
        <v>28391.55</v>
      </c>
      <c r="AC97" s="142">
        <v>44017.22</v>
      </c>
      <c r="AD97" s="142">
        <v>59150.93</v>
      </c>
      <c r="AE97" s="142">
        <v>42275.839999999997</v>
      </c>
      <c r="AF97" s="142">
        <v>28712.13</v>
      </c>
      <c r="AG97" s="142">
        <v>14567.67</v>
      </c>
      <c r="AH97" s="142">
        <v>-4297.1099999999997</v>
      </c>
      <c r="AI97" s="142">
        <v>-13862.94</v>
      </c>
      <c r="AJ97" s="142">
        <v>-19407.310000000001</v>
      </c>
      <c r="AK97" s="142">
        <v>-12742.29</v>
      </c>
      <c r="AL97" s="142">
        <v>-1775.13</v>
      </c>
      <c r="AM97" s="142">
        <v>12383.95</v>
      </c>
      <c r="AN97" s="142">
        <v>29635.54</v>
      </c>
      <c r="AO97" s="142">
        <v>45741.59</v>
      </c>
      <c r="AP97" s="142">
        <v>57844.97</v>
      </c>
      <c r="AQ97" s="142">
        <v>69442.990000000005</v>
      </c>
      <c r="AR97" s="142">
        <v>30786.01</v>
      </c>
      <c r="AS97" s="142">
        <v>36422.92</v>
      </c>
      <c r="AT97" s="142">
        <v>21184.7</v>
      </c>
      <c r="AU97" s="142">
        <v>9116.7900000000009</v>
      </c>
      <c r="AV97" s="142">
        <v>15549.4</v>
      </c>
      <c r="AW97" s="142">
        <v>-20327.88</v>
      </c>
      <c r="AX97" s="142">
        <v>77305.38</v>
      </c>
      <c r="AY97" s="142">
        <v>50862.14</v>
      </c>
      <c r="AZ97" s="143">
        <v>51458.78</v>
      </c>
      <c r="BA97" s="143">
        <v>71764.03</v>
      </c>
      <c r="BB97" s="143">
        <v>85503.28</v>
      </c>
      <c r="BC97" s="143">
        <v>61065.97</v>
      </c>
      <c r="BD97" s="143">
        <v>48528.47</v>
      </c>
      <c r="BE97" s="143">
        <v>30527.32</v>
      </c>
      <c r="BF97" s="143">
        <v>32785.129999999997</v>
      </c>
      <c r="BG97" s="143">
        <v>17252.669999999998</v>
      </c>
      <c r="BH97" s="143">
        <v>3550.12</v>
      </c>
      <c r="BI97" s="143">
        <v>-3492.62</v>
      </c>
      <c r="BJ97" s="143">
        <v>4971.5600000000004</v>
      </c>
      <c r="BK97" s="151">
        <v>24902.83</v>
      </c>
      <c r="BL97" s="151">
        <v>58011.73</v>
      </c>
      <c r="BM97" s="151">
        <v>90091.07</v>
      </c>
      <c r="BN97" s="151">
        <v>118639.73</v>
      </c>
      <c r="BO97" s="151">
        <v>155730.87</v>
      </c>
      <c r="BP97" s="151">
        <v>75120.98</v>
      </c>
      <c r="BQ97" s="151">
        <v>8918.9</v>
      </c>
      <c r="BR97" s="152">
        <v>8181.46</v>
      </c>
      <c r="BS97" s="151">
        <v>-38248.800000000003</v>
      </c>
      <c r="BT97" s="151">
        <v>-35179.29</v>
      </c>
      <c r="BU97" s="151">
        <v>-38444.910000000003</v>
      </c>
      <c r="BV97" s="151">
        <v>-50138.14</v>
      </c>
      <c r="BW97" s="151">
        <v>-21852.61</v>
      </c>
      <c r="BX97" s="151">
        <v>13397.82</v>
      </c>
      <c r="BY97" s="184">
        <v>56840.51</v>
      </c>
      <c r="BZ97" s="184">
        <v>96222.43</v>
      </c>
      <c r="CA97" s="147">
        <v>132948.03</v>
      </c>
      <c r="CB97" s="151">
        <v>47490.92</v>
      </c>
      <c r="CC97" s="151">
        <v>84260.64</v>
      </c>
      <c r="CD97" s="151">
        <v>46116.47</v>
      </c>
      <c r="CE97" s="151">
        <v>4494.53</v>
      </c>
      <c r="CF97" s="151">
        <v>-14564.94</v>
      </c>
      <c r="CG97" s="151">
        <v>-34491.480000000003</v>
      </c>
      <c r="CH97" s="151">
        <v>-37611.08</v>
      </c>
      <c r="CI97" s="151">
        <v>-14850.89</v>
      </c>
      <c r="CJ97" s="151">
        <v>8210.2800000000007</v>
      </c>
      <c r="CK97" s="151">
        <v>35406.15</v>
      </c>
      <c r="CL97" s="151">
        <v>58719.62</v>
      </c>
      <c r="CM97" s="151">
        <v>49912.17</v>
      </c>
      <c r="CN97" s="151">
        <v>59030.2</v>
      </c>
      <c r="CO97" s="152">
        <v>61828.89</v>
      </c>
      <c r="CP97" s="151">
        <v>27028.2</v>
      </c>
      <c r="CQ97" s="151">
        <v>3919.62</v>
      </c>
      <c r="CR97" s="151">
        <v>-7570.12</v>
      </c>
      <c r="CS97" s="151">
        <v>-13660.85</v>
      </c>
      <c r="CT97" s="151">
        <v>-10520.31</v>
      </c>
      <c r="CU97" s="151">
        <v>-4083.39</v>
      </c>
      <c r="CV97" s="151">
        <v>8767.5300000000007</v>
      </c>
      <c r="CW97" s="151">
        <v>25814.720000000001</v>
      </c>
      <c r="CX97" s="151">
        <v>39495.4</v>
      </c>
      <c r="CY97" s="151">
        <v>33316.379999999997</v>
      </c>
      <c r="CZ97" s="185">
        <v>35153.51</v>
      </c>
      <c r="DA97" s="151">
        <v>29789.85</v>
      </c>
      <c r="DB97" s="186">
        <v>10341.74</v>
      </c>
      <c r="DC97" s="186">
        <v>7742.15</v>
      </c>
      <c r="DD97" s="151">
        <v>8161.92</v>
      </c>
      <c r="DE97" s="151">
        <v>7347.97</v>
      </c>
      <c r="DF97" s="184">
        <v>9837.32</v>
      </c>
      <c r="DG97" s="151">
        <v>16961.72</v>
      </c>
      <c r="DH97" s="143">
        <v>30270.1</v>
      </c>
      <c r="DI97" s="143">
        <v>46313.88</v>
      </c>
      <c r="DJ97" s="143">
        <v>58077.69</v>
      </c>
      <c r="DK97" s="143">
        <v>74090.61</v>
      </c>
      <c r="DL97" s="143">
        <v>35691.4</v>
      </c>
      <c r="DM97" s="143">
        <v>27192.09</v>
      </c>
      <c r="DN97" s="143">
        <v>13505.68</v>
      </c>
      <c r="DO97" s="143">
        <v>-1963.57</v>
      </c>
      <c r="DP97" s="143">
        <v>-15756.91</v>
      </c>
      <c r="DQ97" s="143">
        <v>-22295.73</v>
      </c>
      <c r="DR97" s="143">
        <v>-28675.38</v>
      </c>
      <c r="DS97" s="143">
        <v>-23703.83</v>
      </c>
      <c r="DT97" s="143">
        <v>-12913.83</v>
      </c>
      <c r="DU97" s="143">
        <v>3399.02</v>
      </c>
      <c r="DV97" s="143">
        <v>16185.4</v>
      </c>
      <c r="DW97" s="143">
        <v>17750.8</v>
      </c>
      <c r="DX97" s="143">
        <v>21458.46</v>
      </c>
      <c r="DY97" s="143">
        <v>5854.26</v>
      </c>
      <c r="DZ97" s="143">
        <v>-12698.13</v>
      </c>
      <c r="EA97" s="143">
        <v>-32434.87</v>
      </c>
      <c r="EB97" s="143">
        <v>-49151.81</v>
      </c>
      <c r="EC97" s="143">
        <v>-64577.73</v>
      </c>
      <c r="ED97" s="143">
        <v>-65538.789999999994</v>
      </c>
      <c r="EE97" s="143">
        <v>-56456.21</v>
      </c>
      <c r="EF97" s="143">
        <v>-46912.61</v>
      </c>
      <c r="EG97" s="143">
        <v>-31580.92</v>
      </c>
      <c r="EH97" s="143">
        <v>-14524.14</v>
      </c>
      <c r="EI97" s="143">
        <v>-825.15</v>
      </c>
      <c r="EJ97" s="143">
        <v>2058.7399999999998</v>
      </c>
      <c r="EK97" s="143">
        <v>-5745.45</v>
      </c>
      <c r="EL97" s="143">
        <v>-24076.34</v>
      </c>
      <c r="EM97" s="143">
        <v>-45048.31</v>
      </c>
      <c r="EN97" s="143">
        <v>-61998.68</v>
      </c>
      <c r="EO97" s="143">
        <v>-64319.31</v>
      </c>
      <c r="EP97" s="143">
        <v>-65878.67</v>
      </c>
      <c r="EQ97" s="143">
        <v>-53029.919999999998</v>
      </c>
      <c r="ER97" s="143">
        <v>-38728.449999999997</v>
      </c>
      <c r="ES97" s="143">
        <v>-20208.419999999998</v>
      </c>
      <c r="ET97" s="185">
        <v>-934.04</v>
      </c>
      <c r="EU97" s="185">
        <v>13201.78</v>
      </c>
      <c r="EV97" s="185">
        <v>13775.65</v>
      </c>
      <c r="EW97" s="185">
        <v>5091.03</v>
      </c>
      <c r="EX97" s="185">
        <v>-20951.88</v>
      </c>
      <c r="EY97" s="185">
        <v>-36665.67</v>
      </c>
      <c r="EZ97" s="185">
        <v>-61160.09</v>
      </c>
      <c r="FA97" s="185">
        <v>-65454.47</v>
      </c>
      <c r="FB97" s="185">
        <v>-64441.02</v>
      </c>
      <c r="FC97" s="185">
        <v>-53959.85</v>
      </c>
      <c r="FD97" s="185">
        <v>-40389.11</v>
      </c>
      <c r="FE97" s="143">
        <v>-22802.35</v>
      </c>
      <c r="FF97" s="143">
        <v>-4870.87</v>
      </c>
      <c r="FG97" s="143">
        <v>10848.1</v>
      </c>
      <c r="FH97" s="143">
        <v>19350.689999999999</v>
      </c>
      <c r="FI97" s="143">
        <v>9831.2999999999993</v>
      </c>
      <c r="FJ97" s="143">
        <v>-2195.27</v>
      </c>
      <c r="FK97" s="143">
        <v>-9931.15</v>
      </c>
      <c r="FL97" s="143">
        <v>-13671.75</v>
      </c>
      <c r="FM97" s="143">
        <v>-12637.33</v>
      </c>
      <c r="FN97" s="143">
        <v>-10807.75</v>
      </c>
      <c r="FO97" s="143">
        <v>741.83</v>
      </c>
      <c r="FP97" s="143">
        <v>16509.22</v>
      </c>
      <c r="FQ97" s="143">
        <v>30732.1</v>
      </c>
      <c r="FR97" s="143">
        <v>43333.25</v>
      </c>
      <c r="FS97" s="143">
        <v>66065.98</v>
      </c>
      <c r="FT97" s="143">
        <v>49300.98</v>
      </c>
      <c r="FU97" s="143">
        <v>43082.97</v>
      </c>
      <c r="FV97" s="143">
        <v>27181.69</v>
      </c>
      <c r="FW97" s="143">
        <v>10794.79</v>
      </c>
      <c r="FX97" s="143">
        <v>6908.24</v>
      </c>
      <c r="FY97" s="143">
        <v>3993.53</v>
      </c>
      <c r="FZ97" s="143">
        <v>11295.96</v>
      </c>
      <c r="GA97" s="143">
        <v>23135.52</v>
      </c>
      <c r="GB97" s="143">
        <v>39854.28</v>
      </c>
      <c r="GC97" s="143">
        <v>57275.27</v>
      </c>
      <c r="GD97" s="143">
        <v>73945.89</v>
      </c>
      <c r="GE97" s="143">
        <v>90703.27</v>
      </c>
      <c r="GF97" s="143">
        <v>43941.59</v>
      </c>
      <c r="GG97" s="143">
        <v>44708.04</v>
      </c>
      <c r="GH97" s="143">
        <v>18643.419999999998</v>
      </c>
      <c r="GI97" s="143">
        <v>-9899.99</v>
      </c>
      <c r="GJ97" s="143">
        <v>-30240.53</v>
      </c>
      <c r="GK97" s="143">
        <v>-42883.24</v>
      </c>
      <c r="GL97" s="143">
        <v>-47259.03</v>
      </c>
      <c r="GM97" s="143">
        <v>-38258.81</v>
      </c>
      <c r="GN97" s="143">
        <v>-24079.51</v>
      </c>
      <c r="GO97" s="143">
        <v>-4149.1400000000003</v>
      </c>
      <c r="GP97" s="143">
        <v>15887.65</v>
      </c>
      <c r="GQ97" s="143">
        <v>35623.11</v>
      </c>
      <c r="GR97" s="143">
        <v>37653.58</v>
      </c>
      <c r="GS97" s="143">
        <v>29223.86</v>
      </c>
      <c r="GT97" s="143">
        <v>1711.53</v>
      </c>
      <c r="GU97" s="143">
        <v>-14445.58</v>
      </c>
      <c r="GV97" s="143">
        <v>-37283.03</v>
      </c>
      <c r="GW97" s="143">
        <v>-50314.57</v>
      </c>
      <c r="GX97" s="143">
        <v>-52308.06</v>
      </c>
      <c r="GY97" s="143">
        <v>-33072.9</v>
      </c>
      <c r="GZ97" s="143">
        <v>-15710.98</v>
      </c>
      <c r="HA97" s="143">
        <v>10327.84</v>
      </c>
      <c r="HB97" s="143">
        <v>33116.089999999997</v>
      </c>
      <c r="HC97" s="143">
        <f>-33116.09+33116.09+58250.93</f>
        <v>58250.93</v>
      </c>
      <c r="HD97" s="143">
        <v>61979.47</v>
      </c>
      <c r="HE97" s="143">
        <v>56866.81</v>
      </c>
      <c r="HF97" s="143">
        <v>28586.13</v>
      </c>
      <c r="HG97" s="143">
        <v>4738.2299999999996</v>
      </c>
      <c r="HH97" s="143">
        <v>-35907.160000000003</v>
      </c>
      <c r="HI97" s="143">
        <v>-48433.68</v>
      </c>
      <c r="HJ97" s="143">
        <v>-47109.42</v>
      </c>
      <c r="HK97" s="143">
        <v>-27346.92</v>
      </c>
      <c r="HL97" s="143">
        <v>-2895.76</v>
      </c>
      <c r="HM97" s="143">
        <v>25004.05</v>
      </c>
      <c r="HN97" s="143">
        <v>52200.94</v>
      </c>
      <c r="HO97" s="143">
        <v>75498.460000000006</v>
      </c>
      <c r="HP97" s="143">
        <v>70783.149999999994</v>
      </c>
      <c r="HQ97" s="143">
        <v>59638.04</v>
      </c>
      <c r="HR97" s="143">
        <v>23568.97</v>
      </c>
      <c r="HS97" s="143">
        <v>-6773.72</v>
      </c>
      <c r="HT97" s="143">
        <v>-33273.35</v>
      </c>
      <c r="HU97" s="143">
        <v>-50474.34</v>
      </c>
      <c r="HV97" s="143">
        <v>-50186.54</v>
      </c>
      <c r="HW97" s="143">
        <v>-31498.85</v>
      </c>
      <c r="HX97" s="143">
        <v>-8947.3700000000008</v>
      </c>
      <c r="HY97" s="187">
        <v>10927.33</v>
      </c>
      <c r="HZ97" s="15">
        <v>30542.12</v>
      </c>
      <c r="IA97" s="15">
        <v>46654.8</v>
      </c>
      <c r="IB97" s="15">
        <v>43493.94</v>
      </c>
      <c r="IC97" s="15">
        <v>33408.800000000003</v>
      </c>
      <c r="ID97" s="15">
        <v>15435.05</v>
      </c>
      <c r="IE97" s="15">
        <v>-2603.19</v>
      </c>
      <c r="IF97" s="15">
        <v>-25067.91</v>
      </c>
      <c r="IG97" s="15">
        <v>-37677.360000000001</v>
      </c>
      <c r="IH97" s="15">
        <v>-37895.58</v>
      </c>
      <c r="II97" s="15">
        <v>-26160.57</v>
      </c>
      <c r="IJ97" s="15">
        <v>-10555.53</v>
      </c>
      <c r="IK97" s="15">
        <v>9438.44</v>
      </c>
      <c r="IL97" s="15">
        <v>27490.52</v>
      </c>
      <c r="IM97" s="15">
        <v>43533.62</v>
      </c>
      <c r="IN97" s="15">
        <v>37545.43</v>
      </c>
      <c r="IO97" s="15">
        <v>36983.1</v>
      </c>
      <c r="IP97" s="15">
        <v>12528.35</v>
      </c>
      <c r="IQ97" s="15">
        <v>-9223.92</v>
      </c>
      <c r="IR97" s="15">
        <v>-25039.15</v>
      </c>
      <c r="IS97" s="15">
        <v>-31820.31</v>
      </c>
      <c r="IT97" s="15">
        <v>-38556.639999999999</v>
      </c>
      <c r="IU97" s="15">
        <v>-30725.07</v>
      </c>
      <c r="IV97" s="15">
        <v>-18095.810000000001</v>
      </c>
      <c r="IW97" s="15">
        <v>2917.86</v>
      </c>
      <c r="IX97" s="15">
        <v>25430.66</v>
      </c>
      <c r="IY97" s="15">
        <v>63475.27</v>
      </c>
      <c r="IZ97" s="15">
        <v>74495.55</v>
      </c>
      <c r="JA97" s="15">
        <v>47796.6</v>
      </c>
      <c r="JB97" s="15">
        <v>7341.97</v>
      </c>
      <c r="JC97" s="15">
        <v>-29881.56</v>
      </c>
      <c r="JD97" s="15">
        <v>-75068.710000000006</v>
      </c>
      <c r="JE97" s="15">
        <v>-124520.27</v>
      </c>
      <c r="JF97" s="15">
        <v>-146870.31</v>
      </c>
      <c r="JG97" s="15">
        <v>-116354.75</v>
      </c>
      <c r="JH97" s="15">
        <v>-93730.22</v>
      </c>
      <c r="JI97" s="15">
        <v>-49934.07</v>
      </c>
      <c r="JJ97" s="145">
        <v>-7062.94</v>
      </c>
      <c r="JK97" s="145">
        <v>27306.89</v>
      </c>
      <c r="JL97" s="145">
        <v>30759.65</v>
      </c>
      <c r="JM97" s="145">
        <v>1565.5</v>
      </c>
      <c r="JN97" s="145">
        <v>-33368.28</v>
      </c>
      <c r="JO97" s="145">
        <v>-89208</v>
      </c>
      <c r="JP97" s="145">
        <v>-134071.43</v>
      </c>
      <c r="JQ97" s="145">
        <v>-159877.65</v>
      </c>
      <c r="JR97" s="145">
        <v>-171718.68</v>
      </c>
      <c r="JS97" s="145">
        <v>-147006.75</v>
      </c>
      <c r="JT97" s="145">
        <v>-118835.54</v>
      </c>
      <c r="JU97" s="395">
        <v>-72153.539999999994</v>
      </c>
      <c r="JV97" s="634"/>
      <c r="JW97" s="413"/>
      <c r="JX97" s="413"/>
      <c r="JY97" s="413"/>
      <c r="JZ97" s="413"/>
      <c r="KA97" s="413"/>
      <c r="KB97" s="413"/>
      <c r="KC97" s="413"/>
      <c r="KD97" s="413"/>
      <c r="KE97" s="413"/>
      <c r="KF97" s="413"/>
      <c r="KG97" s="413"/>
      <c r="KH97" s="413"/>
      <c r="KI97" s="635"/>
    </row>
    <row r="98" spans="1:295" x14ac:dyDescent="0.2">
      <c r="B98" s="24" t="s">
        <v>108</v>
      </c>
      <c r="D98" s="180">
        <f t="shared" ref="D98:AI98" si="264">SUM(D95:D97)</f>
        <v>43551.96</v>
      </c>
      <c r="E98" s="180">
        <f t="shared" si="264"/>
        <v>10375.190000000002</v>
      </c>
      <c r="F98" s="180">
        <f t="shared" si="264"/>
        <v>64829.06</v>
      </c>
      <c r="G98" s="180">
        <f t="shared" si="264"/>
        <v>54666.46</v>
      </c>
      <c r="H98" s="180">
        <f t="shared" si="264"/>
        <v>45680.36</v>
      </c>
      <c r="I98" s="180">
        <f t="shared" si="264"/>
        <v>3029.3</v>
      </c>
      <c r="J98" s="180">
        <f t="shared" si="264"/>
        <v>-28222.9</v>
      </c>
      <c r="K98" s="180">
        <f t="shared" si="264"/>
        <v>-47503.09</v>
      </c>
      <c r="L98" s="180">
        <f t="shared" si="264"/>
        <v>-80251.77</v>
      </c>
      <c r="M98" s="180">
        <f t="shared" si="264"/>
        <v>-71149.86</v>
      </c>
      <c r="N98" s="180">
        <f t="shared" si="264"/>
        <v>-67493.119999999995</v>
      </c>
      <c r="O98" s="180">
        <f t="shared" si="264"/>
        <v>-46885.45</v>
      </c>
      <c r="P98" s="180">
        <f t="shared" si="264"/>
        <v>-23462.87</v>
      </c>
      <c r="Q98" s="180">
        <f t="shared" si="264"/>
        <v>-3071.11</v>
      </c>
      <c r="R98" s="180">
        <f t="shared" si="264"/>
        <v>13566.24</v>
      </c>
      <c r="S98" s="180">
        <f t="shared" si="264"/>
        <v>18208.580000000002</v>
      </c>
      <c r="T98" s="180">
        <f t="shared" si="264"/>
        <v>11603.05</v>
      </c>
      <c r="U98" s="180">
        <f t="shared" si="264"/>
        <v>-2402.63</v>
      </c>
      <c r="V98" s="180">
        <f t="shared" si="264"/>
        <v>212796.13</v>
      </c>
      <c r="W98" s="180">
        <f t="shared" si="264"/>
        <v>-8766.09</v>
      </c>
      <c r="X98" s="180">
        <f t="shared" si="264"/>
        <v>-13776.77</v>
      </c>
      <c r="Y98" s="180">
        <f t="shared" si="264"/>
        <v>-45732.11</v>
      </c>
      <c r="Z98" s="180">
        <f t="shared" si="264"/>
        <v>-7254.5</v>
      </c>
      <c r="AA98" s="180">
        <f t="shared" si="264"/>
        <v>9577.41</v>
      </c>
      <c r="AB98" s="180">
        <f t="shared" si="264"/>
        <v>28391.55</v>
      </c>
      <c r="AC98" s="180">
        <f t="shared" si="264"/>
        <v>44017.22</v>
      </c>
      <c r="AD98" s="180">
        <f t="shared" si="264"/>
        <v>59150.93</v>
      </c>
      <c r="AE98" s="180">
        <f t="shared" si="264"/>
        <v>-17534.570000000007</v>
      </c>
      <c r="AF98" s="180">
        <f t="shared" si="264"/>
        <v>28712.13</v>
      </c>
      <c r="AG98" s="180">
        <f t="shared" si="264"/>
        <v>14567.67</v>
      </c>
      <c r="AH98" s="180">
        <f t="shared" si="264"/>
        <v>-4297.1099999999997</v>
      </c>
      <c r="AI98" s="180">
        <f t="shared" si="264"/>
        <v>-13862.94</v>
      </c>
      <c r="AJ98" s="180">
        <f t="shared" ref="AJ98:BQ98" si="265">SUM(AJ95:AJ97)</f>
        <v>-19407.310000000001</v>
      </c>
      <c r="AK98" s="180">
        <f t="shared" si="265"/>
        <v>-12742.29</v>
      </c>
      <c r="AL98" s="180">
        <f t="shared" si="265"/>
        <v>-1775.13</v>
      </c>
      <c r="AM98" s="180">
        <f t="shared" si="265"/>
        <v>12383.95</v>
      </c>
      <c r="AN98" s="180">
        <f t="shared" si="265"/>
        <v>29635.54</v>
      </c>
      <c r="AO98" s="180">
        <f t="shared" si="265"/>
        <v>45741.59</v>
      </c>
      <c r="AP98" s="180">
        <f t="shared" si="265"/>
        <v>57844.97</v>
      </c>
      <c r="AQ98" s="180">
        <f t="shared" si="265"/>
        <v>-27265.009999999995</v>
      </c>
      <c r="AR98" s="180">
        <f t="shared" si="265"/>
        <v>30786.01</v>
      </c>
      <c r="AS98" s="180">
        <f t="shared" si="265"/>
        <v>36422.92</v>
      </c>
      <c r="AT98" s="180">
        <f t="shared" si="265"/>
        <v>21184.7</v>
      </c>
      <c r="AU98" s="180">
        <f t="shared" si="265"/>
        <v>9116.7900000000009</v>
      </c>
      <c r="AV98" s="180">
        <f t="shared" si="265"/>
        <v>15549.4</v>
      </c>
      <c r="AW98" s="180">
        <f t="shared" si="265"/>
        <v>-20327.88</v>
      </c>
      <c r="AX98" s="180">
        <f t="shared" si="265"/>
        <v>77305.38</v>
      </c>
      <c r="AY98" s="180">
        <f t="shared" si="265"/>
        <v>-277146.25</v>
      </c>
      <c r="AZ98" s="180">
        <f t="shared" si="265"/>
        <v>51458.78</v>
      </c>
      <c r="BA98" s="180">
        <f t="shared" si="265"/>
        <v>71764.03</v>
      </c>
      <c r="BB98" s="180">
        <f t="shared" si="265"/>
        <v>85503.28</v>
      </c>
      <c r="BC98" s="180">
        <f t="shared" si="265"/>
        <v>-136486.03</v>
      </c>
      <c r="BD98" s="180">
        <f t="shared" si="265"/>
        <v>48528.47</v>
      </c>
      <c r="BE98" s="180">
        <f t="shared" si="265"/>
        <v>30527.32</v>
      </c>
      <c r="BF98" s="180">
        <f t="shared" si="265"/>
        <v>32785.129999999997</v>
      </c>
      <c r="BG98" s="180">
        <f t="shared" si="265"/>
        <v>17252.669999999998</v>
      </c>
      <c r="BH98" s="180">
        <f t="shared" si="265"/>
        <v>3550.12</v>
      </c>
      <c r="BI98" s="180">
        <f t="shared" si="265"/>
        <v>-3492.62</v>
      </c>
      <c r="BJ98" s="180">
        <f t="shared" si="265"/>
        <v>4971.5600000000004</v>
      </c>
      <c r="BK98" s="180">
        <f t="shared" si="265"/>
        <v>24902.83</v>
      </c>
      <c r="BL98" s="180">
        <f t="shared" si="265"/>
        <v>58011.73</v>
      </c>
      <c r="BM98" s="180">
        <f t="shared" si="265"/>
        <v>90091.07</v>
      </c>
      <c r="BN98" s="180">
        <f t="shared" si="265"/>
        <v>118698.89</v>
      </c>
      <c r="BO98" s="180">
        <f t="shared" si="265"/>
        <v>-257852.13</v>
      </c>
      <c r="BP98" s="180">
        <f t="shared" si="265"/>
        <v>75120.98</v>
      </c>
      <c r="BQ98" s="180">
        <f t="shared" si="265"/>
        <v>8918.9</v>
      </c>
      <c r="BR98" s="180">
        <f>ROUND(SUM(BR95:BR97),2)</f>
        <v>8181.46</v>
      </c>
      <c r="BS98" s="180">
        <f t="shared" ref="BS98:ED98" si="266">ROUND(SUM(BS95:BS97),2)</f>
        <v>-38248.800000000003</v>
      </c>
      <c r="BT98" s="180">
        <f t="shared" si="266"/>
        <v>-35179.29</v>
      </c>
      <c r="BU98" s="180">
        <f t="shared" si="266"/>
        <v>-38444.910000000003</v>
      </c>
      <c r="BV98" s="180">
        <f t="shared" si="266"/>
        <v>-50138.14</v>
      </c>
      <c r="BW98" s="180">
        <f t="shared" si="266"/>
        <v>-21852.61</v>
      </c>
      <c r="BX98" s="180">
        <f t="shared" si="266"/>
        <v>13397.82</v>
      </c>
      <c r="BY98" s="180">
        <f t="shared" si="266"/>
        <v>56840.51</v>
      </c>
      <c r="BZ98" s="180">
        <f t="shared" si="266"/>
        <v>96222.43</v>
      </c>
      <c r="CA98" s="180">
        <f t="shared" si="266"/>
        <v>-81945.97</v>
      </c>
      <c r="CB98" s="180">
        <f t="shared" si="266"/>
        <v>47490.92</v>
      </c>
      <c r="CC98" s="180">
        <f t="shared" si="266"/>
        <v>84260.64</v>
      </c>
      <c r="CD98" s="180">
        <f t="shared" si="266"/>
        <v>46116.47</v>
      </c>
      <c r="CE98" s="180">
        <f t="shared" si="266"/>
        <v>4494.53</v>
      </c>
      <c r="CF98" s="180">
        <f t="shared" si="266"/>
        <v>-14564.94</v>
      </c>
      <c r="CG98" s="180">
        <f t="shared" si="266"/>
        <v>-34491.480000000003</v>
      </c>
      <c r="CH98" s="180">
        <f t="shared" si="266"/>
        <v>-37611.08</v>
      </c>
      <c r="CI98" s="154">
        <f t="shared" si="266"/>
        <v>-14850.89</v>
      </c>
      <c r="CJ98" s="180">
        <f t="shared" si="266"/>
        <v>8210.2800000000007</v>
      </c>
      <c r="CK98" s="180">
        <f t="shared" si="266"/>
        <v>35406.15</v>
      </c>
      <c r="CL98" s="180">
        <f t="shared" si="266"/>
        <v>58719.62</v>
      </c>
      <c r="CM98" s="180">
        <f t="shared" si="266"/>
        <v>-181108.83</v>
      </c>
      <c r="CN98" s="180">
        <f t="shared" si="266"/>
        <v>59030.2</v>
      </c>
      <c r="CO98" s="180">
        <f t="shared" si="266"/>
        <v>61828.89</v>
      </c>
      <c r="CP98" s="180">
        <f t="shared" si="266"/>
        <v>27028.2</v>
      </c>
      <c r="CQ98" s="180">
        <f t="shared" si="266"/>
        <v>3919.62</v>
      </c>
      <c r="CR98" s="180">
        <f t="shared" si="266"/>
        <v>-7570.12</v>
      </c>
      <c r="CS98" s="180">
        <f t="shared" si="266"/>
        <v>-13660.85</v>
      </c>
      <c r="CT98" s="180">
        <f t="shared" si="266"/>
        <v>-10520.31</v>
      </c>
      <c r="CU98" s="180">
        <f t="shared" si="266"/>
        <v>-23944.65</v>
      </c>
      <c r="CV98" s="180">
        <f t="shared" si="266"/>
        <v>8767.5300000000007</v>
      </c>
      <c r="CW98" s="180">
        <f t="shared" si="266"/>
        <v>25814.720000000001</v>
      </c>
      <c r="CX98" s="180">
        <f t="shared" si="266"/>
        <v>39495.4</v>
      </c>
      <c r="CY98" s="180">
        <f t="shared" si="266"/>
        <v>-191323.62</v>
      </c>
      <c r="CZ98" s="180">
        <f t="shared" si="266"/>
        <v>35153.51</v>
      </c>
      <c r="DA98" s="180">
        <f t="shared" si="266"/>
        <v>29789.85</v>
      </c>
      <c r="DB98" s="180">
        <f t="shared" si="266"/>
        <v>10341.74</v>
      </c>
      <c r="DC98" s="180">
        <f t="shared" si="266"/>
        <v>7742.15</v>
      </c>
      <c r="DD98" s="180">
        <f t="shared" si="266"/>
        <v>8161.92</v>
      </c>
      <c r="DE98" s="180">
        <f t="shared" si="266"/>
        <v>7347.97</v>
      </c>
      <c r="DF98" s="180">
        <f t="shared" si="266"/>
        <v>9837.32</v>
      </c>
      <c r="DG98" s="180">
        <f t="shared" si="266"/>
        <v>16961.72</v>
      </c>
      <c r="DH98" s="180">
        <f t="shared" si="266"/>
        <v>30270.1</v>
      </c>
      <c r="DI98" s="180">
        <f t="shared" si="266"/>
        <v>46313.88</v>
      </c>
      <c r="DJ98" s="180">
        <f t="shared" si="266"/>
        <v>58077.69</v>
      </c>
      <c r="DK98" s="180">
        <f t="shared" si="266"/>
        <v>74090.61</v>
      </c>
      <c r="DL98" s="172">
        <f t="shared" si="266"/>
        <v>-323196.59999999998</v>
      </c>
      <c r="DM98" s="172">
        <f t="shared" si="266"/>
        <v>27192.09</v>
      </c>
      <c r="DN98" s="172">
        <f t="shared" si="266"/>
        <v>13505.68</v>
      </c>
      <c r="DO98" s="172">
        <f t="shared" si="266"/>
        <v>-1963.57</v>
      </c>
      <c r="DP98" s="172">
        <f t="shared" si="266"/>
        <v>-15756.91</v>
      </c>
      <c r="DQ98" s="172">
        <f t="shared" si="266"/>
        <v>-22295.73</v>
      </c>
      <c r="DR98" s="172">
        <f t="shared" si="266"/>
        <v>-28675.38</v>
      </c>
      <c r="DS98" s="172">
        <f t="shared" si="266"/>
        <v>-23703.83</v>
      </c>
      <c r="DT98" s="172">
        <f t="shared" si="266"/>
        <v>-12913.83</v>
      </c>
      <c r="DU98" s="172">
        <f t="shared" si="266"/>
        <v>3399.02</v>
      </c>
      <c r="DV98" s="172">
        <f t="shared" si="266"/>
        <v>16185.4</v>
      </c>
      <c r="DW98" s="172">
        <f t="shared" si="266"/>
        <v>17750.8</v>
      </c>
      <c r="DX98" s="172">
        <f t="shared" si="266"/>
        <v>21458.46</v>
      </c>
      <c r="DY98" s="172">
        <f t="shared" si="266"/>
        <v>5854.26</v>
      </c>
      <c r="DZ98" s="172">
        <f t="shared" si="266"/>
        <v>-12698.13</v>
      </c>
      <c r="EA98" s="172">
        <f t="shared" si="266"/>
        <v>-32434.87</v>
      </c>
      <c r="EB98" s="172">
        <f t="shared" si="266"/>
        <v>-49151.81</v>
      </c>
      <c r="EC98" s="172">
        <f t="shared" si="266"/>
        <v>-64577.73</v>
      </c>
      <c r="ED98" s="172">
        <f t="shared" si="266"/>
        <v>-65538.789999999994</v>
      </c>
      <c r="EE98" s="172">
        <f t="shared" ref="EE98:GP98" si="267">ROUND(SUM(EE95:EE97),2)</f>
        <v>-56456.21</v>
      </c>
      <c r="EF98" s="172">
        <f t="shared" si="267"/>
        <v>-46912.61</v>
      </c>
      <c r="EG98" s="172">
        <f t="shared" si="267"/>
        <v>-31580.92</v>
      </c>
      <c r="EH98" s="172">
        <f t="shared" si="267"/>
        <v>-14524.14</v>
      </c>
      <c r="EI98" s="172">
        <f t="shared" si="267"/>
        <v>-825.15</v>
      </c>
      <c r="EJ98" s="172">
        <f t="shared" si="267"/>
        <v>2058.7399999999998</v>
      </c>
      <c r="EK98" s="172">
        <f t="shared" si="267"/>
        <v>-5745.45</v>
      </c>
      <c r="EL98" s="172">
        <f t="shared" si="267"/>
        <v>-24076.34</v>
      </c>
      <c r="EM98" s="172">
        <f t="shared" si="267"/>
        <v>-45048.31</v>
      </c>
      <c r="EN98" s="172">
        <f t="shared" si="267"/>
        <v>-61998.68</v>
      </c>
      <c r="EO98" s="172">
        <f t="shared" si="267"/>
        <v>-64319.31</v>
      </c>
      <c r="EP98" s="172">
        <f t="shared" si="267"/>
        <v>-65878.67</v>
      </c>
      <c r="EQ98" s="172">
        <f t="shared" si="267"/>
        <v>-53029.919999999998</v>
      </c>
      <c r="ER98" s="172">
        <f t="shared" si="267"/>
        <v>-38728.449999999997</v>
      </c>
      <c r="ES98" s="172">
        <f t="shared" si="267"/>
        <v>-20208.419999999998</v>
      </c>
      <c r="ET98" s="172">
        <f t="shared" si="267"/>
        <v>-934.04</v>
      </c>
      <c r="EU98" s="172">
        <f t="shared" si="267"/>
        <v>13201.78</v>
      </c>
      <c r="EV98" s="172">
        <f t="shared" si="267"/>
        <v>13775.65</v>
      </c>
      <c r="EW98" s="172">
        <f t="shared" si="267"/>
        <v>5091.03</v>
      </c>
      <c r="EX98" s="172">
        <f t="shared" si="267"/>
        <v>-20951.88</v>
      </c>
      <c r="EY98" s="172">
        <f t="shared" si="267"/>
        <v>-36665.67</v>
      </c>
      <c r="EZ98" s="172">
        <f t="shared" si="267"/>
        <v>-61160.09</v>
      </c>
      <c r="FA98" s="172">
        <f t="shared" si="267"/>
        <v>-65454.47</v>
      </c>
      <c r="FB98" s="172">
        <f t="shared" si="267"/>
        <v>-64441.02</v>
      </c>
      <c r="FC98" s="172">
        <f t="shared" si="267"/>
        <v>-53959.85</v>
      </c>
      <c r="FD98" s="172">
        <f t="shared" si="267"/>
        <v>-40389.11</v>
      </c>
      <c r="FE98" s="172">
        <f t="shared" si="267"/>
        <v>-22802.35</v>
      </c>
      <c r="FF98" s="172">
        <f t="shared" si="267"/>
        <v>-4870.87</v>
      </c>
      <c r="FG98" s="172">
        <f t="shared" si="267"/>
        <v>10848.1</v>
      </c>
      <c r="FH98" s="172">
        <f t="shared" si="267"/>
        <v>19350.689999999999</v>
      </c>
      <c r="FI98" s="172">
        <f t="shared" si="267"/>
        <v>9831.2999999999993</v>
      </c>
      <c r="FJ98" s="172">
        <f t="shared" si="267"/>
        <v>-2195.27</v>
      </c>
      <c r="FK98" s="172">
        <f t="shared" si="267"/>
        <v>-9931.15</v>
      </c>
      <c r="FL98" s="172">
        <f t="shared" si="267"/>
        <v>-13671.75</v>
      </c>
      <c r="FM98" s="172">
        <f t="shared" si="267"/>
        <v>-12637.33</v>
      </c>
      <c r="FN98" s="172">
        <f t="shared" si="267"/>
        <v>-10807.75</v>
      </c>
      <c r="FO98" s="172">
        <f t="shared" si="267"/>
        <v>741.83</v>
      </c>
      <c r="FP98" s="172">
        <f t="shared" si="267"/>
        <v>16509.22</v>
      </c>
      <c r="FQ98" s="172">
        <f t="shared" si="267"/>
        <v>30732.1</v>
      </c>
      <c r="FR98" s="172">
        <f t="shared" si="267"/>
        <v>43333.25</v>
      </c>
      <c r="FS98" s="172">
        <f t="shared" si="267"/>
        <v>66065.98</v>
      </c>
      <c r="FT98" s="172">
        <f t="shared" si="267"/>
        <v>275938.98</v>
      </c>
      <c r="FU98" s="172">
        <f t="shared" si="267"/>
        <v>43082.97</v>
      </c>
      <c r="FV98" s="172">
        <f t="shared" si="267"/>
        <v>27181.69</v>
      </c>
      <c r="FW98" s="172">
        <f t="shared" si="267"/>
        <v>10794.79</v>
      </c>
      <c r="FX98" s="172">
        <f t="shared" si="267"/>
        <v>6908.24</v>
      </c>
      <c r="FY98" s="172">
        <f t="shared" si="267"/>
        <v>3993.53</v>
      </c>
      <c r="FZ98" s="172">
        <f t="shared" si="267"/>
        <v>11295.96</v>
      </c>
      <c r="GA98" s="172">
        <f t="shared" si="267"/>
        <v>23135.52</v>
      </c>
      <c r="GB98" s="172">
        <f t="shared" si="267"/>
        <v>39854.28</v>
      </c>
      <c r="GC98" s="172">
        <f t="shared" si="267"/>
        <v>57275.27</v>
      </c>
      <c r="GD98" s="172">
        <f t="shared" si="267"/>
        <v>73945.89</v>
      </c>
      <c r="GE98" s="172">
        <f t="shared" si="267"/>
        <v>90703.27</v>
      </c>
      <c r="GF98" s="172">
        <f t="shared" si="267"/>
        <v>11539.59</v>
      </c>
      <c r="GG98" s="172">
        <f t="shared" si="267"/>
        <v>44708.04</v>
      </c>
      <c r="GH98" s="172">
        <f t="shared" si="267"/>
        <v>18643.419999999998</v>
      </c>
      <c r="GI98" s="172">
        <f t="shared" si="267"/>
        <v>-9899.99</v>
      </c>
      <c r="GJ98" s="172">
        <f t="shared" si="267"/>
        <v>-30240.53</v>
      </c>
      <c r="GK98" s="172">
        <f t="shared" si="267"/>
        <v>-42883.24</v>
      </c>
      <c r="GL98" s="172">
        <f t="shared" si="267"/>
        <v>-47259.03</v>
      </c>
      <c r="GM98" s="172">
        <f t="shared" si="267"/>
        <v>-38258.81</v>
      </c>
      <c r="GN98" s="172">
        <f t="shared" si="267"/>
        <v>-24079.51</v>
      </c>
      <c r="GO98" s="172">
        <f t="shared" si="267"/>
        <v>-4149.1400000000003</v>
      </c>
      <c r="GP98" s="172">
        <f t="shared" si="267"/>
        <v>15887.65</v>
      </c>
      <c r="GQ98" s="172">
        <f t="shared" ref="GQ98:JN98" si="268">ROUND(SUM(GQ95:GQ97),2)</f>
        <v>35623.11</v>
      </c>
      <c r="GR98" s="172">
        <f t="shared" si="268"/>
        <v>37653.58</v>
      </c>
      <c r="GS98" s="172">
        <f t="shared" si="268"/>
        <v>29223.86</v>
      </c>
      <c r="GT98" s="172">
        <f t="shared" si="268"/>
        <v>1711.53</v>
      </c>
      <c r="GU98" s="172">
        <f t="shared" si="268"/>
        <v>-14445.58</v>
      </c>
      <c r="GV98" s="172">
        <f t="shared" si="268"/>
        <v>-37283.03</v>
      </c>
      <c r="GW98" s="172">
        <f t="shared" si="268"/>
        <v>-50314.57</v>
      </c>
      <c r="GX98" s="172">
        <f t="shared" si="268"/>
        <v>-52308.06</v>
      </c>
      <c r="GY98" s="172">
        <f t="shared" si="268"/>
        <v>-33072.9</v>
      </c>
      <c r="GZ98" s="172">
        <f t="shared" si="268"/>
        <v>-15710.98</v>
      </c>
      <c r="HA98" s="172">
        <f t="shared" si="268"/>
        <v>10327.84</v>
      </c>
      <c r="HB98" s="172">
        <f t="shared" si="268"/>
        <v>33116.089999999997</v>
      </c>
      <c r="HC98" s="172">
        <f t="shared" si="268"/>
        <v>58250.93</v>
      </c>
      <c r="HD98" s="172">
        <f t="shared" si="268"/>
        <v>61979.47</v>
      </c>
      <c r="HE98" s="172">
        <f t="shared" si="268"/>
        <v>56866.81</v>
      </c>
      <c r="HF98" s="172">
        <f t="shared" si="268"/>
        <v>28586.13</v>
      </c>
      <c r="HG98" s="172">
        <f t="shared" si="268"/>
        <v>4738.2299999999996</v>
      </c>
      <c r="HH98" s="172">
        <f t="shared" si="268"/>
        <v>-35907.160000000003</v>
      </c>
      <c r="HI98" s="172">
        <f t="shared" si="268"/>
        <v>-48433.68</v>
      </c>
      <c r="HJ98" s="172">
        <f t="shared" si="268"/>
        <v>-47109.42</v>
      </c>
      <c r="HK98" s="172">
        <f t="shared" si="268"/>
        <v>-27346.92</v>
      </c>
      <c r="HL98" s="172">
        <f t="shared" si="268"/>
        <v>-2895.76</v>
      </c>
      <c r="HM98" s="172">
        <f t="shared" si="268"/>
        <v>25004.05</v>
      </c>
      <c r="HN98" s="172">
        <f t="shared" si="268"/>
        <v>52200.94</v>
      </c>
      <c r="HO98" s="172">
        <f t="shared" si="268"/>
        <v>75498.460000000006</v>
      </c>
      <c r="HP98" s="172">
        <f t="shared" si="268"/>
        <v>70783.149999999994</v>
      </c>
      <c r="HQ98" s="172">
        <f t="shared" si="268"/>
        <v>59638.04</v>
      </c>
      <c r="HR98" s="172">
        <f t="shared" si="268"/>
        <v>23568.97</v>
      </c>
      <c r="HS98" s="172">
        <f t="shared" si="268"/>
        <v>-6773.72</v>
      </c>
      <c r="HT98" s="172">
        <f t="shared" si="268"/>
        <v>-33273.35</v>
      </c>
      <c r="HU98" s="172">
        <f t="shared" si="268"/>
        <v>-50474.34</v>
      </c>
      <c r="HV98" s="172">
        <f t="shared" si="268"/>
        <v>-50186.54</v>
      </c>
      <c r="HW98" s="172">
        <f t="shared" si="268"/>
        <v>-31498.85</v>
      </c>
      <c r="HX98" s="172">
        <f t="shared" si="268"/>
        <v>-8947.3700000000008</v>
      </c>
      <c r="HY98" s="172">
        <f t="shared" si="268"/>
        <v>10927.33</v>
      </c>
      <c r="HZ98" s="172">
        <f t="shared" si="268"/>
        <v>30542.12</v>
      </c>
      <c r="IA98" s="172">
        <f t="shared" si="268"/>
        <v>46654.8</v>
      </c>
      <c r="IB98" s="172">
        <f t="shared" si="268"/>
        <v>23042.799999999999</v>
      </c>
      <c r="IC98" s="172">
        <f t="shared" si="268"/>
        <v>33408.800000000003</v>
      </c>
      <c r="ID98" s="172">
        <f t="shared" si="268"/>
        <v>15435.05</v>
      </c>
      <c r="IE98" s="172">
        <f t="shared" si="268"/>
        <v>-2603.19</v>
      </c>
      <c r="IF98" s="172">
        <f t="shared" si="268"/>
        <v>-25067.91</v>
      </c>
      <c r="IG98" s="172">
        <f t="shared" si="268"/>
        <v>-37677.360000000001</v>
      </c>
      <c r="IH98" s="172">
        <f t="shared" si="268"/>
        <v>-37895.58</v>
      </c>
      <c r="II98" s="172">
        <f t="shared" si="268"/>
        <v>-26160.57</v>
      </c>
      <c r="IJ98" s="172">
        <f t="shared" si="268"/>
        <v>-10555.53</v>
      </c>
      <c r="IK98" s="172">
        <f t="shared" si="268"/>
        <v>9438.44</v>
      </c>
      <c r="IL98" s="172">
        <f t="shared" si="268"/>
        <v>27490.52</v>
      </c>
      <c r="IM98" s="172">
        <f t="shared" si="268"/>
        <v>43533.62</v>
      </c>
      <c r="IN98" s="172">
        <f t="shared" si="268"/>
        <v>33511.35</v>
      </c>
      <c r="IO98" s="172">
        <f t="shared" si="268"/>
        <v>36983.1</v>
      </c>
      <c r="IP98" s="172">
        <f t="shared" si="268"/>
        <v>12528.35</v>
      </c>
      <c r="IQ98" s="172">
        <f t="shared" si="268"/>
        <v>-9223.92</v>
      </c>
      <c r="IR98" s="172">
        <f t="shared" si="268"/>
        <v>-25039.15</v>
      </c>
      <c r="IS98" s="172">
        <f t="shared" si="268"/>
        <v>-31820.31</v>
      </c>
      <c r="IT98" s="172">
        <f t="shared" si="268"/>
        <v>-38556.639999999999</v>
      </c>
      <c r="IU98" s="172">
        <f t="shared" si="268"/>
        <v>-30725.07</v>
      </c>
      <c r="IV98" s="172">
        <f t="shared" si="268"/>
        <v>-18095.810000000001</v>
      </c>
      <c r="IW98" s="172">
        <f t="shared" si="268"/>
        <v>2917.86</v>
      </c>
      <c r="IX98" s="172">
        <f t="shared" si="268"/>
        <v>25430.66</v>
      </c>
      <c r="IY98" s="172">
        <f t="shared" ref="IY98:JJ98" si="269">ROUND(SUM(IY95:IY97),2)</f>
        <v>63475.27</v>
      </c>
      <c r="IZ98" s="172">
        <f t="shared" si="269"/>
        <v>70966.84</v>
      </c>
      <c r="JA98" s="172">
        <f t="shared" si="269"/>
        <v>47796.6</v>
      </c>
      <c r="JB98" s="172">
        <f t="shared" si="269"/>
        <v>7341.97</v>
      </c>
      <c r="JC98" s="172">
        <f t="shared" si="269"/>
        <v>-29881.56</v>
      </c>
      <c r="JD98" s="172">
        <f t="shared" si="269"/>
        <v>-75068.710000000006</v>
      </c>
      <c r="JE98" s="172">
        <f t="shared" si="269"/>
        <v>-124520.27</v>
      </c>
      <c r="JF98" s="172">
        <f t="shared" si="269"/>
        <v>-146870.31</v>
      </c>
      <c r="JG98" s="172">
        <f t="shared" si="269"/>
        <v>-116354.75</v>
      </c>
      <c r="JH98" s="172">
        <f t="shared" si="269"/>
        <v>-93730.22</v>
      </c>
      <c r="JI98" s="172">
        <f t="shared" si="269"/>
        <v>-49934.07</v>
      </c>
      <c r="JJ98" s="172">
        <f t="shared" si="269"/>
        <v>-7062.94</v>
      </c>
      <c r="JK98" s="172">
        <f t="shared" si="268"/>
        <v>27306.89</v>
      </c>
      <c r="JL98" s="172">
        <f t="shared" si="268"/>
        <v>30759.65</v>
      </c>
      <c r="JM98" s="172">
        <f t="shared" si="268"/>
        <v>1565.5</v>
      </c>
      <c r="JN98" s="172">
        <f t="shared" si="268"/>
        <v>-33368.28</v>
      </c>
      <c r="JO98" s="172">
        <f t="shared" ref="JO98:JU98" si="270">ROUND(SUM(JO95:JO97),2)</f>
        <v>-89208</v>
      </c>
      <c r="JP98" s="172">
        <f t="shared" si="270"/>
        <v>-134071.43</v>
      </c>
      <c r="JQ98" s="172">
        <f t="shared" si="270"/>
        <v>-159877.65</v>
      </c>
      <c r="JR98" s="172">
        <f t="shared" si="270"/>
        <v>-171718.68</v>
      </c>
      <c r="JS98" s="172">
        <f t="shared" si="270"/>
        <v>-147006.75</v>
      </c>
      <c r="JT98" s="172">
        <f t="shared" si="270"/>
        <v>-118835.54</v>
      </c>
      <c r="JU98" s="172">
        <f t="shared" si="270"/>
        <v>-72153.539999999994</v>
      </c>
      <c r="JV98" s="632"/>
      <c r="JW98" s="414"/>
      <c r="JX98" s="414"/>
      <c r="JY98" s="414"/>
      <c r="JZ98" s="414"/>
      <c r="KA98" s="414"/>
      <c r="KB98" s="414"/>
      <c r="KC98" s="414"/>
      <c r="KD98" s="414"/>
      <c r="KE98" s="414"/>
      <c r="KF98" s="414"/>
      <c r="KG98" s="414"/>
      <c r="KH98" s="414"/>
      <c r="KI98" s="633"/>
    </row>
    <row r="99" spans="1:295" x14ac:dyDescent="0.2">
      <c r="B99" s="24" t="s">
        <v>109</v>
      </c>
      <c r="D99" s="50">
        <f t="shared" ref="D99:AB99" si="271">+D94+D98</f>
        <v>-10375.190000000002</v>
      </c>
      <c r="E99" s="50">
        <f t="shared" si="271"/>
        <v>0</v>
      </c>
      <c r="F99" s="50">
        <f t="shared" si="271"/>
        <v>64829.06</v>
      </c>
      <c r="G99" s="50">
        <f t="shared" si="271"/>
        <v>119495.51999999999</v>
      </c>
      <c r="H99" s="50">
        <f t="shared" si="271"/>
        <v>165175.88</v>
      </c>
      <c r="I99" s="50">
        <f t="shared" si="271"/>
        <v>168205.18</v>
      </c>
      <c r="J99" s="50">
        <f t="shared" si="271"/>
        <v>139982.28</v>
      </c>
      <c r="K99" s="50">
        <f t="shared" si="271"/>
        <v>92479.19</v>
      </c>
      <c r="L99" s="50">
        <f t="shared" si="271"/>
        <v>12227.419999999998</v>
      </c>
      <c r="M99" s="50">
        <f t="shared" si="271"/>
        <v>-58922.44</v>
      </c>
      <c r="N99" s="50">
        <f t="shared" si="271"/>
        <v>-126415.56</v>
      </c>
      <c r="O99" s="50">
        <f t="shared" si="271"/>
        <v>-173301.01</v>
      </c>
      <c r="P99" s="50">
        <f t="shared" si="271"/>
        <v>-196763.88</v>
      </c>
      <c r="Q99" s="50">
        <f t="shared" si="271"/>
        <v>-199834.99</v>
      </c>
      <c r="R99" s="50">
        <f t="shared" si="271"/>
        <v>-186268.75</v>
      </c>
      <c r="S99" s="50">
        <f t="shared" si="271"/>
        <v>-168060.16999999998</v>
      </c>
      <c r="T99" s="50">
        <f t="shared" si="271"/>
        <v>-156457.12000000002</v>
      </c>
      <c r="U99" s="50">
        <f t="shared" si="271"/>
        <v>-158859.75</v>
      </c>
      <c r="V99" s="50">
        <f t="shared" si="271"/>
        <v>53936.380000000005</v>
      </c>
      <c r="W99" s="50">
        <f t="shared" si="271"/>
        <v>45170.289999999994</v>
      </c>
      <c r="X99" s="50">
        <f t="shared" si="271"/>
        <v>31393.52</v>
      </c>
      <c r="Y99" s="50">
        <f t="shared" si="271"/>
        <v>-14338.59</v>
      </c>
      <c r="Z99" s="50">
        <f t="shared" si="271"/>
        <v>-21593.09</v>
      </c>
      <c r="AA99" s="50">
        <f t="shared" si="271"/>
        <v>-12015.68</v>
      </c>
      <c r="AB99" s="50">
        <f t="shared" si="271"/>
        <v>16375.869999999999</v>
      </c>
      <c r="AC99" s="50">
        <f>+AC94+AC98</f>
        <v>60393.09</v>
      </c>
      <c r="AD99" s="50">
        <f>+AD94+AD98</f>
        <v>119544.01999999999</v>
      </c>
      <c r="AE99" s="50">
        <f t="shared" ref="AE99:AP99" si="272">+AE94+AE98</f>
        <v>102009.44999999998</v>
      </c>
      <c r="AF99" s="50">
        <f t="shared" si="272"/>
        <v>130721.57999999999</v>
      </c>
      <c r="AG99" s="50">
        <f t="shared" si="272"/>
        <v>145289.25</v>
      </c>
      <c r="AH99" s="50">
        <f t="shared" si="272"/>
        <v>140992.14000000001</v>
      </c>
      <c r="AI99" s="50">
        <f t="shared" si="272"/>
        <v>127129.20000000001</v>
      </c>
      <c r="AJ99" s="50">
        <f t="shared" si="272"/>
        <v>107721.89000000001</v>
      </c>
      <c r="AK99" s="50">
        <f t="shared" si="272"/>
        <v>94979.6</v>
      </c>
      <c r="AL99" s="50">
        <f t="shared" si="272"/>
        <v>93204.47</v>
      </c>
      <c r="AM99" s="50">
        <f t="shared" si="272"/>
        <v>105588.42</v>
      </c>
      <c r="AN99" s="50">
        <f t="shared" si="272"/>
        <v>135223.96</v>
      </c>
      <c r="AO99" s="50">
        <f t="shared" si="272"/>
        <v>180965.55</v>
      </c>
      <c r="AP99" s="50">
        <f t="shared" si="272"/>
        <v>238810.52</v>
      </c>
      <c r="AQ99" s="50">
        <f>+AQ94+AQ98</f>
        <v>211545.51</v>
      </c>
      <c r="AR99" s="50">
        <f>+AR94+AR98</f>
        <v>242331.52000000002</v>
      </c>
      <c r="AS99" s="50">
        <f>+AS94+AS98</f>
        <v>278754.44</v>
      </c>
      <c r="AT99" s="50">
        <f t="shared" ref="AT99:BQ99" si="273">+AT94+AT98</f>
        <v>299939.14</v>
      </c>
      <c r="AU99" s="50">
        <f t="shared" si="273"/>
        <v>309055.93</v>
      </c>
      <c r="AV99" s="50">
        <f t="shared" si="273"/>
        <v>324605.33</v>
      </c>
      <c r="AW99" s="50">
        <f t="shared" si="273"/>
        <v>304277.45</v>
      </c>
      <c r="AX99" s="50">
        <f t="shared" si="273"/>
        <v>381582.83</v>
      </c>
      <c r="AY99" s="50">
        <f t="shared" si="273"/>
        <v>104436.58000000002</v>
      </c>
      <c r="AZ99" s="127">
        <f t="shared" si="273"/>
        <v>155895.36000000002</v>
      </c>
      <c r="BA99" s="127">
        <f t="shared" si="273"/>
        <v>227659.39</v>
      </c>
      <c r="BB99" s="127">
        <f t="shared" si="273"/>
        <v>313162.67000000004</v>
      </c>
      <c r="BC99" s="127">
        <f t="shared" si="273"/>
        <v>176676.64000000004</v>
      </c>
      <c r="BD99" s="127">
        <f t="shared" si="273"/>
        <v>225205.11000000004</v>
      </c>
      <c r="BE99" s="127">
        <f t="shared" si="273"/>
        <v>255732.43000000005</v>
      </c>
      <c r="BF99" s="127">
        <f t="shared" si="273"/>
        <v>288517.56000000006</v>
      </c>
      <c r="BG99" s="127">
        <f t="shared" si="273"/>
        <v>305770.23000000004</v>
      </c>
      <c r="BH99" s="127">
        <f t="shared" si="273"/>
        <v>309320.35000000003</v>
      </c>
      <c r="BI99" s="127">
        <f t="shared" si="273"/>
        <v>305827.73000000004</v>
      </c>
      <c r="BJ99" s="127">
        <f t="shared" si="273"/>
        <v>310799.29000000004</v>
      </c>
      <c r="BK99" s="127">
        <f t="shared" si="273"/>
        <v>335702.12000000005</v>
      </c>
      <c r="BL99" s="127">
        <f t="shared" si="273"/>
        <v>393713.85000000003</v>
      </c>
      <c r="BM99" s="127">
        <f t="shared" si="273"/>
        <v>483804.92000000004</v>
      </c>
      <c r="BN99" s="127">
        <f t="shared" si="273"/>
        <v>602503.81000000006</v>
      </c>
      <c r="BO99" s="127">
        <f t="shared" si="273"/>
        <v>344651.68000000005</v>
      </c>
      <c r="BP99" s="127">
        <f t="shared" si="273"/>
        <v>419772.66000000003</v>
      </c>
      <c r="BQ99" s="127">
        <f t="shared" si="273"/>
        <v>428691.56000000006</v>
      </c>
      <c r="BR99" s="127">
        <f>ROUND(+BR94+BR98,2)</f>
        <v>436873.02</v>
      </c>
      <c r="BS99" s="127">
        <f t="shared" ref="BS99:ED99" si="274">ROUND(+BS94+BS98,2)</f>
        <v>398624.22</v>
      </c>
      <c r="BT99" s="127">
        <f t="shared" si="274"/>
        <v>363444.93</v>
      </c>
      <c r="BU99" s="127">
        <f t="shared" si="274"/>
        <v>325000.02</v>
      </c>
      <c r="BV99" s="127">
        <f t="shared" si="274"/>
        <v>274861.88</v>
      </c>
      <c r="BW99" s="127">
        <f t="shared" si="274"/>
        <v>253009.27</v>
      </c>
      <c r="BX99" s="127">
        <f t="shared" si="274"/>
        <v>266407.09000000003</v>
      </c>
      <c r="BY99" s="127">
        <f t="shared" si="274"/>
        <v>323247.59999999998</v>
      </c>
      <c r="BZ99" s="127">
        <f t="shared" si="274"/>
        <v>419470.03</v>
      </c>
      <c r="CA99" s="127">
        <f t="shared" si="274"/>
        <v>337524.06</v>
      </c>
      <c r="CB99" s="127">
        <f t="shared" si="274"/>
        <v>385014.98</v>
      </c>
      <c r="CC99" s="127">
        <f t="shared" si="274"/>
        <v>469275.62</v>
      </c>
      <c r="CD99" s="127">
        <f t="shared" si="274"/>
        <v>515392.09</v>
      </c>
      <c r="CE99" s="127">
        <f t="shared" si="274"/>
        <v>519886.62</v>
      </c>
      <c r="CF99" s="127">
        <f t="shared" si="274"/>
        <v>505321.68</v>
      </c>
      <c r="CG99" s="127">
        <f t="shared" si="274"/>
        <v>470830.2</v>
      </c>
      <c r="CH99" s="127">
        <f t="shared" si="274"/>
        <v>433219.12</v>
      </c>
      <c r="CI99" s="157">
        <f t="shared" si="274"/>
        <v>418368.23</v>
      </c>
      <c r="CJ99" s="127">
        <f t="shared" si="274"/>
        <v>426578.51</v>
      </c>
      <c r="CK99" s="127">
        <f t="shared" si="274"/>
        <v>461984.66</v>
      </c>
      <c r="CL99" s="127">
        <f t="shared" si="274"/>
        <v>520704.28</v>
      </c>
      <c r="CM99" s="127">
        <f t="shared" si="274"/>
        <v>339595.45</v>
      </c>
      <c r="CN99" s="127">
        <f t="shared" si="274"/>
        <v>398625.65</v>
      </c>
      <c r="CO99" s="127">
        <f t="shared" si="274"/>
        <v>460454.54</v>
      </c>
      <c r="CP99" s="127">
        <f t="shared" si="274"/>
        <v>487482.74</v>
      </c>
      <c r="CQ99" s="127">
        <f t="shared" si="274"/>
        <v>491402.36</v>
      </c>
      <c r="CR99" s="127">
        <f t="shared" si="274"/>
        <v>483832.24</v>
      </c>
      <c r="CS99" s="127">
        <f t="shared" si="274"/>
        <v>470171.39</v>
      </c>
      <c r="CT99" s="127">
        <f t="shared" si="274"/>
        <v>459651.08</v>
      </c>
      <c r="CU99" s="127">
        <f t="shared" si="274"/>
        <v>435706.43</v>
      </c>
      <c r="CV99" s="127">
        <f t="shared" si="274"/>
        <v>444473.96</v>
      </c>
      <c r="CW99" s="127">
        <f t="shared" si="274"/>
        <v>470288.68</v>
      </c>
      <c r="CX99" s="127">
        <f t="shared" si="274"/>
        <v>509784.08</v>
      </c>
      <c r="CY99" s="127">
        <f t="shared" si="274"/>
        <v>318460.46000000002</v>
      </c>
      <c r="CZ99" s="127">
        <f t="shared" si="274"/>
        <v>353613.97</v>
      </c>
      <c r="DA99" s="127">
        <f t="shared" si="274"/>
        <v>383403.82</v>
      </c>
      <c r="DB99" s="127">
        <f t="shared" si="274"/>
        <v>393745.56</v>
      </c>
      <c r="DC99" s="127">
        <f t="shared" si="274"/>
        <v>401487.71</v>
      </c>
      <c r="DD99" s="127">
        <f t="shared" si="274"/>
        <v>409649.63</v>
      </c>
      <c r="DE99" s="127">
        <f t="shared" si="274"/>
        <v>416997.6</v>
      </c>
      <c r="DF99" s="127">
        <f t="shared" si="274"/>
        <v>426834.92</v>
      </c>
      <c r="DG99" s="127">
        <f t="shared" si="274"/>
        <v>443796.64</v>
      </c>
      <c r="DH99" s="127">
        <f t="shared" si="274"/>
        <v>474066.74</v>
      </c>
      <c r="DI99" s="127">
        <f t="shared" si="274"/>
        <v>520380.62</v>
      </c>
      <c r="DJ99" s="127">
        <f t="shared" si="274"/>
        <v>578458.31000000006</v>
      </c>
      <c r="DK99" s="127">
        <f t="shared" si="274"/>
        <v>652548.92000000004</v>
      </c>
      <c r="DL99" s="139">
        <f t="shared" si="274"/>
        <v>329352.32000000001</v>
      </c>
      <c r="DM99" s="139">
        <f t="shared" si="274"/>
        <v>356544.41</v>
      </c>
      <c r="DN99" s="139">
        <f t="shared" si="274"/>
        <v>370050.09</v>
      </c>
      <c r="DO99" s="139">
        <f t="shared" si="274"/>
        <v>368086.52</v>
      </c>
      <c r="DP99" s="139">
        <f t="shared" si="274"/>
        <v>352329.61</v>
      </c>
      <c r="DQ99" s="139">
        <f t="shared" si="274"/>
        <v>330033.88</v>
      </c>
      <c r="DR99" s="139">
        <f t="shared" si="274"/>
        <v>301358.5</v>
      </c>
      <c r="DS99" s="139">
        <f t="shared" si="274"/>
        <v>277654.67</v>
      </c>
      <c r="DT99" s="139">
        <f t="shared" si="274"/>
        <v>264740.84000000003</v>
      </c>
      <c r="DU99" s="139">
        <f t="shared" si="274"/>
        <v>268139.86</v>
      </c>
      <c r="DV99" s="139">
        <f t="shared" si="274"/>
        <v>284325.26</v>
      </c>
      <c r="DW99" s="139">
        <f t="shared" si="274"/>
        <v>302076.06</v>
      </c>
      <c r="DX99" s="139">
        <f t="shared" si="274"/>
        <v>323534.52</v>
      </c>
      <c r="DY99" s="139">
        <f t="shared" si="274"/>
        <v>329388.78000000003</v>
      </c>
      <c r="DZ99" s="139">
        <f t="shared" si="274"/>
        <v>316690.65000000002</v>
      </c>
      <c r="EA99" s="139">
        <f t="shared" si="274"/>
        <v>284255.78000000003</v>
      </c>
      <c r="EB99" s="139">
        <f t="shared" si="274"/>
        <v>235103.97</v>
      </c>
      <c r="EC99" s="139">
        <f t="shared" si="274"/>
        <v>170526.24</v>
      </c>
      <c r="ED99" s="139">
        <f t="shared" si="274"/>
        <v>104987.45</v>
      </c>
      <c r="EE99" s="139">
        <f t="shared" ref="EE99:GP99" si="275">ROUND(+EE94+EE98,2)</f>
        <v>48531.24</v>
      </c>
      <c r="EF99" s="139">
        <f t="shared" si="275"/>
        <v>1618.63</v>
      </c>
      <c r="EG99" s="139">
        <f t="shared" si="275"/>
        <v>-29962.29</v>
      </c>
      <c r="EH99" s="139">
        <f t="shared" si="275"/>
        <v>-44486.43</v>
      </c>
      <c r="EI99" s="139">
        <f t="shared" si="275"/>
        <v>-45311.58</v>
      </c>
      <c r="EJ99" s="139">
        <f t="shared" si="275"/>
        <v>-43252.84</v>
      </c>
      <c r="EK99" s="139">
        <f t="shared" si="275"/>
        <v>-48998.29</v>
      </c>
      <c r="EL99" s="139">
        <f t="shared" si="275"/>
        <v>-73074.63</v>
      </c>
      <c r="EM99" s="139">
        <f t="shared" si="275"/>
        <v>-118122.94</v>
      </c>
      <c r="EN99" s="139">
        <f t="shared" si="275"/>
        <v>-180121.62</v>
      </c>
      <c r="EO99" s="139">
        <f t="shared" si="275"/>
        <v>-244440.93</v>
      </c>
      <c r="EP99" s="139">
        <f t="shared" si="275"/>
        <v>-310319.59999999998</v>
      </c>
      <c r="EQ99" s="139">
        <f t="shared" si="275"/>
        <v>-363349.52</v>
      </c>
      <c r="ER99" s="139">
        <f t="shared" si="275"/>
        <v>-402077.97</v>
      </c>
      <c r="ES99" s="139">
        <f t="shared" si="275"/>
        <v>-422286.39</v>
      </c>
      <c r="ET99" s="139">
        <f t="shared" si="275"/>
        <v>-423220.43</v>
      </c>
      <c r="EU99" s="139">
        <f t="shared" si="275"/>
        <v>-410018.65</v>
      </c>
      <c r="EV99" s="139">
        <f t="shared" si="275"/>
        <v>-396243</v>
      </c>
      <c r="EW99" s="139">
        <f t="shared" si="275"/>
        <v>-391151.97</v>
      </c>
      <c r="EX99" s="139">
        <f t="shared" si="275"/>
        <v>-412103.85</v>
      </c>
      <c r="EY99" s="139">
        <f t="shared" si="275"/>
        <v>-448769.52</v>
      </c>
      <c r="EZ99" s="139">
        <f t="shared" si="275"/>
        <v>-509929.61</v>
      </c>
      <c r="FA99" s="139">
        <f t="shared" si="275"/>
        <v>-575384.07999999996</v>
      </c>
      <c r="FB99" s="139">
        <f t="shared" si="275"/>
        <v>-639825.1</v>
      </c>
      <c r="FC99" s="139">
        <f t="shared" si="275"/>
        <v>-693784.95</v>
      </c>
      <c r="FD99" s="139">
        <f t="shared" si="275"/>
        <v>-734174.06</v>
      </c>
      <c r="FE99" s="139">
        <f t="shared" si="275"/>
        <v>-756976.41</v>
      </c>
      <c r="FF99" s="139">
        <f t="shared" si="275"/>
        <v>-761847.28</v>
      </c>
      <c r="FG99" s="139">
        <f t="shared" si="275"/>
        <v>-750999.18</v>
      </c>
      <c r="FH99" s="139">
        <f t="shared" si="275"/>
        <v>-731648.49</v>
      </c>
      <c r="FI99" s="139">
        <f t="shared" si="275"/>
        <v>-721817.19</v>
      </c>
      <c r="FJ99" s="139">
        <f t="shared" si="275"/>
        <v>-724012.46</v>
      </c>
      <c r="FK99" s="139">
        <f t="shared" si="275"/>
        <v>-733943.61</v>
      </c>
      <c r="FL99" s="139">
        <f t="shared" si="275"/>
        <v>-747615.36</v>
      </c>
      <c r="FM99" s="139">
        <f t="shared" si="275"/>
        <v>-760252.69</v>
      </c>
      <c r="FN99" s="139">
        <f t="shared" si="275"/>
        <v>-771060.44</v>
      </c>
      <c r="FO99" s="139">
        <f t="shared" si="275"/>
        <v>-770318.61</v>
      </c>
      <c r="FP99" s="139">
        <f t="shared" si="275"/>
        <v>-753809.39</v>
      </c>
      <c r="FQ99" s="139">
        <f t="shared" si="275"/>
        <v>-723077.29</v>
      </c>
      <c r="FR99" s="139">
        <f t="shared" si="275"/>
        <v>-679744.04</v>
      </c>
      <c r="FS99" s="139">
        <f t="shared" si="275"/>
        <v>-613678.06000000006</v>
      </c>
      <c r="FT99" s="139">
        <f t="shared" si="275"/>
        <v>-337739.08</v>
      </c>
      <c r="FU99" s="139">
        <f t="shared" si="275"/>
        <v>-294656.11</v>
      </c>
      <c r="FV99" s="139">
        <f t="shared" si="275"/>
        <v>-267474.42</v>
      </c>
      <c r="FW99" s="139">
        <f t="shared" si="275"/>
        <v>-256679.63</v>
      </c>
      <c r="FX99" s="139">
        <f t="shared" si="275"/>
        <v>-249771.39</v>
      </c>
      <c r="FY99" s="139">
        <f t="shared" si="275"/>
        <v>-245777.86</v>
      </c>
      <c r="FZ99" s="139">
        <f t="shared" si="275"/>
        <v>-234481.9</v>
      </c>
      <c r="GA99" s="139">
        <f t="shared" si="275"/>
        <v>-211346.38</v>
      </c>
      <c r="GB99" s="139">
        <f t="shared" si="275"/>
        <v>-171492.1</v>
      </c>
      <c r="GC99" s="139">
        <f t="shared" si="275"/>
        <v>-114216.83</v>
      </c>
      <c r="GD99" s="139">
        <f t="shared" si="275"/>
        <v>-40270.94</v>
      </c>
      <c r="GE99" s="139">
        <f t="shared" si="275"/>
        <v>50432.33</v>
      </c>
      <c r="GF99" s="139">
        <f t="shared" si="275"/>
        <v>61971.92</v>
      </c>
      <c r="GG99" s="139">
        <f t="shared" si="275"/>
        <v>106679.96</v>
      </c>
      <c r="GH99" s="139">
        <f t="shared" si="275"/>
        <v>125323.38</v>
      </c>
      <c r="GI99" s="139">
        <f t="shared" si="275"/>
        <v>115423.39</v>
      </c>
      <c r="GJ99" s="139">
        <f t="shared" si="275"/>
        <v>85182.86</v>
      </c>
      <c r="GK99" s="139">
        <f t="shared" si="275"/>
        <v>42299.62</v>
      </c>
      <c r="GL99" s="139">
        <f t="shared" si="275"/>
        <v>-4959.41</v>
      </c>
      <c r="GM99" s="139">
        <f t="shared" si="275"/>
        <v>-43218.22</v>
      </c>
      <c r="GN99" s="139">
        <f t="shared" si="275"/>
        <v>-67297.73</v>
      </c>
      <c r="GO99" s="139">
        <f t="shared" si="275"/>
        <v>-71446.87</v>
      </c>
      <c r="GP99" s="139">
        <f t="shared" si="275"/>
        <v>-55559.22</v>
      </c>
      <c r="GQ99" s="139">
        <f t="shared" ref="GQ99:JN99" si="276">ROUND(+GQ94+GQ98,2)</f>
        <v>-19936.11</v>
      </c>
      <c r="GR99" s="139">
        <f t="shared" si="276"/>
        <v>17717.47</v>
      </c>
      <c r="GS99" s="139">
        <f t="shared" si="276"/>
        <v>46941.33</v>
      </c>
      <c r="GT99" s="139">
        <f t="shared" si="276"/>
        <v>48652.86</v>
      </c>
      <c r="GU99" s="139">
        <f t="shared" si="276"/>
        <v>34207.279999999999</v>
      </c>
      <c r="GV99" s="139">
        <f t="shared" si="276"/>
        <v>-3075.75</v>
      </c>
      <c r="GW99" s="139">
        <f t="shared" si="276"/>
        <v>-53390.32</v>
      </c>
      <c r="GX99" s="139">
        <f t="shared" si="276"/>
        <v>-105698.38</v>
      </c>
      <c r="GY99" s="139">
        <f t="shared" si="276"/>
        <v>-138771.28</v>
      </c>
      <c r="GZ99" s="139">
        <f t="shared" si="276"/>
        <v>-154482.26</v>
      </c>
      <c r="HA99" s="139">
        <f t="shared" si="276"/>
        <v>-144154.42000000001</v>
      </c>
      <c r="HB99" s="139">
        <f t="shared" si="276"/>
        <v>-111038.33</v>
      </c>
      <c r="HC99" s="139">
        <f t="shared" si="276"/>
        <v>-52787.4</v>
      </c>
      <c r="HD99" s="139">
        <f t="shared" si="276"/>
        <v>9192.07</v>
      </c>
      <c r="HE99" s="139">
        <f t="shared" si="276"/>
        <v>66058.880000000005</v>
      </c>
      <c r="HF99" s="139">
        <f t="shared" si="276"/>
        <v>94645.01</v>
      </c>
      <c r="HG99" s="139">
        <f t="shared" si="276"/>
        <v>99383.24</v>
      </c>
      <c r="HH99" s="139">
        <f t="shared" si="276"/>
        <v>63476.08</v>
      </c>
      <c r="HI99" s="139">
        <f t="shared" si="276"/>
        <v>15042.4</v>
      </c>
      <c r="HJ99" s="139">
        <f t="shared" si="276"/>
        <v>-32067.02</v>
      </c>
      <c r="HK99" s="139">
        <f t="shared" si="276"/>
        <v>-59413.94</v>
      </c>
      <c r="HL99" s="139">
        <f t="shared" si="276"/>
        <v>-62309.7</v>
      </c>
      <c r="HM99" s="139">
        <f t="shared" si="276"/>
        <v>-37305.65</v>
      </c>
      <c r="HN99" s="139">
        <f t="shared" si="276"/>
        <v>14895.29</v>
      </c>
      <c r="HO99" s="139">
        <f t="shared" si="276"/>
        <v>90393.75</v>
      </c>
      <c r="HP99" s="139">
        <f t="shared" si="276"/>
        <v>161176.9</v>
      </c>
      <c r="HQ99" s="139">
        <f t="shared" si="276"/>
        <v>220814.94</v>
      </c>
      <c r="HR99" s="139">
        <f t="shared" si="276"/>
        <v>244383.91</v>
      </c>
      <c r="HS99" s="139">
        <f t="shared" si="276"/>
        <v>237610.19</v>
      </c>
      <c r="HT99" s="139">
        <f t="shared" si="276"/>
        <v>204336.84</v>
      </c>
      <c r="HU99" s="139">
        <f t="shared" si="276"/>
        <v>153862.5</v>
      </c>
      <c r="HV99" s="139">
        <f t="shared" si="276"/>
        <v>103675.96</v>
      </c>
      <c r="HW99" s="139">
        <f t="shared" si="276"/>
        <v>72177.11</v>
      </c>
      <c r="HX99" s="139">
        <f t="shared" si="276"/>
        <v>63229.74</v>
      </c>
      <c r="HY99" s="139">
        <f t="shared" si="276"/>
        <v>74157.070000000007</v>
      </c>
      <c r="HZ99" s="139">
        <f t="shared" si="276"/>
        <v>104699.19</v>
      </c>
      <c r="IA99" s="139">
        <f t="shared" si="276"/>
        <v>151353.99</v>
      </c>
      <c r="IB99" s="139">
        <f t="shared" si="276"/>
        <v>174396.79</v>
      </c>
      <c r="IC99" s="139">
        <f t="shared" si="276"/>
        <v>207805.59</v>
      </c>
      <c r="ID99" s="139">
        <f t="shared" si="276"/>
        <v>223240.64</v>
      </c>
      <c r="IE99" s="139">
        <f t="shared" si="276"/>
        <v>220637.45</v>
      </c>
      <c r="IF99" s="139">
        <f t="shared" si="276"/>
        <v>195569.54</v>
      </c>
      <c r="IG99" s="139">
        <f t="shared" si="276"/>
        <v>157892.18</v>
      </c>
      <c r="IH99" s="139">
        <f t="shared" si="276"/>
        <v>119996.6</v>
      </c>
      <c r="II99" s="139">
        <f t="shared" si="276"/>
        <v>93836.03</v>
      </c>
      <c r="IJ99" s="139">
        <f t="shared" si="276"/>
        <v>83280.5</v>
      </c>
      <c r="IK99" s="139">
        <f t="shared" si="276"/>
        <v>92718.94</v>
      </c>
      <c r="IL99" s="139">
        <f t="shared" si="276"/>
        <v>120209.46</v>
      </c>
      <c r="IM99" s="139">
        <f t="shared" si="276"/>
        <v>163743.07999999999</v>
      </c>
      <c r="IN99" s="139">
        <f t="shared" si="276"/>
        <v>197254.43</v>
      </c>
      <c r="IO99" s="139">
        <f t="shared" si="276"/>
        <v>234237.53</v>
      </c>
      <c r="IP99" s="139">
        <f t="shared" si="276"/>
        <v>246765.88</v>
      </c>
      <c r="IQ99" s="139">
        <f t="shared" si="276"/>
        <v>237541.96</v>
      </c>
      <c r="IR99" s="139">
        <f t="shared" si="276"/>
        <v>212502.81</v>
      </c>
      <c r="IS99" s="139">
        <f t="shared" si="276"/>
        <v>180682.5</v>
      </c>
      <c r="IT99" s="139">
        <f t="shared" si="276"/>
        <v>142125.85999999999</v>
      </c>
      <c r="IU99" s="139">
        <f t="shared" si="276"/>
        <v>111400.79</v>
      </c>
      <c r="IV99" s="139">
        <f t="shared" si="276"/>
        <v>93304.98</v>
      </c>
      <c r="IW99" s="139">
        <f t="shared" si="276"/>
        <v>96222.84</v>
      </c>
      <c r="IX99" s="139">
        <f t="shared" si="276"/>
        <v>121653.5</v>
      </c>
      <c r="IY99" s="139">
        <f t="shared" ref="IY99:JJ99" si="277">ROUND(+IY94+IY98,2)</f>
        <v>185128.77</v>
      </c>
      <c r="IZ99" s="139">
        <f t="shared" si="277"/>
        <v>256095.61</v>
      </c>
      <c r="JA99" s="139">
        <f t="shared" si="277"/>
        <v>303892.21000000002</v>
      </c>
      <c r="JB99" s="139">
        <f t="shared" si="277"/>
        <v>311234.18</v>
      </c>
      <c r="JC99" s="139">
        <f t="shared" si="277"/>
        <v>281352.62</v>
      </c>
      <c r="JD99" s="139">
        <f t="shared" si="277"/>
        <v>206283.91</v>
      </c>
      <c r="JE99" s="139">
        <f t="shared" si="277"/>
        <v>81763.64</v>
      </c>
      <c r="JF99" s="139">
        <f t="shared" si="277"/>
        <v>-65106.67</v>
      </c>
      <c r="JG99" s="139">
        <f t="shared" si="277"/>
        <v>-181461.42</v>
      </c>
      <c r="JH99" s="139">
        <f t="shared" si="277"/>
        <v>-275191.64</v>
      </c>
      <c r="JI99" s="139">
        <f t="shared" si="277"/>
        <v>-325125.71000000002</v>
      </c>
      <c r="JJ99" s="139">
        <f t="shared" si="277"/>
        <v>-332188.65000000002</v>
      </c>
      <c r="JK99" s="139">
        <f t="shared" si="276"/>
        <v>-304881.76</v>
      </c>
      <c r="JL99" s="139">
        <f t="shared" si="276"/>
        <v>-274122.11</v>
      </c>
      <c r="JM99" s="139">
        <f t="shared" si="276"/>
        <v>-272556.61</v>
      </c>
      <c r="JN99" s="139">
        <f t="shared" si="276"/>
        <v>-305924.89</v>
      </c>
      <c r="JO99" s="139">
        <f t="shared" ref="JO99:JU99" si="278">ROUND(+JO94+JO98,2)</f>
        <v>-395132.89</v>
      </c>
      <c r="JP99" s="139">
        <f t="shared" si="278"/>
        <v>-529204.31999999995</v>
      </c>
      <c r="JQ99" s="139">
        <f t="shared" si="278"/>
        <v>-689081.97</v>
      </c>
      <c r="JR99" s="139">
        <f t="shared" si="278"/>
        <v>-860800.65</v>
      </c>
      <c r="JS99" s="139">
        <f t="shared" si="278"/>
        <v>-1007807.4</v>
      </c>
      <c r="JT99" s="139">
        <f t="shared" si="278"/>
        <v>-1126642.94</v>
      </c>
      <c r="JU99" s="139">
        <f t="shared" si="278"/>
        <v>-1198796.48</v>
      </c>
      <c r="JV99" s="632"/>
      <c r="JW99" s="414"/>
      <c r="JX99" s="414"/>
      <c r="JY99" s="414"/>
      <c r="JZ99" s="414"/>
      <c r="KA99" s="414"/>
      <c r="KB99" s="414"/>
      <c r="KC99" s="414"/>
      <c r="KD99" s="414"/>
      <c r="KE99" s="414"/>
      <c r="KF99" s="414"/>
      <c r="KG99" s="414"/>
      <c r="KH99" s="414"/>
      <c r="KI99" s="633"/>
    </row>
    <row r="100" spans="1:295" x14ac:dyDescent="0.2">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c r="CI100" s="127"/>
      <c r="CJ100" s="127"/>
      <c r="CK100" s="127"/>
      <c r="CL100" s="127"/>
      <c r="CM100" s="127"/>
      <c r="CN100" s="127"/>
      <c r="CO100" s="127"/>
      <c r="CP100" s="127"/>
      <c r="CQ100" s="127"/>
      <c r="CR100" s="127"/>
      <c r="CS100" s="127"/>
      <c r="CT100" s="127"/>
      <c r="CU100" s="127"/>
      <c r="CV100" s="127"/>
      <c r="CW100" s="127"/>
      <c r="CX100" s="127"/>
      <c r="CY100" s="127"/>
      <c r="CZ100" s="127"/>
      <c r="DA100" s="127"/>
      <c r="DB100" s="127"/>
      <c r="DC100" s="127"/>
      <c r="DD100" s="127"/>
      <c r="DE100" s="127"/>
      <c r="DF100" s="127"/>
      <c r="DG100" s="127"/>
      <c r="DH100" s="127"/>
      <c r="DI100" s="127"/>
      <c r="DJ100" s="127"/>
      <c r="DK100" s="127"/>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139"/>
      <c r="EP100" s="139"/>
      <c r="EQ100" s="139"/>
      <c r="ER100" s="139"/>
      <c r="ES100" s="139"/>
      <c r="ET100" s="139"/>
      <c r="EU100" s="139"/>
      <c r="EV100" s="139"/>
      <c r="EW100" s="139"/>
      <c r="EX100" s="139"/>
      <c r="EY100" s="139"/>
      <c r="EZ100" s="139"/>
      <c r="FA100" s="139"/>
      <c r="FB100" s="139"/>
      <c r="FC100" s="139"/>
      <c r="FD100" s="139"/>
      <c r="FE100" s="139"/>
      <c r="FF100" s="139"/>
      <c r="FG100" s="139"/>
      <c r="FH100" s="139"/>
      <c r="FI100" s="139"/>
      <c r="FJ100" s="139"/>
      <c r="FK100" s="139"/>
      <c r="FL100" s="139"/>
      <c r="FM100" s="139"/>
      <c r="FN100" s="139"/>
      <c r="FO100" s="139"/>
      <c r="FP100" s="139"/>
      <c r="FQ100" s="139"/>
      <c r="FR100" s="139"/>
      <c r="FS100" s="139"/>
      <c r="FT100" s="139"/>
      <c r="FU100" s="139"/>
      <c r="FV100" s="139"/>
      <c r="FW100" s="139"/>
      <c r="FX100" s="139"/>
      <c r="FY100" s="139"/>
      <c r="FZ100" s="139"/>
      <c r="GA100" s="139"/>
      <c r="GB100" s="139"/>
      <c r="GC100" s="139"/>
      <c r="GD100" s="139"/>
      <c r="GE100" s="139"/>
      <c r="GF100" s="139"/>
      <c r="GG100" s="139"/>
      <c r="GH100" s="139"/>
      <c r="GI100" s="139"/>
      <c r="GJ100" s="139"/>
      <c r="GK100" s="139"/>
      <c r="GL100" s="139"/>
      <c r="GM100" s="139"/>
      <c r="GN100" s="139"/>
      <c r="GO100" s="139"/>
      <c r="GP100" s="139"/>
      <c r="GQ100" s="139"/>
      <c r="GR100" s="139"/>
      <c r="GS100" s="139"/>
      <c r="GT100" s="139"/>
      <c r="GU100" s="139"/>
      <c r="GV100" s="139"/>
      <c r="GW100" s="139"/>
      <c r="GX100" s="139"/>
      <c r="GY100" s="139"/>
      <c r="GZ100" s="139"/>
      <c r="HA100" s="139"/>
      <c r="HB100" s="139"/>
      <c r="HC100" s="139"/>
      <c r="HD100" s="139"/>
      <c r="HE100" s="139"/>
      <c r="HF100" s="139"/>
      <c r="HG100" s="139"/>
      <c r="HH100" s="139"/>
      <c r="HI100" s="139"/>
      <c r="HJ100" s="139"/>
      <c r="HK100" s="139"/>
      <c r="HL100" s="139"/>
      <c r="HM100" s="139"/>
      <c r="HN100" s="139"/>
      <c r="HO100" s="139"/>
      <c r="HP100" s="139"/>
      <c r="HQ100" s="139"/>
      <c r="HR100" s="139"/>
      <c r="HS100" s="139"/>
      <c r="HT100" s="139"/>
      <c r="HU100" s="139"/>
      <c r="HV100" s="139"/>
      <c r="HW100" s="139"/>
      <c r="HX100" s="139"/>
      <c r="HY100" s="139"/>
      <c r="HZ100" s="139"/>
      <c r="IA100" s="139"/>
      <c r="IB100" s="139"/>
      <c r="IC100" s="139"/>
      <c r="ID100" s="139"/>
      <c r="IE100" s="139"/>
      <c r="IF100" s="139"/>
      <c r="IG100" s="139"/>
      <c r="IH100" s="139"/>
      <c r="II100" s="139"/>
      <c r="IJ100" s="139"/>
      <c r="IK100" s="139"/>
      <c r="IL100" s="139"/>
      <c r="IM100" s="139"/>
      <c r="IN100" s="139"/>
      <c r="IO100" s="139"/>
      <c r="IP100" s="139"/>
      <c r="IQ100" s="139"/>
      <c r="IR100" s="139"/>
      <c r="IS100" s="139"/>
      <c r="IT100" s="139"/>
      <c r="IU100" s="139"/>
      <c r="IV100" s="139"/>
      <c r="IW100" s="139"/>
      <c r="IX100" s="139"/>
      <c r="IY100" s="139"/>
      <c r="IZ100" s="139"/>
      <c r="JA100" s="139"/>
      <c r="JB100" s="139"/>
      <c r="JC100" s="139"/>
      <c r="JD100" s="139"/>
      <c r="JE100" s="139"/>
      <c r="JF100" s="139"/>
      <c r="JG100" s="139"/>
      <c r="JH100" s="139"/>
      <c r="JI100" s="139"/>
      <c r="JJ100" s="139"/>
      <c r="JK100" s="139"/>
      <c r="JL100" s="139"/>
      <c r="JM100" s="139"/>
      <c r="JN100" s="139"/>
      <c r="JO100" s="139"/>
      <c r="JP100" s="139"/>
      <c r="JQ100" s="139"/>
      <c r="JR100" s="139"/>
      <c r="JS100" s="139"/>
      <c r="JT100" s="139"/>
      <c r="JU100" s="139"/>
      <c r="JV100" s="632"/>
      <c r="JW100" s="414"/>
      <c r="JX100" s="414"/>
      <c r="JY100" s="414"/>
      <c r="JZ100" s="414"/>
      <c r="KA100" s="414"/>
      <c r="KB100" s="414"/>
      <c r="KC100" s="414"/>
      <c r="KD100" s="414"/>
      <c r="KE100" s="414"/>
      <c r="KF100" s="414"/>
      <c r="KG100" s="414"/>
      <c r="KH100" s="414"/>
      <c r="KI100" s="633"/>
    </row>
    <row r="101" spans="1:295" x14ac:dyDescent="0.2">
      <c r="A101" s="23" t="s">
        <v>136</v>
      </c>
      <c r="C101" s="24">
        <v>19100132</v>
      </c>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c r="CI101" s="127"/>
      <c r="CJ101" s="127"/>
      <c r="CK101" s="127"/>
      <c r="CL101" s="127"/>
      <c r="CM101" s="127"/>
      <c r="CN101" s="127"/>
      <c r="CO101" s="127"/>
      <c r="CP101" s="127"/>
      <c r="CQ101" s="127"/>
      <c r="CR101" s="127"/>
      <c r="CS101" s="127"/>
      <c r="CT101" s="127"/>
      <c r="CU101" s="127"/>
      <c r="CV101" s="127"/>
      <c r="CW101" s="127"/>
      <c r="CX101" s="127"/>
      <c r="CY101" s="127"/>
      <c r="CZ101" s="127"/>
      <c r="DA101" s="127"/>
      <c r="DB101" s="127"/>
      <c r="DC101" s="127"/>
      <c r="DD101" s="127"/>
      <c r="DE101" s="127"/>
      <c r="DF101" s="127"/>
      <c r="DG101" s="127"/>
      <c r="DH101" s="127"/>
      <c r="DI101" s="127"/>
      <c r="DJ101" s="127"/>
      <c r="DK101" s="127"/>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39"/>
      <c r="EJ101" s="139"/>
      <c r="EK101" s="139"/>
      <c r="EL101" s="139"/>
      <c r="EM101" s="139"/>
      <c r="EN101" s="139"/>
      <c r="EO101" s="139"/>
      <c r="EP101" s="139"/>
      <c r="EQ101" s="139"/>
      <c r="ER101" s="139"/>
      <c r="ES101" s="139"/>
      <c r="ET101" s="139"/>
      <c r="EU101" s="139"/>
      <c r="EV101" s="139"/>
      <c r="EW101" s="139"/>
      <c r="EX101" s="139"/>
      <c r="EY101" s="139"/>
      <c r="EZ101" s="139"/>
      <c r="FA101" s="139"/>
      <c r="FB101" s="139"/>
      <c r="FC101" s="139"/>
      <c r="FD101" s="139"/>
      <c r="FE101" s="139"/>
      <c r="FF101" s="139"/>
      <c r="FG101" s="139"/>
      <c r="FH101" s="139"/>
      <c r="FI101" s="139"/>
      <c r="FJ101" s="139"/>
      <c r="FK101" s="139"/>
      <c r="FL101" s="139"/>
      <c r="FM101" s="139"/>
      <c r="FN101" s="139"/>
      <c r="FO101" s="139"/>
      <c r="FP101" s="139"/>
      <c r="FQ101" s="139"/>
      <c r="FR101" s="139"/>
      <c r="FS101" s="139"/>
      <c r="FT101" s="139"/>
      <c r="FU101" s="139"/>
      <c r="FV101" s="139"/>
      <c r="FW101" s="139"/>
      <c r="FX101" s="139"/>
      <c r="FY101" s="139"/>
      <c r="FZ101" s="139"/>
      <c r="GA101" s="139"/>
      <c r="GB101" s="139"/>
      <c r="GC101" s="139"/>
      <c r="GD101" s="139"/>
      <c r="GE101" s="139"/>
      <c r="GF101" s="139"/>
      <c r="GG101" s="139"/>
      <c r="GH101" s="139"/>
      <c r="GI101" s="139"/>
      <c r="GJ101" s="139"/>
      <c r="GK101" s="139"/>
      <c r="GL101" s="139"/>
      <c r="GM101" s="139"/>
      <c r="GN101" s="139"/>
      <c r="GO101" s="139"/>
      <c r="GP101" s="139"/>
      <c r="GQ101" s="139"/>
      <c r="GR101" s="139"/>
      <c r="GS101" s="139"/>
      <c r="GT101" s="139"/>
      <c r="GU101" s="139"/>
      <c r="GV101" s="139"/>
      <c r="GW101" s="139"/>
      <c r="GX101" s="139"/>
      <c r="GY101" s="139"/>
      <c r="GZ101" s="139"/>
      <c r="HA101" s="139"/>
      <c r="HB101" s="139"/>
      <c r="HC101" s="139"/>
      <c r="HD101" s="139"/>
      <c r="HE101" s="139"/>
      <c r="HF101" s="139"/>
      <c r="HG101" s="139"/>
      <c r="HH101" s="139"/>
      <c r="HI101" s="139"/>
      <c r="HJ101" s="139"/>
      <c r="HK101" s="139"/>
      <c r="HL101" s="139"/>
      <c r="HM101" s="139"/>
      <c r="HN101" s="139"/>
      <c r="HO101" s="139"/>
      <c r="HP101" s="139"/>
      <c r="HQ101" s="139"/>
      <c r="HR101" s="139"/>
      <c r="HS101" s="139"/>
      <c r="HT101" s="139"/>
      <c r="HU101" s="139"/>
      <c r="HV101" s="139"/>
      <c r="HW101" s="139"/>
      <c r="HX101" s="139"/>
      <c r="HY101" s="139"/>
      <c r="HZ101" s="139"/>
      <c r="IA101" s="139"/>
      <c r="IB101" s="139"/>
      <c r="IC101" s="139"/>
      <c r="ID101" s="139"/>
      <c r="IE101" s="139"/>
      <c r="IF101" s="139"/>
      <c r="IG101" s="139"/>
      <c r="IH101" s="139"/>
      <c r="II101" s="139"/>
      <c r="IJ101" s="139"/>
      <c r="IK101" s="139"/>
      <c r="IL101" s="139"/>
      <c r="IM101" s="139"/>
      <c r="IN101" s="139"/>
      <c r="IO101" s="139"/>
      <c r="IP101" s="139"/>
      <c r="IQ101" s="139"/>
      <c r="IR101" s="139"/>
      <c r="IS101" s="139"/>
      <c r="IT101" s="139"/>
      <c r="IU101" s="139"/>
      <c r="IV101" s="139"/>
      <c r="IW101" s="139"/>
      <c r="IX101" s="139"/>
      <c r="IY101" s="139"/>
      <c r="IZ101" s="139"/>
      <c r="JA101" s="139"/>
      <c r="JB101" s="139"/>
      <c r="JC101" s="139"/>
      <c r="JD101" s="139"/>
      <c r="JE101" s="139"/>
      <c r="JF101" s="139"/>
      <c r="JG101" s="139"/>
      <c r="JH101" s="139"/>
      <c r="JI101" s="139"/>
      <c r="JJ101" s="139"/>
      <c r="JK101" s="139"/>
      <c r="JL101" s="139"/>
      <c r="JM101" s="139"/>
      <c r="JN101" s="139"/>
      <c r="JO101" s="139"/>
      <c r="JP101" s="139"/>
      <c r="JQ101" s="139"/>
      <c r="JR101" s="139"/>
      <c r="JS101" s="139"/>
      <c r="JT101" s="139"/>
      <c r="JU101" s="139"/>
      <c r="JV101" s="632"/>
      <c r="JW101" s="414"/>
      <c r="JX101" s="414"/>
      <c r="JY101" s="414"/>
      <c r="JZ101" s="414"/>
      <c r="KA101" s="414"/>
      <c r="KB101" s="414"/>
      <c r="KC101" s="414"/>
      <c r="KD101" s="414"/>
      <c r="KE101" s="414"/>
      <c r="KF101" s="414"/>
      <c r="KG101" s="414"/>
      <c r="KH101" s="414"/>
      <c r="KI101" s="633"/>
    </row>
    <row r="102" spans="1:295" x14ac:dyDescent="0.2">
      <c r="B102" s="24" t="s">
        <v>104</v>
      </c>
      <c r="D102" s="114">
        <v>3376888.35</v>
      </c>
      <c r="E102" s="50">
        <f>+D107</f>
        <v>3809017.31</v>
      </c>
      <c r="F102" s="50">
        <f>+E107</f>
        <v>0</v>
      </c>
      <c r="G102" s="50">
        <f>+F107</f>
        <v>292453.09999999998</v>
      </c>
      <c r="H102" s="50">
        <f>+G107</f>
        <v>214314.31</v>
      </c>
      <c r="I102" s="50">
        <f t="shared" ref="I102:AA102" si="279">ROUND(+H107,2)</f>
        <v>88096.47</v>
      </c>
      <c r="J102" s="50">
        <f t="shared" si="279"/>
        <v>-99624.07</v>
      </c>
      <c r="K102" s="50">
        <f t="shared" si="279"/>
        <v>-277868.93</v>
      </c>
      <c r="L102" s="50">
        <f t="shared" si="279"/>
        <v>-465625.75</v>
      </c>
      <c r="M102" s="50">
        <f t="shared" si="279"/>
        <v>-712513.82</v>
      </c>
      <c r="N102" s="50">
        <f t="shared" si="279"/>
        <v>-943196.33</v>
      </c>
      <c r="O102" s="50">
        <f t="shared" si="279"/>
        <v>-1207372.29</v>
      </c>
      <c r="P102" s="50">
        <f t="shared" si="279"/>
        <v>-1492497.43</v>
      </c>
      <c r="Q102" s="50">
        <f t="shared" si="279"/>
        <v>-1803690.12</v>
      </c>
      <c r="R102" s="50">
        <f t="shared" si="279"/>
        <v>-2142848.64</v>
      </c>
      <c r="S102" s="50">
        <f t="shared" si="279"/>
        <v>-2503056.89</v>
      </c>
      <c r="T102" s="50">
        <f t="shared" si="279"/>
        <v>-2902829.61</v>
      </c>
      <c r="U102" s="50">
        <f t="shared" si="279"/>
        <v>-3304402.58</v>
      </c>
      <c r="V102" s="50">
        <f>ROUND(+U107,2)</f>
        <v>-3706959.32</v>
      </c>
      <c r="W102" s="50">
        <f t="shared" si="279"/>
        <v>-378426.54</v>
      </c>
      <c r="X102" s="50">
        <f t="shared" si="279"/>
        <v>-350670.96</v>
      </c>
      <c r="Y102" s="50">
        <f t="shared" si="279"/>
        <v>-297154.09999999998</v>
      </c>
      <c r="Z102" s="50">
        <f>ROUND(+Y107,2)</f>
        <v>129162.45</v>
      </c>
      <c r="AA102" s="50">
        <f t="shared" si="279"/>
        <v>137588.76</v>
      </c>
      <c r="AB102" s="50">
        <f>+AA107</f>
        <v>147560.63</v>
      </c>
      <c r="AC102" s="50">
        <f>+AB107</f>
        <v>158006.09</v>
      </c>
      <c r="AD102" s="50">
        <f>+AC107</f>
        <v>159554.57999999999</v>
      </c>
      <c r="AE102" s="50">
        <f t="shared" ref="AE102:AP102" si="280">+AD107</f>
        <v>135186.18</v>
      </c>
      <c r="AF102" s="50">
        <f t="shared" si="280"/>
        <v>47941.31</v>
      </c>
      <c r="AG102" s="50">
        <f t="shared" si="280"/>
        <v>11201.809999999998</v>
      </c>
      <c r="AH102" s="50">
        <f t="shared" si="280"/>
        <v>-25020.29</v>
      </c>
      <c r="AI102" s="50">
        <f t="shared" si="280"/>
        <v>-57127.09</v>
      </c>
      <c r="AJ102" s="50">
        <f t="shared" si="280"/>
        <v>-64587.839999999997</v>
      </c>
      <c r="AK102" s="50">
        <f t="shared" si="280"/>
        <v>-50751.289999999994</v>
      </c>
      <c r="AL102" s="50">
        <f t="shared" si="280"/>
        <v>-26433.789999999994</v>
      </c>
      <c r="AM102" s="50">
        <f t="shared" si="280"/>
        <v>-2029.1499999999942</v>
      </c>
      <c r="AN102" s="50">
        <f t="shared" si="280"/>
        <v>22253.210000000006</v>
      </c>
      <c r="AO102" s="50">
        <f t="shared" si="280"/>
        <v>45901.530000000006</v>
      </c>
      <c r="AP102" s="50">
        <f t="shared" si="280"/>
        <v>57443.710000000006</v>
      </c>
      <c r="AQ102" s="50">
        <f>AP107</f>
        <v>63075.390000000007</v>
      </c>
      <c r="AR102" s="50">
        <f>+AQ107</f>
        <v>-20692.359999999993</v>
      </c>
      <c r="AS102" s="50">
        <f>+AR107</f>
        <v>-58304.569999999992</v>
      </c>
      <c r="AT102" s="50">
        <f t="shared" ref="AT102:BQ102" si="281">+AS107</f>
        <v>-67271.839999999997</v>
      </c>
      <c r="AU102" s="50">
        <f t="shared" si="281"/>
        <v>-58110.649999999994</v>
      </c>
      <c r="AV102" s="50">
        <f t="shared" si="281"/>
        <v>-42276.149999999994</v>
      </c>
      <c r="AW102" s="50">
        <f t="shared" si="281"/>
        <v>8952.6700000000055</v>
      </c>
      <c r="AX102" s="50">
        <f t="shared" si="281"/>
        <v>-57148.029999999992</v>
      </c>
      <c r="AY102" s="50">
        <f t="shared" si="281"/>
        <v>161316.04999999999</v>
      </c>
      <c r="AZ102" s="127">
        <f t="shared" si="281"/>
        <v>258084.08999999997</v>
      </c>
      <c r="BA102" s="127">
        <f t="shared" si="281"/>
        <v>378072.49</v>
      </c>
      <c r="BB102" s="127">
        <f t="shared" si="281"/>
        <v>496537.75</v>
      </c>
      <c r="BC102" s="127">
        <f t="shared" si="281"/>
        <v>563697.78</v>
      </c>
      <c r="BD102" s="127">
        <f t="shared" si="281"/>
        <v>59748.240000000049</v>
      </c>
      <c r="BE102" s="127">
        <f t="shared" si="281"/>
        <v>78941.780000000057</v>
      </c>
      <c r="BF102" s="127">
        <f t="shared" si="281"/>
        <v>191663.68000000005</v>
      </c>
      <c r="BG102" s="127">
        <f t="shared" si="281"/>
        <v>420957.14</v>
      </c>
      <c r="BH102" s="127">
        <f t="shared" si="281"/>
        <v>704509.31</v>
      </c>
      <c r="BI102" s="127">
        <f t="shared" si="281"/>
        <v>1053830.25</v>
      </c>
      <c r="BJ102" s="127">
        <f t="shared" si="281"/>
        <v>1427266.08</v>
      </c>
      <c r="BK102" s="127">
        <f t="shared" si="281"/>
        <v>1775547.02</v>
      </c>
      <c r="BL102" s="127">
        <f t="shared" si="281"/>
        <v>2131468.9900000002</v>
      </c>
      <c r="BM102" s="127">
        <f t="shared" si="281"/>
        <v>2513535.12</v>
      </c>
      <c r="BN102" s="127">
        <f t="shared" si="281"/>
        <v>2896565.99</v>
      </c>
      <c r="BO102" s="127">
        <f t="shared" si="281"/>
        <v>3261512.4000000004</v>
      </c>
      <c r="BP102" s="127">
        <f t="shared" si="281"/>
        <v>384231.74000000022</v>
      </c>
      <c r="BQ102" s="127">
        <f t="shared" si="281"/>
        <v>274852.7800000002</v>
      </c>
      <c r="BR102" s="127">
        <f>ROUND(+BQ107,2)</f>
        <v>-62527.519999999997</v>
      </c>
      <c r="BS102" s="127">
        <f t="shared" ref="BS102:ED102" si="282">ROUND(+BR107,2)</f>
        <v>-223920.14</v>
      </c>
      <c r="BT102" s="127">
        <f t="shared" si="282"/>
        <v>-434156.03</v>
      </c>
      <c r="BU102" s="127">
        <f t="shared" si="282"/>
        <v>-713587.48</v>
      </c>
      <c r="BV102" s="127">
        <f t="shared" si="282"/>
        <v>-1020176.46</v>
      </c>
      <c r="BW102" s="127">
        <f t="shared" si="282"/>
        <v>-1430665.12</v>
      </c>
      <c r="BX102" s="127">
        <f t="shared" si="282"/>
        <v>-1911873.43</v>
      </c>
      <c r="BY102" s="127">
        <f t="shared" si="282"/>
        <v>-2493561.9300000002</v>
      </c>
      <c r="BZ102" s="188">
        <f t="shared" si="282"/>
        <v>-3135819.61</v>
      </c>
      <c r="CA102" s="127">
        <f t="shared" si="282"/>
        <v>-3813475.14</v>
      </c>
      <c r="CB102" s="127">
        <f t="shared" si="282"/>
        <v>-784793.83</v>
      </c>
      <c r="CC102" s="127">
        <f t="shared" si="282"/>
        <v>-328273.46000000002</v>
      </c>
      <c r="CD102" s="127">
        <f t="shared" si="282"/>
        <v>-622862.59</v>
      </c>
      <c r="CE102" s="127">
        <f t="shared" si="282"/>
        <v>-915486.29</v>
      </c>
      <c r="CF102" s="127">
        <f t="shared" si="282"/>
        <v>-1213438.1399999999</v>
      </c>
      <c r="CG102" s="127">
        <f t="shared" si="282"/>
        <v>-1537169.75</v>
      </c>
      <c r="CH102" s="127">
        <f t="shared" si="282"/>
        <v>-1786385.29</v>
      </c>
      <c r="CI102" s="127">
        <f t="shared" si="282"/>
        <v>-1987001.55</v>
      </c>
      <c r="CJ102" s="127">
        <f t="shared" si="282"/>
        <v>-2143973.1</v>
      </c>
      <c r="CK102" s="127">
        <f t="shared" si="282"/>
        <v>-2247753.79</v>
      </c>
      <c r="CL102" s="127">
        <f t="shared" si="282"/>
        <v>-2343454.89</v>
      </c>
      <c r="CM102" s="127">
        <f t="shared" si="282"/>
        <v>-2479217.02</v>
      </c>
      <c r="CN102" s="127">
        <f t="shared" si="282"/>
        <v>-102787.68</v>
      </c>
      <c r="CO102" s="127">
        <f t="shared" si="282"/>
        <v>-207742.36</v>
      </c>
      <c r="CP102" s="127">
        <f t="shared" si="282"/>
        <v>-281931.78999999998</v>
      </c>
      <c r="CQ102" s="127">
        <f t="shared" si="282"/>
        <v>-301221.40000000002</v>
      </c>
      <c r="CR102" s="127">
        <f t="shared" si="282"/>
        <v>-314892.08</v>
      </c>
      <c r="CS102" s="127">
        <f t="shared" si="282"/>
        <v>-376118.5</v>
      </c>
      <c r="CT102" s="127">
        <f t="shared" si="282"/>
        <v>-435170</v>
      </c>
      <c r="CU102" s="127">
        <f t="shared" si="282"/>
        <v>-542193.28</v>
      </c>
      <c r="CV102" s="127">
        <f t="shared" si="282"/>
        <v>-259804.71</v>
      </c>
      <c r="CW102" s="127">
        <f t="shared" si="282"/>
        <v>-382449.37</v>
      </c>
      <c r="CX102" s="127">
        <f t="shared" si="282"/>
        <v>-522191.78</v>
      </c>
      <c r="CY102" s="127">
        <f t="shared" si="282"/>
        <v>-690048.29</v>
      </c>
      <c r="CZ102" s="127">
        <f t="shared" si="282"/>
        <v>19088.14</v>
      </c>
      <c r="DA102" s="127">
        <f t="shared" si="282"/>
        <v>-17061.89</v>
      </c>
      <c r="DB102" s="127">
        <f t="shared" si="282"/>
        <v>-40525.629999999997</v>
      </c>
      <c r="DC102" s="127">
        <f t="shared" si="282"/>
        <v>-40082.6</v>
      </c>
      <c r="DD102" s="127">
        <f t="shared" si="282"/>
        <v>-26316.34</v>
      </c>
      <c r="DE102" s="127">
        <f t="shared" si="282"/>
        <v>7617.86</v>
      </c>
      <c r="DF102" s="127">
        <f t="shared" si="282"/>
        <v>49480.3</v>
      </c>
      <c r="DG102" s="127">
        <f t="shared" si="282"/>
        <v>62686.94</v>
      </c>
      <c r="DH102" s="127">
        <f t="shared" si="282"/>
        <v>50788.51</v>
      </c>
      <c r="DI102" s="127">
        <f t="shared" si="282"/>
        <v>30885.46</v>
      </c>
      <c r="DJ102" s="127">
        <f t="shared" si="282"/>
        <v>1522.82</v>
      </c>
      <c r="DK102" s="127">
        <f t="shared" si="282"/>
        <v>-41045.199999999997</v>
      </c>
      <c r="DL102" s="139">
        <f t="shared" si="282"/>
        <v>-93993.4</v>
      </c>
      <c r="DM102" s="139">
        <f t="shared" si="282"/>
        <v>43978.71</v>
      </c>
      <c r="DN102" s="139">
        <f t="shared" si="282"/>
        <v>61772.5</v>
      </c>
      <c r="DO102" s="139">
        <f t="shared" si="282"/>
        <v>98609.47</v>
      </c>
      <c r="DP102" s="139">
        <f t="shared" si="282"/>
        <v>145108.79</v>
      </c>
      <c r="DQ102" s="139">
        <f t="shared" si="282"/>
        <v>184970.07</v>
      </c>
      <c r="DR102" s="139">
        <f t="shared" si="282"/>
        <v>213583.05</v>
      </c>
      <c r="DS102" s="139">
        <f t="shared" si="282"/>
        <v>216649.97</v>
      </c>
      <c r="DT102" s="139">
        <f t="shared" si="282"/>
        <v>209234.27</v>
      </c>
      <c r="DU102" s="139">
        <f t="shared" si="282"/>
        <v>192670.6</v>
      </c>
      <c r="DV102" s="139">
        <f t="shared" si="282"/>
        <v>170218.52</v>
      </c>
      <c r="DW102" s="139">
        <f t="shared" si="282"/>
        <v>129084.48</v>
      </c>
      <c r="DX102" s="139">
        <f t="shared" si="282"/>
        <v>80743.97</v>
      </c>
      <c r="DY102" s="139">
        <f t="shared" si="282"/>
        <v>8664</v>
      </c>
      <c r="DZ102" s="139">
        <f t="shared" si="282"/>
        <v>-3406.12</v>
      </c>
      <c r="EA102" s="139">
        <f t="shared" si="282"/>
        <v>-19150.400000000001</v>
      </c>
      <c r="EB102" s="139">
        <f t="shared" si="282"/>
        <v>-38185.26</v>
      </c>
      <c r="EC102" s="139">
        <f t="shared" si="282"/>
        <v>-70595.78</v>
      </c>
      <c r="ED102" s="139">
        <f t="shared" si="282"/>
        <v>-138995.19</v>
      </c>
      <c r="EE102" s="139">
        <f t="shared" ref="EE102:GP102" si="283">ROUND(+ED107,2)</f>
        <v>-228617.91</v>
      </c>
      <c r="EF102" s="139">
        <f t="shared" si="283"/>
        <v>-300175.23</v>
      </c>
      <c r="EG102" s="139">
        <f t="shared" si="283"/>
        <v>-362545.26</v>
      </c>
      <c r="EH102" s="139">
        <f t="shared" si="283"/>
        <v>-466240.92</v>
      </c>
      <c r="EI102" s="139">
        <f t="shared" si="283"/>
        <v>-549200.71</v>
      </c>
      <c r="EJ102" s="139">
        <f t="shared" si="283"/>
        <v>-649349.1</v>
      </c>
      <c r="EK102" s="139">
        <f t="shared" si="283"/>
        <v>-6732.06</v>
      </c>
      <c r="EL102" s="139">
        <f t="shared" si="283"/>
        <v>-9839.4</v>
      </c>
      <c r="EM102" s="139">
        <f t="shared" si="283"/>
        <v>-399.92</v>
      </c>
      <c r="EN102" s="139">
        <f t="shared" si="283"/>
        <v>13644.24</v>
      </c>
      <c r="EO102" s="139">
        <f t="shared" si="283"/>
        <v>33585.730000000003</v>
      </c>
      <c r="EP102" s="139">
        <f t="shared" si="283"/>
        <v>62555.05</v>
      </c>
      <c r="EQ102" s="139">
        <f t="shared" si="283"/>
        <v>89829.16</v>
      </c>
      <c r="ER102" s="139">
        <f t="shared" si="283"/>
        <v>109730.51</v>
      </c>
      <c r="ES102" s="139">
        <f t="shared" si="283"/>
        <v>128760.37</v>
      </c>
      <c r="ET102" s="139">
        <f t="shared" si="283"/>
        <v>137750.13</v>
      </c>
      <c r="EU102" s="139">
        <f t="shared" si="283"/>
        <v>141263.35999999999</v>
      </c>
      <c r="EV102" s="139">
        <f t="shared" si="283"/>
        <v>126148.32</v>
      </c>
      <c r="EW102" s="139">
        <f t="shared" si="283"/>
        <v>9678.9500000000007</v>
      </c>
      <c r="EX102" s="139">
        <f t="shared" si="283"/>
        <v>23691.03</v>
      </c>
      <c r="EY102" s="139">
        <f t="shared" si="283"/>
        <v>50675.93</v>
      </c>
      <c r="EZ102" s="139">
        <f t="shared" si="283"/>
        <v>83676.84</v>
      </c>
      <c r="FA102" s="139">
        <f t="shared" si="283"/>
        <v>144238.65</v>
      </c>
      <c r="FB102" s="139">
        <f t="shared" si="283"/>
        <v>212627.93</v>
      </c>
      <c r="FC102" s="139">
        <f t="shared" si="283"/>
        <v>286859.65000000002</v>
      </c>
      <c r="FD102" s="139">
        <f t="shared" si="283"/>
        <v>358438.76</v>
      </c>
      <c r="FE102" s="139">
        <f t="shared" si="283"/>
        <v>439910.74</v>
      </c>
      <c r="FF102" s="139">
        <f t="shared" si="283"/>
        <v>524470.65</v>
      </c>
      <c r="FG102" s="139">
        <f t="shared" si="283"/>
        <v>602733.26</v>
      </c>
      <c r="FH102" s="139">
        <f t="shared" si="283"/>
        <v>684193.43</v>
      </c>
      <c r="FI102" s="139">
        <f t="shared" si="283"/>
        <v>29.33</v>
      </c>
      <c r="FJ102" s="139">
        <f t="shared" si="283"/>
        <v>-652.38</v>
      </c>
      <c r="FK102" s="139">
        <f t="shared" si="283"/>
        <v>-3500.99</v>
      </c>
      <c r="FL102" s="139">
        <f t="shared" si="283"/>
        <v>-14283.38</v>
      </c>
      <c r="FM102" s="139">
        <f t="shared" si="283"/>
        <v>-37766.58</v>
      </c>
      <c r="FN102" s="139">
        <f t="shared" si="283"/>
        <v>-77790.44</v>
      </c>
      <c r="FO102" s="139">
        <f t="shared" si="283"/>
        <v>-143429.85999999999</v>
      </c>
      <c r="FP102" s="139">
        <f t="shared" si="283"/>
        <v>-219174.08</v>
      </c>
      <c r="FQ102" s="139">
        <f t="shared" si="283"/>
        <v>-302131.06</v>
      </c>
      <c r="FR102" s="139">
        <f t="shared" si="283"/>
        <v>-390095.93</v>
      </c>
      <c r="FS102" s="139">
        <f t="shared" si="283"/>
        <v>-485079.03999999998</v>
      </c>
      <c r="FT102" s="139">
        <f t="shared" si="283"/>
        <v>-592402.56999999995</v>
      </c>
      <c r="FU102" s="139">
        <f t="shared" si="283"/>
        <v>29482.14</v>
      </c>
      <c r="FV102" s="139">
        <f t="shared" si="283"/>
        <v>44379.519999999997</v>
      </c>
      <c r="FW102" s="139">
        <f t="shared" si="283"/>
        <v>54702.44</v>
      </c>
      <c r="FX102" s="139">
        <f t="shared" si="283"/>
        <v>64568.35</v>
      </c>
      <c r="FY102" s="139">
        <f t="shared" si="283"/>
        <v>73950.59</v>
      </c>
      <c r="FZ102" s="139">
        <f t="shared" si="283"/>
        <v>71303.570000000007</v>
      </c>
      <c r="GA102" s="139">
        <f t="shared" si="283"/>
        <v>54030.66</v>
      </c>
      <c r="GB102" s="139">
        <f t="shared" si="283"/>
        <v>23873.51</v>
      </c>
      <c r="GC102" s="139">
        <f t="shared" si="283"/>
        <v>-18589.650000000001</v>
      </c>
      <c r="GD102" s="139">
        <f t="shared" si="283"/>
        <v>-73175.59</v>
      </c>
      <c r="GE102" s="139">
        <f t="shared" si="283"/>
        <v>-135901.54</v>
      </c>
      <c r="GF102" s="139">
        <f t="shared" si="283"/>
        <v>-209976.39</v>
      </c>
      <c r="GG102" s="139">
        <f t="shared" si="283"/>
        <v>4775.7</v>
      </c>
      <c r="GH102" s="139">
        <f t="shared" si="283"/>
        <v>9128.68</v>
      </c>
      <c r="GI102" s="139">
        <f t="shared" si="283"/>
        <v>34585.519999999997</v>
      </c>
      <c r="GJ102" s="139">
        <f t="shared" si="283"/>
        <v>72699.48</v>
      </c>
      <c r="GK102" s="139">
        <f t="shared" si="283"/>
        <v>110440.49</v>
      </c>
      <c r="GL102" s="139">
        <f t="shared" si="283"/>
        <v>137302.31</v>
      </c>
      <c r="GM102" s="139">
        <f t="shared" si="283"/>
        <v>152782.78</v>
      </c>
      <c r="GN102" s="139">
        <f t="shared" si="283"/>
        <v>157451.29999999999</v>
      </c>
      <c r="GO102" s="139">
        <f t="shared" si="283"/>
        <v>154043.98000000001</v>
      </c>
      <c r="GP102" s="139">
        <f t="shared" si="283"/>
        <v>136637.9</v>
      </c>
      <c r="GQ102" s="139">
        <f t="shared" ref="GQ102:JN102" si="284">ROUND(+GP107,2)</f>
        <v>103191.61</v>
      </c>
      <c r="GR102" s="139">
        <f t="shared" si="284"/>
        <v>51101.05</v>
      </c>
      <c r="GS102" s="139">
        <f t="shared" si="284"/>
        <v>-24712.48</v>
      </c>
      <c r="GT102" s="139">
        <f t="shared" si="284"/>
        <v>-50661.81</v>
      </c>
      <c r="GU102" s="139">
        <f t="shared" si="284"/>
        <v>-69516.479999999996</v>
      </c>
      <c r="GV102" s="139">
        <f t="shared" si="284"/>
        <v>-95316.33</v>
      </c>
      <c r="GW102" s="139">
        <f t="shared" si="284"/>
        <v>-127612.35</v>
      </c>
      <c r="GX102" s="139">
        <f t="shared" si="284"/>
        <v>-180652.25</v>
      </c>
      <c r="GY102" s="139">
        <f t="shared" si="284"/>
        <v>-260028.41</v>
      </c>
      <c r="GZ102" s="139">
        <f t="shared" si="284"/>
        <v>-354652.15</v>
      </c>
      <c r="HA102" s="139">
        <f t="shared" si="284"/>
        <v>-478636.28</v>
      </c>
      <c r="HB102" s="139">
        <f t="shared" si="284"/>
        <v>-626312.81999999995</v>
      </c>
      <c r="HC102" s="139">
        <f t="shared" si="284"/>
        <v>-743258.16</v>
      </c>
      <c r="HD102" s="139">
        <f t="shared" si="284"/>
        <v>-992547.93</v>
      </c>
      <c r="HE102" s="139">
        <f t="shared" si="284"/>
        <v>20438.02</v>
      </c>
      <c r="HF102" s="139">
        <f t="shared" si="284"/>
        <v>130445.27</v>
      </c>
      <c r="HG102" s="139">
        <f t="shared" si="284"/>
        <v>332902.78000000003</v>
      </c>
      <c r="HH102" s="139">
        <f t="shared" si="284"/>
        <v>556977.75</v>
      </c>
      <c r="HI102" s="139">
        <f t="shared" si="284"/>
        <v>1055471.55</v>
      </c>
      <c r="HJ102" s="139">
        <f t="shared" si="284"/>
        <v>1806989.41</v>
      </c>
      <c r="HK102" s="139">
        <f t="shared" si="284"/>
        <v>1988111.71</v>
      </c>
      <c r="HL102" s="139">
        <f t="shared" si="284"/>
        <v>2476150.58</v>
      </c>
      <c r="HM102" s="139">
        <f t="shared" si="284"/>
        <v>2981822.76</v>
      </c>
      <c r="HN102" s="139">
        <f t="shared" si="284"/>
        <v>3475100.99</v>
      </c>
      <c r="HO102" s="139">
        <f t="shared" si="284"/>
        <v>3940670.64</v>
      </c>
      <c r="HP102" s="139">
        <f t="shared" si="284"/>
        <v>4398506.32</v>
      </c>
      <c r="HQ102" s="139">
        <f t="shared" si="284"/>
        <v>-7580.12</v>
      </c>
      <c r="HR102" s="139">
        <f t="shared" si="284"/>
        <v>13849.09</v>
      </c>
      <c r="HS102" s="139">
        <f t="shared" si="284"/>
        <v>47398.92</v>
      </c>
      <c r="HT102" s="139">
        <f t="shared" si="284"/>
        <v>97141.38</v>
      </c>
      <c r="HU102" s="139">
        <f t="shared" si="284"/>
        <v>166436.32</v>
      </c>
      <c r="HV102" s="139">
        <f t="shared" si="284"/>
        <v>242737.52</v>
      </c>
      <c r="HW102" s="139">
        <f t="shared" si="284"/>
        <v>313842.19</v>
      </c>
      <c r="HX102" s="139">
        <f t="shared" si="284"/>
        <v>378956.47</v>
      </c>
      <c r="HY102" s="139">
        <f t="shared" si="284"/>
        <v>422845.75</v>
      </c>
      <c r="HZ102" s="139">
        <f t="shared" si="284"/>
        <v>465137.98</v>
      </c>
      <c r="IA102" s="139">
        <f t="shared" si="284"/>
        <v>504726.61</v>
      </c>
      <c r="IB102" s="139">
        <f t="shared" si="284"/>
        <v>539901.93000000005</v>
      </c>
      <c r="IC102" s="139">
        <f t="shared" si="284"/>
        <v>-4473.95</v>
      </c>
      <c r="ID102" s="139">
        <f t="shared" si="284"/>
        <v>1549.85</v>
      </c>
      <c r="IE102" s="139">
        <f t="shared" si="284"/>
        <v>13469.31</v>
      </c>
      <c r="IF102" s="139">
        <f t="shared" si="284"/>
        <v>30945.77</v>
      </c>
      <c r="IG102" s="139">
        <f t="shared" si="284"/>
        <v>25873.31</v>
      </c>
      <c r="IH102" s="139">
        <f t="shared" si="284"/>
        <v>26828.36</v>
      </c>
      <c r="II102" s="139">
        <f t="shared" si="284"/>
        <v>27789.81</v>
      </c>
      <c r="IJ102" s="139">
        <f t="shared" si="284"/>
        <v>31758.720000000001</v>
      </c>
      <c r="IK102" s="139">
        <f t="shared" si="284"/>
        <v>30762.81</v>
      </c>
      <c r="IL102" s="139">
        <f t="shared" si="284"/>
        <v>24896.15</v>
      </c>
      <c r="IM102" s="139">
        <f t="shared" si="284"/>
        <v>8815.18</v>
      </c>
      <c r="IN102" s="139">
        <f t="shared" si="284"/>
        <v>-17612.43</v>
      </c>
      <c r="IO102" s="139">
        <f t="shared" si="284"/>
        <v>-31388.720000000001</v>
      </c>
      <c r="IP102" s="139">
        <f t="shared" si="284"/>
        <v>-35385.339999999997</v>
      </c>
      <c r="IQ102" s="139">
        <f t="shared" si="284"/>
        <v>-1645.58</v>
      </c>
      <c r="IR102" s="139">
        <f t="shared" si="284"/>
        <v>38106.78</v>
      </c>
      <c r="IS102" s="139">
        <f t="shared" si="284"/>
        <v>89893.92</v>
      </c>
      <c r="IT102" s="139">
        <f t="shared" si="284"/>
        <v>154334.85999999999</v>
      </c>
      <c r="IU102" s="139">
        <f t="shared" si="284"/>
        <v>229206.6</v>
      </c>
      <c r="IV102" s="139">
        <f t="shared" si="284"/>
        <v>325353.75</v>
      </c>
      <c r="IW102" s="139">
        <f t="shared" si="284"/>
        <v>427063.99</v>
      </c>
      <c r="IX102" s="139">
        <f t="shared" si="284"/>
        <v>506735.31</v>
      </c>
      <c r="IY102" s="139">
        <f t="shared" ref="IY102" si="285">ROUND(+IX107,2)</f>
        <v>554958.17000000004</v>
      </c>
      <c r="IZ102" s="139">
        <f t="shared" ref="IZ102" si="286">ROUND(+IY107,2)</f>
        <v>590933.11</v>
      </c>
      <c r="JA102" s="139">
        <f t="shared" ref="JA102" si="287">ROUND(+IZ107,2)</f>
        <v>-34893.39</v>
      </c>
      <c r="JB102" s="139">
        <f t="shared" ref="JB102" si="288">ROUND(+JA107,2)</f>
        <v>-33011.15</v>
      </c>
      <c r="JC102" s="139">
        <f t="shared" ref="JC102" si="289">ROUND(+JB107,2)</f>
        <v>-80914.23</v>
      </c>
      <c r="JD102" s="139">
        <f t="shared" ref="JD102" si="290">ROUND(+JC107,2)</f>
        <v>-253901.77</v>
      </c>
      <c r="JE102" s="139">
        <f t="shared" ref="JE102" si="291">ROUND(+JD107,2)</f>
        <v>-522104.02</v>
      </c>
      <c r="JF102" s="139">
        <f t="shared" ref="JF102" si="292">ROUND(+JE107,2)</f>
        <v>-942206.8</v>
      </c>
      <c r="JG102" s="139">
        <f t="shared" ref="JG102" si="293">ROUND(+JF107,2)</f>
        <v>-1497400.57</v>
      </c>
      <c r="JH102" s="139">
        <f t="shared" ref="JH102" si="294">ROUND(+JG107,2)</f>
        <v>-2081515.71</v>
      </c>
      <c r="JI102" s="139">
        <f t="shared" ref="JI102" si="295">ROUND(+JH107,2)</f>
        <v>-2770230.54</v>
      </c>
      <c r="JJ102" s="139">
        <f t="shared" ref="JJ102" si="296">ROUND(+JI107,2)</f>
        <v>-3531462.3</v>
      </c>
      <c r="JK102" s="139">
        <f>ROUND(+JJ107,2)</f>
        <v>-4330689.26</v>
      </c>
      <c r="JL102" s="139">
        <f t="shared" si="284"/>
        <v>-5238961.41</v>
      </c>
      <c r="JM102" s="139">
        <f t="shared" si="284"/>
        <v>58740.22</v>
      </c>
      <c r="JN102" s="139">
        <f t="shared" si="284"/>
        <v>36922.339999999997</v>
      </c>
      <c r="JO102" s="139">
        <f t="shared" ref="JO102:JU102" si="297">ROUND(+JN107,2)</f>
        <v>54938.32</v>
      </c>
      <c r="JP102" s="139">
        <f t="shared" si="297"/>
        <v>74317.95</v>
      </c>
      <c r="JQ102" s="139">
        <f t="shared" si="297"/>
        <v>87512.23</v>
      </c>
      <c r="JR102" s="139">
        <f t="shared" si="297"/>
        <v>38560.730000000003</v>
      </c>
      <c r="JS102" s="139">
        <f t="shared" si="297"/>
        <v>-120471.82</v>
      </c>
      <c r="JT102" s="139">
        <f t="shared" si="297"/>
        <v>-338146.16</v>
      </c>
      <c r="JU102" s="139">
        <f t="shared" si="297"/>
        <v>-590050.24</v>
      </c>
      <c r="JV102" s="632"/>
      <c r="JW102" s="414"/>
      <c r="JX102" s="414"/>
      <c r="JY102" s="414"/>
      <c r="JZ102" s="414"/>
      <c r="KA102" s="414"/>
      <c r="KB102" s="414"/>
      <c r="KC102" s="414"/>
      <c r="KD102" s="414"/>
      <c r="KE102" s="414"/>
      <c r="KF102" s="414"/>
      <c r="KG102" s="414"/>
      <c r="KH102" s="414"/>
      <c r="KI102" s="633"/>
    </row>
    <row r="103" spans="1:295" x14ac:dyDescent="0.2">
      <c r="B103" s="24" t="s">
        <v>128</v>
      </c>
      <c r="D103" s="114"/>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88"/>
      <c r="CA103" s="127"/>
      <c r="CB103" s="127"/>
      <c r="CC103" s="127"/>
      <c r="CD103" s="127"/>
      <c r="CE103" s="127"/>
      <c r="CF103" s="127"/>
      <c r="CG103" s="127"/>
      <c r="CH103" s="127"/>
      <c r="CI103" s="127"/>
      <c r="CJ103" s="127"/>
      <c r="CK103" s="127"/>
      <c r="CL103" s="127"/>
      <c r="CM103" s="127"/>
      <c r="CN103" s="127"/>
      <c r="CO103" s="127"/>
      <c r="CP103" s="127"/>
      <c r="CQ103" s="127"/>
      <c r="CR103" s="127"/>
      <c r="CS103" s="127"/>
      <c r="CT103" s="127"/>
      <c r="CU103" s="127"/>
      <c r="CV103" s="127"/>
      <c r="CW103" s="127"/>
      <c r="CX103" s="127"/>
      <c r="CY103" s="127"/>
      <c r="CZ103" s="127"/>
      <c r="DA103" s="127"/>
      <c r="DB103" s="127"/>
      <c r="DC103" s="127"/>
      <c r="DD103" s="127"/>
      <c r="DE103" s="127"/>
      <c r="DF103" s="127"/>
      <c r="DG103" s="127"/>
      <c r="DH103" s="127"/>
      <c r="DI103" s="127"/>
      <c r="DJ103" s="127"/>
      <c r="DK103" s="127"/>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139"/>
      <c r="EP103" s="139"/>
      <c r="EQ103" s="139"/>
      <c r="ER103" s="139"/>
      <c r="ES103" s="139"/>
      <c r="ET103" s="139"/>
      <c r="EU103" s="139"/>
      <c r="EV103" s="139"/>
      <c r="EW103" s="139"/>
      <c r="EX103" s="139"/>
      <c r="EY103" s="139"/>
      <c r="EZ103" s="139"/>
      <c r="FA103" s="139"/>
      <c r="FB103" s="139"/>
      <c r="FC103" s="139"/>
      <c r="FD103" s="139"/>
      <c r="FE103" s="139"/>
      <c r="FF103" s="139"/>
      <c r="FG103" s="139"/>
      <c r="FH103" s="139"/>
      <c r="FI103" s="139"/>
      <c r="FJ103" s="139"/>
      <c r="FK103" s="139"/>
      <c r="FL103" s="139"/>
      <c r="FM103" s="139"/>
      <c r="FN103" s="139"/>
      <c r="FO103" s="139"/>
      <c r="FP103" s="139"/>
      <c r="FQ103" s="139"/>
      <c r="FR103" s="139"/>
      <c r="FS103" s="139"/>
      <c r="FT103" s="139"/>
      <c r="FU103" s="139"/>
      <c r="FV103" s="139"/>
      <c r="FW103" s="139"/>
      <c r="FX103" s="139"/>
      <c r="FY103" s="139"/>
      <c r="FZ103" s="139"/>
      <c r="GA103" s="139"/>
      <c r="GB103" s="139"/>
      <c r="GC103" s="139"/>
      <c r="GD103" s="139"/>
      <c r="GE103" s="139"/>
      <c r="GF103" s="139"/>
      <c r="GG103" s="139"/>
      <c r="GH103" s="139"/>
      <c r="GI103" s="139"/>
      <c r="GJ103" s="139"/>
      <c r="GK103" s="139"/>
      <c r="GL103" s="139"/>
      <c r="GM103" s="139"/>
      <c r="GN103" s="139"/>
      <c r="GO103" s="139"/>
      <c r="GP103" s="139"/>
      <c r="GQ103" s="139"/>
      <c r="GR103" s="139"/>
      <c r="GS103" s="139"/>
      <c r="GT103" s="139"/>
      <c r="GU103" s="139"/>
      <c r="GV103" s="139"/>
      <c r="GW103" s="139"/>
      <c r="GX103" s="139"/>
      <c r="GY103" s="139"/>
      <c r="GZ103" s="139"/>
      <c r="HA103" s="139"/>
      <c r="HB103" s="139"/>
      <c r="HC103" s="139"/>
      <c r="HD103" s="139"/>
      <c r="HE103" s="139"/>
      <c r="HF103" s="139"/>
      <c r="HG103" s="139"/>
      <c r="HH103" s="139"/>
      <c r="HI103" s="139"/>
      <c r="HJ103" s="139"/>
      <c r="HK103" s="139"/>
      <c r="HL103" s="139"/>
      <c r="HM103" s="139"/>
      <c r="HN103" s="139"/>
      <c r="HO103" s="139"/>
      <c r="HP103" s="145">
        <v>-722568.77</v>
      </c>
      <c r="HQ103" s="139"/>
      <c r="HR103" s="139"/>
      <c r="HS103" s="139"/>
      <c r="HT103" s="139"/>
      <c r="HU103" s="139"/>
      <c r="HV103" s="139"/>
      <c r="HW103" s="139"/>
      <c r="HX103" s="139"/>
      <c r="HY103" s="139"/>
      <c r="HZ103" s="139"/>
      <c r="IA103" s="139"/>
      <c r="IB103" s="15">
        <v>-544785.1</v>
      </c>
      <c r="IC103" s="139"/>
      <c r="ID103" s="139"/>
      <c r="IE103" s="139"/>
      <c r="IF103" s="139"/>
      <c r="IG103" s="139"/>
      <c r="IH103" s="139"/>
      <c r="II103" s="139"/>
      <c r="IJ103" s="139"/>
      <c r="IK103" s="139"/>
      <c r="IL103" s="139"/>
      <c r="IM103" s="139"/>
      <c r="IN103" s="139"/>
      <c r="IO103" s="139"/>
      <c r="IP103" s="139"/>
      <c r="IQ103" s="139"/>
      <c r="IR103" s="139"/>
      <c r="IS103" s="139"/>
      <c r="IT103" s="139"/>
      <c r="IU103" s="139"/>
      <c r="IV103" s="139"/>
      <c r="IW103" s="139"/>
      <c r="IX103" s="139"/>
      <c r="IY103" s="139"/>
      <c r="IZ103" s="139"/>
      <c r="JA103" s="139"/>
      <c r="JB103" s="139"/>
      <c r="JC103" s="139"/>
      <c r="JD103" s="139"/>
      <c r="JE103" s="139"/>
      <c r="JF103" s="139"/>
      <c r="JG103" s="139"/>
      <c r="JH103" s="139"/>
      <c r="JI103" s="139"/>
      <c r="JJ103" s="139"/>
      <c r="JK103" s="370"/>
      <c r="JL103" s="370"/>
      <c r="JM103" s="139"/>
      <c r="JN103" s="139"/>
      <c r="JO103" s="139"/>
      <c r="JP103" s="139"/>
      <c r="JQ103" s="139"/>
      <c r="JR103" s="139"/>
      <c r="JS103" s="139"/>
      <c r="JT103" s="139"/>
      <c r="JU103" s="139"/>
      <c r="JV103" s="632"/>
      <c r="JW103" s="414"/>
      <c r="JX103" s="414"/>
      <c r="JY103" s="414"/>
      <c r="JZ103" s="414"/>
      <c r="KA103" s="414"/>
      <c r="KB103" s="414"/>
      <c r="KC103" s="414"/>
      <c r="KD103" s="414"/>
      <c r="KE103" s="414"/>
      <c r="KF103" s="414"/>
      <c r="KG103" s="414"/>
      <c r="KH103" s="414"/>
      <c r="KI103" s="633"/>
    </row>
    <row r="104" spans="1:295" x14ac:dyDescent="0.2">
      <c r="B104" s="24" t="s">
        <v>105</v>
      </c>
      <c r="D104" s="142"/>
      <c r="E104" s="142">
        <v>-4181078.77</v>
      </c>
      <c r="F104" s="142"/>
      <c r="G104" s="142"/>
      <c r="H104" s="142"/>
      <c r="I104" s="142"/>
      <c r="J104" s="142"/>
      <c r="K104" s="142"/>
      <c r="L104" s="142"/>
      <c r="M104" s="142"/>
      <c r="N104" s="142"/>
      <c r="O104" s="142"/>
      <c r="P104" s="142"/>
      <c r="Q104" s="142"/>
      <c r="R104" s="142"/>
      <c r="S104" s="142"/>
      <c r="T104" s="142"/>
      <c r="U104" s="142"/>
      <c r="V104" s="142">
        <v>2902829.61</v>
      </c>
      <c r="W104" s="142"/>
      <c r="X104" s="142"/>
      <c r="Y104" s="142">
        <v>297154.09999999998</v>
      </c>
      <c r="Z104" s="142"/>
      <c r="AA104" s="142"/>
      <c r="AB104" s="142"/>
      <c r="AC104" s="142"/>
      <c r="AD104" s="142"/>
      <c r="AE104" s="142">
        <v>-60848.08</v>
      </c>
      <c r="AF104" s="142"/>
      <c r="AG104" s="142"/>
      <c r="AH104" s="142"/>
      <c r="AI104" s="142"/>
      <c r="AJ104" s="142"/>
      <c r="AK104" s="142"/>
      <c r="AL104" s="142"/>
      <c r="AM104" s="142"/>
      <c r="AN104" s="142">
        <v>0</v>
      </c>
      <c r="AO104" s="142">
        <v>0</v>
      </c>
      <c r="AP104" s="142">
        <v>0</v>
      </c>
      <c r="AQ104" s="142">
        <v>-83829</v>
      </c>
      <c r="AR104" s="142">
        <v>0</v>
      </c>
      <c r="AS104" s="142">
        <v>0</v>
      </c>
      <c r="AT104" s="142">
        <v>0</v>
      </c>
      <c r="AU104" s="142">
        <v>0</v>
      </c>
      <c r="AV104" s="142">
        <v>0</v>
      </c>
      <c r="AW104" s="142">
        <v>0</v>
      </c>
      <c r="AX104" s="142">
        <v>0</v>
      </c>
      <c r="AY104" s="141"/>
      <c r="AZ104" s="143"/>
      <c r="BA104" s="143"/>
      <c r="BB104" s="143"/>
      <c r="BC104" s="143">
        <v>-593875</v>
      </c>
      <c r="BD104" s="143">
        <v>0</v>
      </c>
      <c r="BE104" s="143">
        <v>0</v>
      </c>
      <c r="BF104" s="143">
        <v>0</v>
      </c>
      <c r="BG104" s="143">
        <v>0</v>
      </c>
      <c r="BH104" s="139"/>
      <c r="BI104" s="139"/>
      <c r="BJ104" s="139"/>
      <c r="BK104" s="139"/>
      <c r="BL104" s="139"/>
      <c r="BM104" s="139"/>
      <c r="BN104" s="143">
        <v>0</v>
      </c>
      <c r="BO104" s="143">
        <v>-3252364</v>
      </c>
      <c r="BP104" s="139"/>
      <c r="BQ104" s="139"/>
      <c r="BR104" s="127"/>
      <c r="BS104" s="139"/>
      <c r="BT104" s="139"/>
      <c r="BU104" s="139"/>
      <c r="BV104" s="139"/>
      <c r="BW104" s="139"/>
      <c r="BX104" s="139"/>
      <c r="BY104" s="139"/>
      <c r="BZ104" s="189"/>
      <c r="CA104" s="147">
        <v>3815276</v>
      </c>
      <c r="CB104" s="139"/>
      <c r="CC104" s="139"/>
      <c r="CD104" s="139"/>
      <c r="CE104" s="139"/>
      <c r="CF104" s="139"/>
      <c r="CG104" s="139"/>
      <c r="CH104" s="139"/>
      <c r="CI104" s="139"/>
      <c r="CJ104" s="139"/>
      <c r="CK104" s="139"/>
      <c r="CL104" s="139"/>
      <c r="CM104" s="143">
        <v>2425328</v>
      </c>
      <c r="CN104" s="139"/>
      <c r="CO104" s="127"/>
      <c r="CP104" s="139"/>
      <c r="CQ104" s="139"/>
      <c r="CR104" s="139"/>
      <c r="CS104" s="139"/>
      <c r="CT104" s="139"/>
      <c r="CU104" s="143">
        <v>376119</v>
      </c>
      <c r="CV104" s="139"/>
      <c r="CW104" s="139"/>
      <c r="CX104" s="139"/>
      <c r="CY104" s="143">
        <v>712145</v>
      </c>
      <c r="CZ104" s="139"/>
      <c r="DA104" s="139"/>
      <c r="DB104" s="139"/>
      <c r="DC104" s="139"/>
      <c r="DD104" s="139"/>
      <c r="DE104" s="139"/>
      <c r="DF104" s="139"/>
      <c r="DG104" s="139"/>
      <c r="DH104" s="139"/>
      <c r="DI104" s="139"/>
      <c r="DJ104" s="139"/>
      <c r="DK104" s="139"/>
      <c r="DL104" s="145">
        <v>120505</v>
      </c>
      <c r="DM104" s="139"/>
      <c r="DN104" s="139"/>
      <c r="DO104" s="139"/>
      <c r="DP104" s="139"/>
      <c r="DQ104" s="139"/>
      <c r="DR104" s="139"/>
      <c r="DS104" s="139"/>
      <c r="DT104" s="139"/>
      <c r="DU104" s="139"/>
      <c r="DV104" s="139"/>
      <c r="DW104" s="139"/>
      <c r="DX104" s="145">
        <v>-71719</v>
      </c>
      <c r="DY104" s="139"/>
      <c r="DZ104" s="139"/>
      <c r="EA104" s="139"/>
      <c r="EB104" s="139"/>
      <c r="EC104" s="139"/>
      <c r="ED104" s="139"/>
      <c r="EE104" s="139"/>
      <c r="EF104" s="139"/>
      <c r="EG104" s="139"/>
      <c r="EH104" s="139"/>
      <c r="EI104" s="139"/>
      <c r="EJ104" s="145">
        <v>657209</v>
      </c>
      <c r="EK104" s="139"/>
      <c r="EL104" s="139"/>
      <c r="EM104" s="139"/>
      <c r="EN104" s="139"/>
      <c r="EO104" s="139"/>
      <c r="EP104" s="139"/>
      <c r="EQ104" s="139"/>
      <c r="ER104" s="139"/>
      <c r="ES104" s="139"/>
      <c r="ET104" s="139"/>
      <c r="EU104" s="139"/>
      <c r="EV104" s="145">
        <v>-120114</v>
      </c>
      <c r="EW104" s="139"/>
      <c r="EX104" s="139"/>
      <c r="EY104" s="139"/>
      <c r="EZ104" s="139"/>
      <c r="FA104" s="139"/>
      <c r="FB104" s="139"/>
      <c r="FC104" s="139"/>
      <c r="FD104" s="139"/>
      <c r="FE104" s="139"/>
      <c r="FF104" s="139"/>
      <c r="FG104" s="139"/>
      <c r="FH104" s="145">
        <v>-683368</v>
      </c>
      <c r="FI104" s="139"/>
      <c r="FJ104" s="139"/>
      <c r="FK104" s="139"/>
      <c r="FL104" s="139"/>
      <c r="FM104" s="139"/>
      <c r="FN104" s="139"/>
      <c r="FO104" s="139"/>
      <c r="FP104" s="139"/>
      <c r="FQ104" s="139"/>
      <c r="FR104" s="139"/>
      <c r="FS104" s="139"/>
      <c r="FT104" s="145">
        <v>608960</v>
      </c>
      <c r="FU104" s="139"/>
      <c r="FV104" s="139"/>
      <c r="FW104" s="139"/>
      <c r="FX104" s="139"/>
      <c r="FY104" s="139"/>
      <c r="FZ104" s="139"/>
      <c r="GA104" s="139"/>
      <c r="GB104" s="139"/>
      <c r="GC104" s="139"/>
      <c r="GD104" s="139"/>
      <c r="GE104" s="139"/>
      <c r="GF104" s="145">
        <v>214684</v>
      </c>
      <c r="GG104" s="139"/>
      <c r="GH104" s="139"/>
      <c r="GI104" s="139"/>
      <c r="GJ104" s="139"/>
      <c r="GK104" s="139"/>
      <c r="GL104" s="139"/>
      <c r="GM104" s="139"/>
      <c r="GN104" s="139"/>
      <c r="GO104" s="139"/>
      <c r="GP104" s="139"/>
      <c r="GQ104" s="139"/>
      <c r="GR104" s="145">
        <v>-56692</v>
      </c>
      <c r="GS104" s="139"/>
      <c r="GT104" s="139"/>
      <c r="GU104" s="139"/>
      <c r="GV104" s="139"/>
      <c r="GW104" s="139"/>
      <c r="GX104" s="139"/>
      <c r="GY104" s="139"/>
      <c r="GZ104" s="139"/>
      <c r="HA104" s="139"/>
      <c r="HB104" s="145"/>
      <c r="HC104" s="145"/>
      <c r="HD104" s="145">
        <v>997225</v>
      </c>
      <c r="HE104" s="145"/>
      <c r="HF104" s="145"/>
      <c r="HG104" s="145"/>
      <c r="HH104" s="139"/>
      <c r="HI104" s="139"/>
      <c r="HJ104" s="181">
        <v>-328225.71000000002</v>
      </c>
      <c r="HK104" s="139"/>
      <c r="HL104" s="139"/>
      <c r="HM104" s="139"/>
      <c r="HN104" s="139"/>
      <c r="HO104" s="139"/>
      <c r="HP104" s="145">
        <v>-3680587.86</v>
      </c>
      <c r="HQ104" s="139"/>
      <c r="HR104" s="139"/>
      <c r="HS104" s="139"/>
      <c r="HT104" s="139"/>
      <c r="HU104" s="139"/>
      <c r="HV104" s="139"/>
      <c r="HW104" s="139"/>
      <c r="HX104" s="139"/>
      <c r="HY104" s="139"/>
      <c r="HZ104" s="139"/>
      <c r="IA104" s="139"/>
      <c r="IB104" s="139"/>
      <c r="IC104" s="139"/>
      <c r="ID104" s="139"/>
      <c r="IE104" s="139"/>
      <c r="IF104" s="139"/>
      <c r="IG104" s="139"/>
      <c r="IH104" s="139"/>
      <c r="II104" s="139"/>
      <c r="IJ104" s="139"/>
      <c r="IK104" s="139"/>
      <c r="IL104" s="139"/>
      <c r="IM104" s="139"/>
      <c r="IN104" s="145">
        <v>-2555.63</v>
      </c>
      <c r="IO104" s="139"/>
      <c r="IP104" s="139"/>
      <c r="IQ104" s="139"/>
      <c r="IR104" s="139"/>
      <c r="IS104" s="139"/>
      <c r="IT104" s="139"/>
      <c r="IU104" s="139"/>
      <c r="IV104" s="139"/>
      <c r="IW104" s="139"/>
      <c r="IX104" s="139"/>
      <c r="IY104" s="139"/>
      <c r="IZ104" s="15">
        <v>-598773.55000000005</v>
      </c>
      <c r="JA104" s="139"/>
      <c r="JB104" s="139"/>
      <c r="JC104" s="139"/>
      <c r="JD104" s="139"/>
      <c r="JE104" s="139"/>
      <c r="JF104" s="139"/>
      <c r="JG104" s="139"/>
      <c r="JH104" s="139"/>
      <c r="JI104" s="139"/>
      <c r="JJ104" s="139"/>
      <c r="JK104" s="370"/>
      <c r="JL104" s="145">
        <v>5301029.24</v>
      </c>
      <c r="JM104" s="139"/>
      <c r="JN104" s="139"/>
      <c r="JO104" s="139"/>
      <c r="JP104" s="139"/>
      <c r="JQ104" s="139"/>
      <c r="JR104" s="139"/>
      <c r="JS104" s="139"/>
      <c r="JT104" s="139"/>
      <c r="JU104" s="139"/>
      <c r="JV104" s="632"/>
      <c r="JW104" s="414"/>
      <c r="JX104" s="414"/>
      <c r="JY104" s="414"/>
      <c r="JZ104" s="414"/>
      <c r="KA104" s="414"/>
      <c r="KB104" s="414"/>
      <c r="KC104" s="414"/>
      <c r="KD104" s="414"/>
      <c r="KE104" s="414"/>
      <c r="KF104" s="414"/>
      <c r="KG104" s="414"/>
      <c r="KH104" s="414"/>
      <c r="KI104" s="633"/>
    </row>
    <row r="105" spans="1:295" x14ac:dyDescent="0.2">
      <c r="B105" s="24" t="s">
        <v>137</v>
      </c>
      <c r="D105" s="142">
        <v>432128.96</v>
      </c>
      <c r="E105" s="142">
        <v>372061.46</v>
      </c>
      <c r="F105" s="142">
        <v>292453.09999999998</v>
      </c>
      <c r="G105" s="142">
        <v>-78138.789999999994</v>
      </c>
      <c r="H105" s="142">
        <v>-126217.84</v>
      </c>
      <c r="I105" s="142">
        <v>-187720.54</v>
      </c>
      <c r="J105" s="142">
        <v>-178244.86</v>
      </c>
      <c r="K105" s="142">
        <v>-187756.82</v>
      </c>
      <c r="L105" s="142">
        <v>-246888.07</v>
      </c>
      <c r="M105" s="142">
        <v>-230682.51</v>
      </c>
      <c r="N105" s="142">
        <v>-264175.96000000002</v>
      </c>
      <c r="O105" s="142">
        <v>-285125.14</v>
      </c>
      <c r="P105" s="142">
        <v>-311192.69</v>
      </c>
      <c r="Q105" s="142">
        <v>-339158.52</v>
      </c>
      <c r="R105" s="142">
        <v>-360208.25</v>
      </c>
      <c r="S105" s="142">
        <v>-399772.72</v>
      </c>
      <c r="T105" s="142">
        <v>-401572.97</v>
      </c>
      <c r="U105" s="142">
        <v>-402556.74</v>
      </c>
      <c r="V105" s="142">
        <v>425703.17</v>
      </c>
      <c r="W105" s="142">
        <v>27755.58</v>
      </c>
      <c r="X105" s="142">
        <v>53516.86</v>
      </c>
      <c r="Y105" s="142">
        <v>129162.45</v>
      </c>
      <c r="Z105" s="142">
        <v>8426.31</v>
      </c>
      <c r="AA105" s="142">
        <v>9971.8700000000008</v>
      </c>
      <c r="AB105" s="142">
        <v>10445.459999999999</v>
      </c>
      <c r="AC105" s="142">
        <v>1548.49</v>
      </c>
      <c r="AD105" s="142">
        <v>-24368.400000000001</v>
      </c>
      <c r="AE105" s="142">
        <v>-26396.79</v>
      </c>
      <c r="AF105" s="142">
        <v>-36739.5</v>
      </c>
      <c r="AG105" s="142">
        <v>-36222.1</v>
      </c>
      <c r="AH105" s="142">
        <v>-32106.799999999999</v>
      </c>
      <c r="AI105" s="142">
        <v>-7460.75</v>
      </c>
      <c r="AJ105" s="142">
        <v>13836.55</v>
      </c>
      <c r="AK105" s="142">
        <v>24317.5</v>
      </c>
      <c r="AL105" s="142">
        <v>24404.639999999999</v>
      </c>
      <c r="AM105" s="142">
        <v>24282.36</v>
      </c>
      <c r="AN105" s="142">
        <v>23648.32</v>
      </c>
      <c r="AO105" s="142">
        <v>11542.18</v>
      </c>
      <c r="AP105" s="142">
        <v>5631.68</v>
      </c>
      <c r="AQ105" s="142">
        <v>61.25</v>
      </c>
      <c r="AR105" s="142">
        <v>-37612.21</v>
      </c>
      <c r="AS105" s="142">
        <v>-8967.27</v>
      </c>
      <c r="AT105" s="142">
        <v>9161.19</v>
      </c>
      <c r="AU105" s="142">
        <v>15834.5</v>
      </c>
      <c r="AV105" s="142">
        <v>51228.82</v>
      </c>
      <c r="AW105" s="142">
        <v>-66100.7</v>
      </c>
      <c r="AX105" s="142">
        <v>218464.08</v>
      </c>
      <c r="AY105" s="142">
        <v>96768.04</v>
      </c>
      <c r="AZ105" s="143">
        <v>119988.4</v>
      </c>
      <c r="BA105" s="143">
        <v>118465.26</v>
      </c>
      <c r="BB105" s="143">
        <v>67160.03</v>
      </c>
      <c r="BC105" s="143">
        <v>89925.46</v>
      </c>
      <c r="BD105" s="143">
        <v>19193.54</v>
      </c>
      <c r="BE105" s="143">
        <v>112721.9</v>
      </c>
      <c r="BF105" s="143">
        <v>229293.46</v>
      </c>
      <c r="BG105" s="143">
        <v>283552.17</v>
      </c>
      <c r="BH105" s="143">
        <v>349320.94</v>
      </c>
      <c r="BI105" s="143">
        <v>373435.83</v>
      </c>
      <c r="BJ105" s="143">
        <v>348280.94</v>
      </c>
      <c r="BK105" s="151">
        <v>355921.97</v>
      </c>
      <c r="BL105" s="151">
        <v>382066.13</v>
      </c>
      <c r="BM105" s="151">
        <v>383030.87</v>
      </c>
      <c r="BN105" s="151">
        <v>364946.41</v>
      </c>
      <c r="BO105" s="151">
        <v>375083.34</v>
      </c>
      <c r="BP105" s="151">
        <v>-109378.96</v>
      </c>
      <c r="BQ105" s="190">
        <v>-337380.3</v>
      </c>
      <c r="BR105" s="152">
        <v>-161392.62</v>
      </c>
      <c r="BS105" s="151">
        <v>-210235.89</v>
      </c>
      <c r="BT105" s="151">
        <v>-279431.45</v>
      </c>
      <c r="BU105" s="151">
        <v>-306588.98</v>
      </c>
      <c r="BV105" s="151">
        <v>-410488.66</v>
      </c>
      <c r="BW105" s="151">
        <v>-481208.31</v>
      </c>
      <c r="BX105" s="151">
        <v>-581688.5</v>
      </c>
      <c r="BY105" s="184">
        <v>-642257.68000000005</v>
      </c>
      <c r="BZ105" s="191">
        <v>-677655.53</v>
      </c>
      <c r="CA105" s="147">
        <v>-786594.69</v>
      </c>
      <c r="CB105" s="151">
        <v>456520.37</v>
      </c>
      <c r="CC105" s="151">
        <v>-294589.13</v>
      </c>
      <c r="CD105" s="151">
        <v>-292623.7</v>
      </c>
      <c r="CE105" s="151">
        <v>-297951.84999999998</v>
      </c>
      <c r="CF105" s="151">
        <v>-323731.61</v>
      </c>
      <c r="CG105" s="151">
        <v>-249215.54</v>
      </c>
      <c r="CH105" s="151">
        <v>-200616.26</v>
      </c>
      <c r="CI105" s="151">
        <v>-156971.54999999999</v>
      </c>
      <c r="CJ105" s="151">
        <v>-103780.69</v>
      </c>
      <c r="CK105" s="151">
        <v>-95701.1</v>
      </c>
      <c r="CL105" s="151">
        <v>-135762.13</v>
      </c>
      <c r="CM105" s="151">
        <v>-48898.66</v>
      </c>
      <c r="CN105" s="151">
        <v>-104954.68</v>
      </c>
      <c r="CO105" s="152">
        <v>-74189.429999999993</v>
      </c>
      <c r="CP105" s="151">
        <v>-19289.61</v>
      </c>
      <c r="CQ105" s="151">
        <v>-13670.68</v>
      </c>
      <c r="CR105" s="151">
        <v>-61226.42</v>
      </c>
      <c r="CS105" s="151">
        <v>-59051.5</v>
      </c>
      <c r="CT105" s="151">
        <v>-107023.28</v>
      </c>
      <c r="CU105" s="151">
        <v>-93730.43</v>
      </c>
      <c r="CV105" s="151">
        <v>-122644.66</v>
      </c>
      <c r="CW105" s="151">
        <v>-139742.41</v>
      </c>
      <c r="CX105" s="151">
        <v>-167856.51</v>
      </c>
      <c r="CY105" s="151">
        <v>-3008.57</v>
      </c>
      <c r="CZ105" s="185">
        <v>-36150.03</v>
      </c>
      <c r="DA105" s="151">
        <v>-23463.74</v>
      </c>
      <c r="DB105" s="186">
        <v>443.03</v>
      </c>
      <c r="DC105" s="186">
        <v>13766.26</v>
      </c>
      <c r="DD105" s="151">
        <v>33934.199999999997</v>
      </c>
      <c r="DE105" s="151">
        <v>41862.44</v>
      </c>
      <c r="DF105" s="184">
        <v>13206.64</v>
      </c>
      <c r="DG105" s="151">
        <v>-11898.43</v>
      </c>
      <c r="DH105" s="143">
        <v>-19903.05</v>
      </c>
      <c r="DI105" s="143">
        <v>-29362.639999999999</v>
      </c>
      <c r="DJ105" s="143">
        <v>-42568.02</v>
      </c>
      <c r="DK105" s="143">
        <v>-52948.2</v>
      </c>
      <c r="DL105" s="143">
        <v>17467.11</v>
      </c>
      <c r="DM105" s="143">
        <v>17793.79</v>
      </c>
      <c r="DN105" s="143">
        <v>36836.97</v>
      </c>
      <c r="DO105" s="143">
        <v>46499.32</v>
      </c>
      <c r="DP105" s="143">
        <v>39861.279999999999</v>
      </c>
      <c r="DQ105" s="143">
        <v>28612.98</v>
      </c>
      <c r="DR105" s="143">
        <v>3066.92</v>
      </c>
      <c r="DS105" s="143">
        <v>-7415.7</v>
      </c>
      <c r="DT105" s="143">
        <v>-16563.669999999998</v>
      </c>
      <c r="DU105" s="143">
        <v>-22452.080000000002</v>
      </c>
      <c r="DV105" s="143">
        <v>-41134.04</v>
      </c>
      <c r="DW105" s="143">
        <v>-48340.51</v>
      </c>
      <c r="DX105" s="143">
        <v>-360.97</v>
      </c>
      <c r="DY105" s="143">
        <v>-12070.12</v>
      </c>
      <c r="DZ105" s="143">
        <v>-15744.28</v>
      </c>
      <c r="EA105" s="143">
        <v>-19034.86</v>
      </c>
      <c r="EB105" s="143">
        <v>-32410.52</v>
      </c>
      <c r="EC105" s="143">
        <v>-68399.41</v>
      </c>
      <c r="ED105" s="143">
        <v>-89622.720000000001</v>
      </c>
      <c r="EE105" s="143">
        <v>-71557.320000000007</v>
      </c>
      <c r="EF105" s="143">
        <v>-62370.03</v>
      </c>
      <c r="EG105" s="143">
        <v>-103695.66</v>
      </c>
      <c r="EH105" s="143">
        <v>-82959.789999999994</v>
      </c>
      <c r="EI105" s="143">
        <v>-100148.39</v>
      </c>
      <c r="EJ105" s="143">
        <v>-14591.96</v>
      </c>
      <c r="EK105" s="143">
        <v>-3107.34</v>
      </c>
      <c r="EL105" s="143">
        <v>9439.48</v>
      </c>
      <c r="EM105" s="143">
        <v>14044.16</v>
      </c>
      <c r="EN105" s="143">
        <v>19941.490000000002</v>
      </c>
      <c r="EO105" s="143">
        <v>28969.32</v>
      </c>
      <c r="EP105" s="143">
        <v>27274.11</v>
      </c>
      <c r="EQ105" s="143">
        <v>19901.349999999999</v>
      </c>
      <c r="ER105" s="143">
        <v>19029.86</v>
      </c>
      <c r="ES105" s="143">
        <v>8989.76</v>
      </c>
      <c r="ET105" s="185">
        <v>3513.23</v>
      </c>
      <c r="EU105" s="185">
        <v>-15115.04</v>
      </c>
      <c r="EV105" s="185">
        <v>3644.63</v>
      </c>
      <c r="EW105" s="185">
        <v>14012.08</v>
      </c>
      <c r="EX105" s="185">
        <v>26984.9</v>
      </c>
      <c r="EY105" s="185">
        <v>33000.910000000003</v>
      </c>
      <c r="EZ105" s="185">
        <v>60561.81</v>
      </c>
      <c r="FA105" s="185">
        <v>68389.279999999999</v>
      </c>
      <c r="FB105" s="185">
        <v>74231.72</v>
      </c>
      <c r="FC105" s="185">
        <v>71579.11</v>
      </c>
      <c r="FD105" s="185">
        <v>81471.98</v>
      </c>
      <c r="FE105" s="185">
        <v>84559.91</v>
      </c>
      <c r="FF105" s="185">
        <v>78262.61</v>
      </c>
      <c r="FG105" s="185">
        <v>81460.17</v>
      </c>
      <c r="FH105" s="185">
        <v>-796.1</v>
      </c>
      <c r="FI105" s="185">
        <v>-681.71</v>
      </c>
      <c r="FJ105" s="185">
        <v>-2848.61</v>
      </c>
      <c r="FK105" s="185">
        <v>-10782.39</v>
      </c>
      <c r="FL105" s="185">
        <v>-23483.200000000001</v>
      </c>
      <c r="FM105" s="185">
        <v>-40023.86</v>
      </c>
      <c r="FN105" s="185">
        <v>-65639.42</v>
      </c>
      <c r="FO105" s="185">
        <v>-75744.22</v>
      </c>
      <c r="FP105" s="185">
        <v>-82956.98</v>
      </c>
      <c r="FQ105" s="185">
        <v>-87964.87</v>
      </c>
      <c r="FR105" s="185">
        <v>-94983.11</v>
      </c>
      <c r="FS105" s="185">
        <v>-107323.53</v>
      </c>
      <c r="FT105" s="185">
        <v>12924.71</v>
      </c>
      <c r="FU105" s="185">
        <v>14897.38</v>
      </c>
      <c r="FV105" s="185">
        <v>10322.92</v>
      </c>
      <c r="FW105" s="185">
        <v>9865.91</v>
      </c>
      <c r="FX105" s="185">
        <v>9382.24</v>
      </c>
      <c r="FY105" s="185">
        <v>-2647.02</v>
      </c>
      <c r="FZ105" s="185">
        <v>-17272.91</v>
      </c>
      <c r="GA105" s="185">
        <v>-30157.15</v>
      </c>
      <c r="GB105" s="185">
        <v>-42463.16</v>
      </c>
      <c r="GC105" s="185">
        <v>-54585.94</v>
      </c>
      <c r="GD105" s="185">
        <v>-62725.95</v>
      </c>
      <c r="GE105" s="185">
        <v>-74074.850000000006</v>
      </c>
      <c r="GF105" s="185">
        <v>68.09</v>
      </c>
      <c r="GG105" s="185">
        <v>4352.9799999999996</v>
      </c>
      <c r="GH105" s="185">
        <v>25456.84</v>
      </c>
      <c r="GI105" s="185">
        <v>38113.96</v>
      </c>
      <c r="GJ105" s="185">
        <v>37741.01</v>
      </c>
      <c r="GK105" s="185">
        <v>26861.82</v>
      </c>
      <c r="GL105" s="185">
        <v>15480.47</v>
      </c>
      <c r="GM105" s="185">
        <v>4668.5200000000004</v>
      </c>
      <c r="GN105" s="185">
        <v>-3407.32</v>
      </c>
      <c r="GO105" s="185">
        <v>-17406.080000000002</v>
      </c>
      <c r="GP105" s="185">
        <v>-33446.29</v>
      </c>
      <c r="GQ105" s="185">
        <v>-52090.559999999998</v>
      </c>
      <c r="GR105" s="192">
        <v>-19121.53</v>
      </c>
      <c r="GS105" s="185">
        <v>-25949.33</v>
      </c>
      <c r="GT105" s="185">
        <v>-18854.669999999998</v>
      </c>
      <c r="GU105" s="185">
        <v>-25799.85</v>
      </c>
      <c r="GV105" s="185">
        <v>-32296.02</v>
      </c>
      <c r="GW105" s="185">
        <v>-53039.9</v>
      </c>
      <c r="GX105" s="185">
        <v>-79376.160000000003</v>
      </c>
      <c r="GY105" s="185">
        <v>-94623.74</v>
      </c>
      <c r="GZ105" s="185">
        <v>-123984.13</v>
      </c>
      <c r="HA105" s="185">
        <v>-147676.54</v>
      </c>
      <c r="HB105" s="192">
        <v>-116945.34</v>
      </c>
      <c r="HC105" s="192">
        <v>-249289.77</v>
      </c>
      <c r="HD105" s="193">
        <v>15760.95</v>
      </c>
      <c r="HE105" s="193">
        <v>110007.25</v>
      </c>
      <c r="HF105" s="193">
        <v>202457.51</v>
      </c>
      <c r="HG105" s="194">
        <v>224074.97</v>
      </c>
      <c r="HH105" s="195">
        <v>498493.8</v>
      </c>
      <c r="HI105" s="185">
        <v>751517.86</v>
      </c>
      <c r="HJ105" s="185">
        <v>509348.01</v>
      </c>
      <c r="HK105" s="185">
        <v>488038.87</v>
      </c>
      <c r="HL105" s="185">
        <v>505672.18</v>
      </c>
      <c r="HM105" s="185">
        <v>493278.23</v>
      </c>
      <c r="HN105" s="185">
        <v>465569.65</v>
      </c>
      <c r="HO105" s="185">
        <v>457835.68</v>
      </c>
      <c r="HP105" s="185">
        <v>-2929.81</v>
      </c>
      <c r="HQ105" s="185">
        <v>21429.21</v>
      </c>
      <c r="HR105" s="185">
        <v>33549.83</v>
      </c>
      <c r="HS105" s="185">
        <v>49742.46</v>
      </c>
      <c r="HT105" s="185">
        <v>69294.94</v>
      </c>
      <c r="HU105" s="185">
        <v>76301.2</v>
      </c>
      <c r="HV105" s="185">
        <v>71104.67</v>
      </c>
      <c r="HW105" s="185">
        <v>65114.28</v>
      </c>
      <c r="HX105" s="185">
        <v>43889.279999999999</v>
      </c>
      <c r="HY105" s="187">
        <v>42292.23</v>
      </c>
      <c r="HZ105" s="15">
        <v>39588.629999999997</v>
      </c>
      <c r="IA105" s="15">
        <v>35175.32</v>
      </c>
      <c r="IB105" s="15">
        <v>409.22</v>
      </c>
      <c r="IC105" s="15">
        <v>6023.8</v>
      </c>
      <c r="ID105" s="15">
        <v>11919.46</v>
      </c>
      <c r="IE105" s="15">
        <v>17476.46</v>
      </c>
      <c r="IF105" s="15">
        <v>-5072.46</v>
      </c>
      <c r="IG105" s="15">
        <v>955.05</v>
      </c>
      <c r="IH105" s="15">
        <v>961.45</v>
      </c>
      <c r="II105" s="15">
        <v>3968.91</v>
      </c>
      <c r="IJ105" s="15">
        <v>-995.91</v>
      </c>
      <c r="IK105" s="15">
        <v>-5866.66</v>
      </c>
      <c r="IL105" s="15">
        <v>-16080.97</v>
      </c>
      <c r="IM105" s="15">
        <v>-26427.61</v>
      </c>
      <c r="IN105" s="15">
        <v>-11220.66</v>
      </c>
      <c r="IO105" s="15">
        <v>-3996.62</v>
      </c>
      <c r="IP105" s="15">
        <v>33739.760000000002</v>
      </c>
      <c r="IQ105" s="15">
        <v>39752.36</v>
      </c>
      <c r="IR105" s="15">
        <v>51787.14</v>
      </c>
      <c r="IS105" s="15">
        <v>64440.94</v>
      </c>
      <c r="IT105" s="15">
        <v>74871.740000000005</v>
      </c>
      <c r="IU105" s="15">
        <v>96147.15</v>
      </c>
      <c r="IV105" s="15">
        <v>101710.24</v>
      </c>
      <c r="IW105" s="15">
        <v>79671.320000000007</v>
      </c>
      <c r="IX105" s="15">
        <v>48222.86</v>
      </c>
      <c r="IY105" s="15">
        <v>35974.94</v>
      </c>
      <c r="IZ105" s="15">
        <v>-27052.95</v>
      </c>
      <c r="JA105" s="15">
        <v>1882.24</v>
      </c>
      <c r="JB105" s="15">
        <v>-47903.08</v>
      </c>
      <c r="JC105" s="15">
        <v>-172987.54</v>
      </c>
      <c r="JD105" s="15">
        <v>-268202.25</v>
      </c>
      <c r="JE105" s="15">
        <v>-420102.78</v>
      </c>
      <c r="JF105" s="15">
        <v>-555193.77</v>
      </c>
      <c r="JG105" s="15">
        <v>-584115.14</v>
      </c>
      <c r="JH105" s="15">
        <v>-688714.83</v>
      </c>
      <c r="JI105" s="15">
        <v>-761231.76</v>
      </c>
      <c r="JJ105" s="145">
        <v>-799226.96</v>
      </c>
      <c r="JK105" s="145">
        <v>-908272.15</v>
      </c>
      <c r="JL105" s="145">
        <v>-3327.61</v>
      </c>
      <c r="JM105" s="145">
        <v>-21817.88</v>
      </c>
      <c r="JN105" s="145">
        <v>18015.98</v>
      </c>
      <c r="JO105" s="145">
        <v>19379.63</v>
      </c>
      <c r="JP105" s="145">
        <v>13194.28</v>
      </c>
      <c r="JQ105" s="145">
        <v>-48951.5</v>
      </c>
      <c r="JR105" s="145">
        <v>-159032.54999999999</v>
      </c>
      <c r="JS105" s="145">
        <v>-217674.34</v>
      </c>
      <c r="JT105" s="145">
        <v>-251904.08</v>
      </c>
      <c r="JU105" s="395">
        <v>-278585.99</v>
      </c>
      <c r="JV105" s="634"/>
      <c r="JW105" s="413"/>
      <c r="JX105" s="413"/>
      <c r="JY105" s="413"/>
      <c r="JZ105" s="413"/>
      <c r="KA105" s="413"/>
      <c r="KB105" s="413"/>
      <c r="KC105" s="413"/>
      <c r="KD105" s="413"/>
      <c r="KE105" s="413"/>
      <c r="KF105" s="413"/>
      <c r="KG105" s="413"/>
      <c r="KH105" s="413"/>
      <c r="KI105" s="635"/>
    </row>
    <row r="106" spans="1:295" x14ac:dyDescent="0.2">
      <c r="B106" s="24" t="s">
        <v>108</v>
      </c>
      <c r="D106" s="180">
        <f>SUM(D103:D105)</f>
        <v>432128.96</v>
      </c>
      <c r="E106" s="180">
        <f t="shared" ref="E106:BP106" si="298">SUM(E103:E105)</f>
        <v>-3809017.31</v>
      </c>
      <c r="F106" s="180">
        <f t="shared" si="298"/>
        <v>292453.09999999998</v>
      </c>
      <c r="G106" s="180">
        <f t="shared" si="298"/>
        <v>-78138.789999999994</v>
      </c>
      <c r="H106" s="180">
        <f t="shared" si="298"/>
        <v>-126217.84</v>
      </c>
      <c r="I106" s="180">
        <f t="shared" si="298"/>
        <v>-187720.54</v>
      </c>
      <c r="J106" s="180">
        <f t="shared" si="298"/>
        <v>-178244.86</v>
      </c>
      <c r="K106" s="180">
        <f t="shared" si="298"/>
        <v>-187756.82</v>
      </c>
      <c r="L106" s="180">
        <f t="shared" si="298"/>
        <v>-246888.07</v>
      </c>
      <c r="M106" s="180">
        <f t="shared" si="298"/>
        <v>-230682.51</v>
      </c>
      <c r="N106" s="180">
        <f t="shared" si="298"/>
        <v>-264175.96000000002</v>
      </c>
      <c r="O106" s="180">
        <f t="shared" si="298"/>
        <v>-285125.14</v>
      </c>
      <c r="P106" s="180">
        <f t="shared" si="298"/>
        <v>-311192.69</v>
      </c>
      <c r="Q106" s="180">
        <f t="shared" si="298"/>
        <v>-339158.52</v>
      </c>
      <c r="R106" s="180">
        <f t="shared" si="298"/>
        <v>-360208.25</v>
      </c>
      <c r="S106" s="180">
        <f t="shared" si="298"/>
        <v>-399772.72</v>
      </c>
      <c r="T106" s="180">
        <f t="shared" si="298"/>
        <v>-401572.97</v>
      </c>
      <c r="U106" s="180">
        <f t="shared" si="298"/>
        <v>-402556.74</v>
      </c>
      <c r="V106" s="180">
        <f t="shared" si="298"/>
        <v>3328532.78</v>
      </c>
      <c r="W106" s="180">
        <f t="shared" si="298"/>
        <v>27755.58</v>
      </c>
      <c r="X106" s="180">
        <f t="shared" si="298"/>
        <v>53516.86</v>
      </c>
      <c r="Y106" s="180">
        <f t="shared" si="298"/>
        <v>426316.55</v>
      </c>
      <c r="Z106" s="180">
        <f t="shared" si="298"/>
        <v>8426.31</v>
      </c>
      <c r="AA106" s="180">
        <f t="shared" si="298"/>
        <v>9971.8700000000008</v>
      </c>
      <c r="AB106" s="180">
        <f t="shared" si="298"/>
        <v>10445.459999999999</v>
      </c>
      <c r="AC106" s="180">
        <f t="shared" si="298"/>
        <v>1548.49</v>
      </c>
      <c r="AD106" s="180">
        <f t="shared" si="298"/>
        <v>-24368.400000000001</v>
      </c>
      <c r="AE106" s="180">
        <f t="shared" si="298"/>
        <v>-87244.87</v>
      </c>
      <c r="AF106" s="180">
        <f t="shared" si="298"/>
        <v>-36739.5</v>
      </c>
      <c r="AG106" s="180">
        <f t="shared" si="298"/>
        <v>-36222.1</v>
      </c>
      <c r="AH106" s="180">
        <f t="shared" si="298"/>
        <v>-32106.799999999999</v>
      </c>
      <c r="AI106" s="180">
        <f t="shared" si="298"/>
        <v>-7460.75</v>
      </c>
      <c r="AJ106" s="180">
        <f t="shared" si="298"/>
        <v>13836.55</v>
      </c>
      <c r="AK106" s="180">
        <f t="shared" si="298"/>
        <v>24317.5</v>
      </c>
      <c r="AL106" s="180">
        <f t="shared" si="298"/>
        <v>24404.639999999999</v>
      </c>
      <c r="AM106" s="180">
        <f t="shared" si="298"/>
        <v>24282.36</v>
      </c>
      <c r="AN106" s="180">
        <f t="shared" si="298"/>
        <v>23648.32</v>
      </c>
      <c r="AO106" s="180">
        <f t="shared" si="298"/>
        <v>11542.18</v>
      </c>
      <c r="AP106" s="180">
        <f t="shared" si="298"/>
        <v>5631.68</v>
      </c>
      <c r="AQ106" s="180">
        <f t="shared" si="298"/>
        <v>-83767.75</v>
      </c>
      <c r="AR106" s="180">
        <f t="shared" si="298"/>
        <v>-37612.21</v>
      </c>
      <c r="AS106" s="180">
        <f t="shared" si="298"/>
        <v>-8967.27</v>
      </c>
      <c r="AT106" s="180">
        <f t="shared" si="298"/>
        <v>9161.19</v>
      </c>
      <c r="AU106" s="180">
        <f t="shared" si="298"/>
        <v>15834.5</v>
      </c>
      <c r="AV106" s="180">
        <f t="shared" si="298"/>
        <v>51228.82</v>
      </c>
      <c r="AW106" s="180">
        <f t="shared" si="298"/>
        <v>-66100.7</v>
      </c>
      <c r="AX106" s="180">
        <f t="shared" si="298"/>
        <v>218464.08</v>
      </c>
      <c r="AY106" s="180">
        <f t="shared" si="298"/>
        <v>96768.04</v>
      </c>
      <c r="AZ106" s="180">
        <f t="shared" si="298"/>
        <v>119988.4</v>
      </c>
      <c r="BA106" s="180">
        <f t="shared" si="298"/>
        <v>118465.26</v>
      </c>
      <c r="BB106" s="180">
        <f t="shared" si="298"/>
        <v>67160.03</v>
      </c>
      <c r="BC106" s="180">
        <f t="shared" si="298"/>
        <v>-503949.54</v>
      </c>
      <c r="BD106" s="180">
        <f t="shared" si="298"/>
        <v>19193.54</v>
      </c>
      <c r="BE106" s="180">
        <f t="shared" si="298"/>
        <v>112721.9</v>
      </c>
      <c r="BF106" s="180">
        <f t="shared" si="298"/>
        <v>229293.46</v>
      </c>
      <c r="BG106" s="180">
        <f t="shared" si="298"/>
        <v>283552.17</v>
      </c>
      <c r="BH106" s="180">
        <f t="shared" si="298"/>
        <v>349320.94</v>
      </c>
      <c r="BI106" s="180">
        <f t="shared" si="298"/>
        <v>373435.83</v>
      </c>
      <c r="BJ106" s="180">
        <f t="shared" si="298"/>
        <v>348280.94</v>
      </c>
      <c r="BK106" s="180">
        <f t="shared" si="298"/>
        <v>355921.97</v>
      </c>
      <c r="BL106" s="180">
        <f t="shared" si="298"/>
        <v>382066.13</v>
      </c>
      <c r="BM106" s="180">
        <f t="shared" si="298"/>
        <v>383030.87</v>
      </c>
      <c r="BN106" s="180">
        <f t="shared" si="298"/>
        <v>364946.41</v>
      </c>
      <c r="BO106" s="180">
        <f t="shared" si="298"/>
        <v>-2877280.66</v>
      </c>
      <c r="BP106" s="180">
        <f t="shared" si="298"/>
        <v>-109378.96</v>
      </c>
      <c r="BQ106" s="180">
        <f t="shared" ref="BQ106" si="299">SUM(BQ103:BQ105)</f>
        <v>-337380.3</v>
      </c>
      <c r="BR106" s="180">
        <f>ROUND(SUM(BR103:BR105),2)</f>
        <v>-161392.62</v>
      </c>
      <c r="BS106" s="180">
        <f t="shared" ref="BS106:ED106" si="300">ROUND(SUM(BS103:BS105),2)</f>
        <v>-210235.89</v>
      </c>
      <c r="BT106" s="180">
        <f t="shared" si="300"/>
        <v>-279431.45</v>
      </c>
      <c r="BU106" s="180">
        <f t="shared" si="300"/>
        <v>-306588.98</v>
      </c>
      <c r="BV106" s="180">
        <f t="shared" si="300"/>
        <v>-410488.66</v>
      </c>
      <c r="BW106" s="180">
        <f t="shared" si="300"/>
        <v>-481208.31</v>
      </c>
      <c r="BX106" s="180">
        <f t="shared" si="300"/>
        <v>-581688.5</v>
      </c>
      <c r="BY106" s="180">
        <f t="shared" si="300"/>
        <v>-642257.68000000005</v>
      </c>
      <c r="BZ106" s="180">
        <f t="shared" si="300"/>
        <v>-677655.53</v>
      </c>
      <c r="CA106" s="180">
        <f t="shared" si="300"/>
        <v>3028681.31</v>
      </c>
      <c r="CB106" s="180">
        <f t="shared" si="300"/>
        <v>456520.37</v>
      </c>
      <c r="CC106" s="180">
        <f t="shared" si="300"/>
        <v>-294589.13</v>
      </c>
      <c r="CD106" s="180">
        <f t="shared" si="300"/>
        <v>-292623.7</v>
      </c>
      <c r="CE106" s="180">
        <f t="shared" si="300"/>
        <v>-297951.84999999998</v>
      </c>
      <c r="CF106" s="180">
        <f t="shared" si="300"/>
        <v>-323731.61</v>
      </c>
      <c r="CG106" s="180">
        <f t="shared" si="300"/>
        <v>-249215.54</v>
      </c>
      <c r="CH106" s="180">
        <f t="shared" si="300"/>
        <v>-200616.26</v>
      </c>
      <c r="CI106" s="154">
        <f t="shared" si="300"/>
        <v>-156971.54999999999</v>
      </c>
      <c r="CJ106" s="180">
        <f t="shared" si="300"/>
        <v>-103780.69</v>
      </c>
      <c r="CK106" s="180">
        <f t="shared" si="300"/>
        <v>-95701.1</v>
      </c>
      <c r="CL106" s="180">
        <f t="shared" si="300"/>
        <v>-135762.13</v>
      </c>
      <c r="CM106" s="180">
        <f t="shared" si="300"/>
        <v>2376429.34</v>
      </c>
      <c r="CN106" s="180">
        <f t="shared" si="300"/>
        <v>-104954.68</v>
      </c>
      <c r="CO106" s="180">
        <f t="shared" si="300"/>
        <v>-74189.429999999993</v>
      </c>
      <c r="CP106" s="180">
        <f t="shared" si="300"/>
        <v>-19289.61</v>
      </c>
      <c r="CQ106" s="180">
        <f t="shared" si="300"/>
        <v>-13670.68</v>
      </c>
      <c r="CR106" s="180">
        <f t="shared" si="300"/>
        <v>-61226.42</v>
      </c>
      <c r="CS106" s="180">
        <f t="shared" si="300"/>
        <v>-59051.5</v>
      </c>
      <c r="CT106" s="180">
        <f t="shared" si="300"/>
        <v>-107023.28</v>
      </c>
      <c r="CU106" s="180">
        <f t="shared" si="300"/>
        <v>282388.57</v>
      </c>
      <c r="CV106" s="180">
        <f t="shared" si="300"/>
        <v>-122644.66</v>
      </c>
      <c r="CW106" s="180">
        <f t="shared" si="300"/>
        <v>-139742.41</v>
      </c>
      <c r="CX106" s="180">
        <f t="shared" si="300"/>
        <v>-167856.51</v>
      </c>
      <c r="CY106" s="180">
        <f t="shared" si="300"/>
        <v>709136.43</v>
      </c>
      <c r="CZ106" s="180">
        <f t="shared" si="300"/>
        <v>-36150.03</v>
      </c>
      <c r="DA106" s="180">
        <f t="shared" si="300"/>
        <v>-23463.74</v>
      </c>
      <c r="DB106" s="180">
        <f t="shared" si="300"/>
        <v>443.03</v>
      </c>
      <c r="DC106" s="180">
        <f t="shared" si="300"/>
        <v>13766.26</v>
      </c>
      <c r="DD106" s="180">
        <f t="shared" si="300"/>
        <v>33934.199999999997</v>
      </c>
      <c r="DE106" s="180">
        <f t="shared" si="300"/>
        <v>41862.44</v>
      </c>
      <c r="DF106" s="180">
        <f t="shared" si="300"/>
        <v>13206.64</v>
      </c>
      <c r="DG106" s="180">
        <f t="shared" si="300"/>
        <v>-11898.43</v>
      </c>
      <c r="DH106" s="180">
        <f t="shared" si="300"/>
        <v>-19903.05</v>
      </c>
      <c r="DI106" s="180">
        <f t="shared" si="300"/>
        <v>-29362.639999999999</v>
      </c>
      <c r="DJ106" s="180">
        <f t="shared" si="300"/>
        <v>-42568.02</v>
      </c>
      <c r="DK106" s="180">
        <f t="shared" si="300"/>
        <v>-52948.2</v>
      </c>
      <c r="DL106" s="172">
        <f t="shared" si="300"/>
        <v>137972.10999999999</v>
      </c>
      <c r="DM106" s="172">
        <f t="shared" si="300"/>
        <v>17793.79</v>
      </c>
      <c r="DN106" s="172">
        <f t="shared" si="300"/>
        <v>36836.97</v>
      </c>
      <c r="DO106" s="172">
        <f t="shared" si="300"/>
        <v>46499.32</v>
      </c>
      <c r="DP106" s="172">
        <f t="shared" si="300"/>
        <v>39861.279999999999</v>
      </c>
      <c r="DQ106" s="172">
        <f t="shared" si="300"/>
        <v>28612.98</v>
      </c>
      <c r="DR106" s="172">
        <f t="shared" si="300"/>
        <v>3066.92</v>
      </c>
      <c r="DS106" s="172">
        <f t="shared" si="300"/>
        <v>-7415.7</v>
      </c>
      <c r="DT106" s="172">
        <f t="shared" si="300"/>
        <v>-16563.669999999998</v>
      </c>
      <c r="DU106" s="172">
        <f t="shared" si="300"/>
        <v>-22452.080000000002</v>
      </c>
      <c r="DV106" s="172">
        <f t="shared" si="300"/>
        <v>-41134.04</v>
      </c>
      <c r="DW106" s="172">
        <f t="shared" si="300"/>
        <v>-48340.51</v>
      </c>
      <c r="DX106" s="172">
        <f t="shared" si="300"/>
        <v>-72079.97</v>
      </c>
      <c r="DY106" s="172">
        <f t="shared" si="300"/>
        <v>-12070.12</v>
      </c>
      <c r="DZ106" s="172">
        <f t="shared" si="300"/>
        <v>-15744.28</v>
      </c>
      <c r="EA106" s="172">
        <f t="shared" si="300"/>
        <v>-19034.86</v>
      </c>
      <c r="EB106" s="172">
        <f t="shared" si="300"/>
        <v>-32410.52</v>
      </c>
      <c r="EC106" s="172">
        <f t="shared" si="300"/>
        <v>-68399.41</v>
      </c>
      <c r="ED106" s="172">
        <f t="shared" si="300"/>
        <v>-89622.720000000001</v>
      </c>
      <c r="EE106" s="172">
        <f t="shared" ref="EE106:GP106" si="301">ROUND(SUM(EE103:EE105),2)</f>
        <v>-71557.320000000007</v>
      </c>
      <c r="EF106" s="172">
        <f t="shared" si="301"/>
        <v>-62370.03</v>
      </c>
      <c r="EG106" s="172">
        <f t="shared" si="301"/>
        <v>-103695.66</v>
      </c>
      <c r="EH106" s="172">
        <f t="shared" si="301"/>
        <v>-82959.789999999994</v>
      </c>
      <c r="EI106" s="172">
        <f t="shared" si="301"/>
        <v>-100148.39</v>
      </c>
      <c r="EJ106" s="172">
        <f t="shared" si="301"/>
        <v>642617.04</v>
      </c>
      <c r="EK106" s="172">
        <f t="shared" si="301"/>
        <v>-3107.34</v>
      </c>
      <c r="EL106" s="172">
        <f t="shared" si="301"/>
        <v>9439.48</v>
      </c>
      <c r="EM106" s="172">
        <f t="shared" si="301"/>
        <v>14044.16</v>
      </c>
      <c r="EN106" s="172">
        <f t="shared" si="301"/>
        <v>19941.490000000002</v>
      </c>
      <c r="EO106" s="172">
        <f t="shared" si="301"/>
        <v>28969.32</v>
      </c>
      <c r="EP106" s="172">
        <f t="shared" si="301"/>
        <v>27274.11</v>
      </c>
      <c r="EQ106" s="172">
        <f t="shared" si="301"/>
        <v>19901.349999999999</v>
      </c>
      <c r="ER106" s="172">
        <f t="shared" si="301"/>
        <v>19029.86</v>
      </c>
      <c r="ES106" s="172">
        <f t="shared" si="301"/>
        <v>8989.76</v>
      </c>
      <c r="ET106" s="172">
        <f t="shared" si="301"/>
        <v>3513.23</v>
      </c>
      <c r="EU106" s="172">
        <f t="shared" si="301"/>
        <v>-15115.04</v>
      </c>
      <c r="EV106" s="172">
        <f t="shared" si="301"/>
        <v>-116469.37</v>
      </c>
      <c r="EW106" s="172">
        <f t="shared" si="301"/>
        <v>14012.08</v>
      </c>
      <c r="EX106" s="172">
        <f t="shared" si="301"/>
        <v>26984.9</v>
      </c>
      <c r="EY106" s="172">
        <f t="shared" si="301"/>
        <v>33000.910000000003</v>
      </c>
      <c r="EZ106" s="172">
        <f t="shared" si="301"/>
        <v>60561.81</v>
      </c>
      <c r="FA106" s="172">
        <f t="shared" si="301"/>
        <v>68389.279999999999</v>
      </c>
      <c r="FB106" s="172">
        <f t="shared" si="301"/>
        <v>74231.72</v>
      </c>
      <c r="FC106" s="172">
        <f t="shared" si="301"/>
        <v>71579.11</v>
      </c>
      <c r="FD106" s="172">
        <f t="shared" si="301"/>
        <v>81471.98</v>
      </c>
      <c r="FE106" s="172">
        <f t="shared" si="301"/>
        <v>84559.91</v>
      </c>
      <c r="FF106" s="172">
        <f t="shared" si="301"/>
        <v>78262.61</v>
      </c>
      <c r="FG106" s="172">
        <f t="shared" si="301"/>
        <v>81460.17</v>
      </c>
      <c r="FH106" s="172">
        <f t="shared" si="301"/>
        <v>-684164.1</v>
      </c>
      <c r="FI106" s="172">
        <f t="shared" si="301"/>
        <v>-681.71</v>
      </c>
      <c r="FJ106" s="172">
        <f t="shared" si="301"/>
        <v>-2848.61</v>
      </c>
      <c r="FK106" s="172">
        <f t="shared" si="301"/>
        <v>-10782.39</v>
      </c>
      <c r="FL106" s="172">
        <f t="shared" si="301"/>
        <v>-23483.200000000001</v>
      </c>
      <c r="FM106" s="172">
        <f t="shared" si="301"/>
        <v>-40023.86</v>
      </c>
      <c r="FN106" s="172">
        <f t="shared" si="301"/>
        <v>-65639.42</v>
      </c>
      <c r="FO106" s="172">
        <f t="shared" si="301"/>
        <v>-75744.22</v>
      </c>
      <c r="FP106" s="172">
        <f t="shared" si="301"/>
        <v>-82956.98</v>
      </c>
      <c r="FQ106" s="172">
        <f t="shared" si="301"/>
        <v>-87964.87</v>
      </c>
      <c r="FR106" s="172">
        <f t="shared" si="301"/>
        <v>-94983.11</v>
      </c>
      <c r="FS106" s="172">
        <f t="shared" si="301"/>
        <v>-107323.53</v>
      </c>
      <c r="FT106" s="172">
        <f t="shared" si="301"/>
        <v>621884.71</v>
      </c>
      <c r="FU106" s="172">
        <f t="shared" si="301"/>
        <v>14897.38</v>
      </c>
      <c r="FV106" s="172">
        <f t="shared" si="301"/>
        <v>10322.92</v>
      </c>
      <c r="FW106" s="172">
        <f t="shared" si="301"/>
        <v>9865.91</v>
      </c>
      <c r="FX106" s="172">
        <f t="shared" si="301"/>
        <v>9382.24</v>
      </c>
      <c r="FY106" s="172">
        <f t="shared" si="301"/>
        <v>-2647.02</v>
      </c>
      <c r="FZ106" s="172">
        <f t="shared" si="301"/>
        <v>-17272.91</v>
      </c>
      <c r="GA106" s="172">
        <f t="shared" si="301"/>
        <v>-30157.15</v>
      </c>
      <c r="GB106" s="172">
        <f t="shared" si="301"/>
        <v>-42463.16</v>
      </c>
      <c r="GC106" s="172">
        <f t="shared" si="301"/>
        <v>-54585.94</v>
      </c>
      <c r="GD106" s="172">
        <f t="shared" si="301"/>
        <v>-62725.95</v>
      </c>
      <c r="GE106" s="172">
        <f t="shared" si="301"/>
        <v>-74074.850000000006</v>
      </c>
      <c r="GF106" s="172">
        <f t="shared" si="301"/>
        <v>214752.09</v>
      </c>
      <c r="GG106" s="172">
        <f t="shared" si="301"/>
        <v>4352.9799999999996</v>
      </c>
      <c r="GH106" s="172">
        <f t="shared" si="301"/>
        <v>25456.84</v>
      </c>
      <c r="GI106" s="172">
        <f t="shared" si="301"/>
        <v>38113.96</v>
      </c>
      <c r="GJ106" s="172">
        <f t="shared" si="301"/>
        <v>37741.01</v>
      </c>
      <c r="GK106" s="172">
        <f t="shared" si="301"/>
        <v>26861.82</v>
      </c>
      <c r="GL106" s="172">
        <f t="shared" si="301"/>
        <v>15480.47</v>
      </c>
      <c r="GM106" s="172">
        <f t="shared" si="301"/>
        <v>4668.5200000000004</v>
      </c>
      <c r="GN106" s="172">
        <f t="shared" si="301"/>
        <v>-3407.32</v>
      </c>
      <c r="GO106" s="172">
        <f t="shared" si="301"/>
        <v>-17406.080000000002</v>
      </c>
      <c r="GP106" s="172">
        <f t="shared" si="301"/>
        <v>-33446.29</v>
      </c>
      <c r="GQ106" s="172">
        <f t="shared" ref="GQ106:JN106" si="302">ROUND(SUM(GQ103:GQ105),2)</f>
        <v>-52090.559999999998</v>
      </c>
      <c r="GR106" s="172">
        <f t="shared" si="302"/>
        <v>-75813.53</v>
      </c>
      <c r="GS106" s="172">
        <f t="shared" si="302"/>
        <v>-25949.33</v>
      </c>
      <c r="GT106" s="172">
        <f t="shared" si="302"/>
        <v>-18854.669999999998</v>
      </c>
      <c r="GU106" s="172">
        <f t="shared" si="302"/>
        <v>-25799.85</v>
      </c>
      <c r="GV106" s="172">
        <f t="shared" si="302"/>
        <v>-32296.02</v>
      </c>
      <c r="GW106" s="172">
        <f t="shared" si="302"/>
        <v>-53039.9</v>
      </c>
      <c r="GX106" s="172">
        <f t="shared" si="302"/>
        <v>-79376.160000000003</v>
      </c>
      <c r="GY106" s="172">
        <f t="shared" si="302"/>
        <v>-94623.74</v>
      </c>
      <c r="GZ106" s="172">
        <f t="shared" si="302"/>
        <v>-123984.13</v>
      </c>
      <c r="HA106" s="172">
        <f t="shared" si="302"/>
        <v>-147676.54</v>
      </c>
      <c r="HB106" s="172">
        <f t="shared" si="302"/>
        <v>-116945.34</v>
      </c>
      <c r="HC106" s="172">
        <f t="shared" si="302"/>
        <v>-249289.77</v>
      </c>
      <c r="HD106" s="172">
        <f t="shared" si="302"/>
        <v>1012985.95</v>
      </c>
      <c r="HE106" s="172">
        <f t="shared" si="302"/>
        <v>110007.25</v>
      </c>
      <c r="HF106" s="172">
        <f t="shared" si="302"/>
        <v>202457.51</v>
      </c>
      <c r="HG106" s="172">
        <f t="shared" si="302"/>
        <v>224074.97</v>
      </c>
      <c r="HH106" s="172">
        <f t="shared" si="302"/>
        <v>498493.8</v>
      </c>
      <c r="HI106" s="172">
        <f t="shared" si="302"/>
        <v>751517.86</v>
      </c>
      <c r="HJ106" s="172">
        <f t="shared" si="302"/>
        <v>181122.3</v>
      </c>
      <c r="HK106" s="172">
        <f t="shared" si="302"/>
        <v>488038.87</v>
      </c>
      <c r="HL106" s="172">
        <f t="shared" si="302"/>
        <v>505672.18</v>
      </c>
      <c r="HM106" s="172">
        <f t="shared" si="302"/>
        <v>493278.23</v>
      </c>
      <c r="HN106" s="172">
        <f t="shared" si="302"/>
        <v>465569.65</v>
      </c>
      <c r="HO106" s="172">
        <f t="shared" si="302"/>
        <v>457835.68</v>
      </c>
      <c r="HP106" s="172">
        <f t="shared" si="302"/>
        <v>-4406086.4400000004</v>
      </c>
      <c r="HQ106" s="172">
        <f t="shared" si="302"/>
        <v>21429.21</v>
      </c>
      <c r="HR106" s="172">
        <f t="shared" si="302"/>
        <v>33549.83</v>
      </c>
      <c r="HS106" s="172">
        <f t="shared" si="302"/>
        <v>49742.46</v>
      </c>
      <c r="HT106" s="172">
        <f t="shared" si="302"/>
        <v>69294.94</v>
      </c>
      <c r="HU106" s="172">
        <f t="shared" si="302"/>
        <v>76301.2</v>
      </c>
      <c r="HV106" s="172">
        <f t="shared" si="302"/>
        <v>71104.67</v>
      </c>
      <c r="HW106" s="172">
        <f t="shared" si="302"/>
        <v>65114.28</v>
      </c>
      <c r="HX106" s="172">
        <f t="shared" si="302"/>
        <v>43889.279999999999</v>
      </c>
      <c r="HY106" s="172">
        <f t="shared" si="302"/>
        <v>42292.23</v>
      </c>
      <c r="HZ106" s="172">
        <f t="shared" si="302"/>
        <v>39588.629999999997</v>
      </c>
      <c r="IA106" s="172">
        <f t="shared" si="302"/>
        <v>35175.32</v>
      </c>
      <c r="IB106" s="172">
        <f t="shared" si="302"/>
        <v>-544375.88</v>
      </c>
      <c r="IC106" s="172">
        <f t="shared" si="302"/>
        <v>6023.8</v>
      </c>
      <c r="ID106" s="172">
        <f t="shared" si="302"/>
        <v>11919.46</v>
      </c>
      <c r="IE106" s="172">
        <f t="shared" si="302"/>
        <v>17476.46</v>
      </c>
      <c r="IF106" s="172">
        <f t="shared" si="302"/>
        <v>-5072.46</v>
      </c>
      <c r="IG106" s="172">
        <f t="shared" si="302"/>
        <v>955.05</v>
      </c>
      <c r="IH106" s="172">
        <f t="shared" si="302"/>
        <v>961.45</v>
      </c>
      <c r="II106" s="172">
        <f t="shared" si="302"/>
        <v>3968.91</v>
      </c>
      <c r="IJ106" s="172">
        <f t="shared" si="302"/>
        <v>-995.91</v>
      </c>
      <c r="IK106" s="172">
        <f t="shared" si="302"/>
        <v>-5866.66</v>
      </c>
      <c r="IL106" s="172">
        <f t="shared" si="302"/>
        <v>-16080.97</v>
      </c>
      <c r="IM106" s="172">
        <f t="shared" si="302"/>
        <v>-26427.61</v>
      </c>
      <c r="IN106" s="172">
        <f t="shared" si="302"/>
        <v>-13776.29</v>
      </c>
      <c r="IO106" s="172">
        <f t="shared" si="302"/>
        <v>-3996.62</v>
      </c>
      <c r="IP106" s="172">
        <f t="shared" si="302"/>
        <v>33739.760000000002</v>
      </c>
      <c r="IQ106" s="172">
        <f t="shared" si="302"/>
        <v>39752.36</v>
      </c>
      <c r="IR106" s="172">
        <f t="shared" si="302"/>
        <v>51787.14</v>
      </c>
      <c r="IS106" s="172">
        <f t="shared" si="302"/>
        <v>64440.94</v>
      </c>
      <c r="IT106" s="172">
        <f t="shared" si="302"/>
        <v>74871.740000000005</v>
      </c>
      <c r="IU106" s="172">
        <f t="shared" si="302"/>
        <v>96147.15</v>
      </c>
      <c r="IV106" s="172">
        <f t="shared" si="302"/>
        <v>101710.24</v>
      </c>
      <c r="IW106" s="172">
        <f t="shared" si="302"/>
        <v>79671.320000000007</v>
      </c>
      <c r="IX106" s="172">
        <f t="shared" si="302"/>
        <v>48222.86</v>
      </c>
      <c r="IY106" s="172">
        <f t="shared" ref="IY106:JJ106" si="303">ROUND(SUM(IY103:IY105),2)</f>
        <v>35974.94</v>
      </c>
      <c r="IZ106" s="172">
        <f t="shared" si="303"/>
        <v>-625826.5</v>
      </c>
      <c r="JA106" s="172">
        <f t="shared" si="303"/>
        <v>1882.24</v>
      </c>
      <c r="JB106" s="172">
        <f t="shared" si="303"/>
        <v>-47903.08</v>
      </c>
      <c r="JC106" s="172">
        <f t="shared" si="303"/>
        <v>-172987.54</v>
      </c>
      <c r="JD106" s="172">
        <f t="shared" si="303"/>
        <v>-268202.25</v>
      </c>
      <c r="JE106" s="172">
        <f t="shared" si="303"/>
        <v>-420102.78</v>
      </c>
      <c r="JF106" s="172">
        <f t="shared" si="303"/>
        <v>-555193.77</v>
      </c>
      <c r="JG106" s="172">
        <f t="shared" si="303"/>
        <v>-584115.14</v>
      </c>
      <c r="JH106" s="172">
        <f t="shared" si="303"/>
        <v>-688714.83</v>
      </c>
      <c r="JI106" s="172">
        <f t="shared" si="303"/>
        <v>-761231.76</v>
      </c>
      <c r="JJ106" s="172">
        <f t="shared" si="303"/>
        <v>-799226.96</v>
      </c>
      <c r="JK106" s="172">
        <f t="shared" si="302"/>
        <v>-908272.15</v>
      </c>
      <c r="JL106" s="172">
        <f t="shared" si="302"/>
        <v>5297701.63</v>
      </c>
      <c r="JM106" s="172">
        <f t="shared" si="302"/>
        <v>-21817.88</v>
      </c>
      <c r="JN106" s="172">
        <f t="shared" si="302"/>
        <v>18015.98</v>
      </c>
      <c r="JO106" s="172">
        <f t="shared" ref="JO106:JU106" si="304">ROUND(SUM(JO103:JO105),2)</f>
        <v>19379.63</v>
      </c>
      <c r="JP106" s="172">
        <f t="shared" si="304"/>
        <v>13194.28</v>
      </c>
      <c r="JQ106" s="172">
        <f t="shared" si="304"/>
        <v>-48951.5</v>
      </c>
      <c r="JR106" s="172">
        <f t="shared" si="304"/>
        <v>-159032.54999999999</v>
      </c>
      <c r="JS106" s="172">
        <f t="shared" si="304"/>
        <v>-217674.34</v>
      </c>
      <c r="JT106" s="172">
        <f t="shared" si="304"/>
        <v>-251904.08</v>
      </c>
      <c r="JU106" s="172">
        <f t="shared" si="304"/>
        <v>-278585.99</v>
      </c>
      <c r="JV106" s="632"/>
      <c r="JW106" s="414"/>
      <c r="JX106" s="414"/>
      <c r="JY106" s="414"/>
      <c r="JZ106" s="414"/>
      <c r="KA106" s="414"/>
      <c r="KB106" s="414"/>
      <c r="KC106" s="414"/>
      <c r="KD106" s="414"/>
      <c r="KE106" s="414"/>
      <c r="KF106" s="414"/>
      <c r="KG106" s="414"/>
      <c r="KH106" s="414"/>
      <c r="KI106" s="633"/>
    </row>
    <row r="107" spans="1:295" x14ac:dyDescent="0.2">
      <c r="B107" s="24" t="s">
        <v>109</v>
      </c>
      <c r="D107" s="50">
        <f t="shared" ref="D107:AB107" si="305">+D102+D106</f>
        <v>3809017.31</v>
      </c>
      <c r="E107" s="50">
        <f t="shared" si="305"/>
        <v>0</v>
      </c>
      <c r="F107" s="50">
        <f t="shared" si="305"/>
        <v>292453.09999999998</v>
      </c>
      <c r="G107" s="50">
        <f t="shared" si="305"/>
        <v>214314.31</v>
      </c>
      <c r="H107" s="50">
        <f t="shared" si="305"/>
        <v>88096.47</v>
      </c>
      <c r="I107" s="50">
        <f t="shared" si="305"/>
        <v>-99624.07</v>
      </c>
      <c r="J107" s="50">
        <f t="shared" si="305"/>
        <v>-277868.93</v>
      </c>
      <c r="K107" s="50">
        <f t="shared" si="305"/>
        <v>-465625.75</v>
      </c>
      <c r="L107" s="50">
        <f t="shared" si="305"/>
        <v>-712513.82000000007</v>
      </c>
      <c r="M107" s="50">
        <f t="shared" si="305"/>
        <v>-943196.33</v>
      </c>
      <c r="N107" s="50">
        <f t="shared" si="305"/>
        <v>-1207372.29</v>
      </c>
      <c r="O107" s="50">
        <f t="shared" si="305"/>
        <v>-1492497.4300000002</v>
      </c>
      <c r="P107" s="50">
        <f t="shared" si="305"/>
        <v>-1803690.1199999999</v>
      </c>
      <c r="Q107" s="50">
        <f t="shared" si="305"/>
        <v>-2142848.64</v>
      </c>
      <c r="R107" s="50">
        <f t="shared" si="305"/>
        <v>-2503056.89</v>
      </c>
      <c r="S107" s="50">
        <f t="shared" si="305"/>
        <v>-2902829.6100000003</v>
      </c>
      <c r="T107" s="50">
        <f t="shared" si="305"/>
        <v>-3304402.58</v>
      </c>
      <c r="U107" s="50">
        <f t="shared" si="305"/>
        <v>-3706959.3200000003</v>
      </c>
      <c r="V107" s="50">
        <f t="shared" si="305"/>
        <v>-378426.54000000004</v>
      </c>
      <c r="W107" s="50">
        <f t="shared" si="305"/>
        <v>-350670.95999999996</v>
      </c>
      <c r="X107" s="50">
        <f t="shared" si="305"/>
        <v>-297154.10000000003</v>
      </c>
      <c r="Y107" s="50">
        <f t="shared" si="305"/>
        <v>129162.45000000001</v>
      </c>
      <c r="Z107" s="50">
        <f t="shared" si="305"/>
        <v>137588.76</v>
      </c>
      <c r="AA107" s="50">
        <f t="shared" si="305"/>
        <v>147560.63</v>
      </c>
      <c r="AB107" s="50">
        <f t="shared" si="305"/>
        <v>158006.09</v>
      </c>
      <c r="AC107" s="50">
        <f>+AC102+AC106</f>
        <v>159554.57999999999</v>
      </c>
      <c r="AD107" s="50">
        <f>+AD102+AD106</f>
        <v>135186.18</v>
      </c>
      <c r="AE107" s="50">
        <f t="shared" ref="AE107:AP107" si="306">+AE102+AE106</f>
        <v>47941.31</v>
      </c>
      <c r="AF107" s="50">
        <f t="shared" si="306"/>
        <v>11201.809999999998</v>
      </c>
      <c r="AG107" s="50">
        <f t="shared" si="306"/>
        <v>-25020.29</v>
      </c>
      <c r="AH107" s="50">
        <f t="shared" si="306"/>
        <v>-57127.09</v>
      </c>
      <c r="AI107" s="50">
        <f t="shared" si="306"/>
        <v>-64587.839999999997</v>
      </c>
      <c r="AJ107" s="50">
        <f t="shared" si="306"/>
        <v>-50751.289999999994</v>
      </c>
      <c r="AK107" s="50">
        <f t="shared" si="306"/>
        <v>-26433.789999999994</v>
      </c>
      <c r="AL107" s="50">
        <f t="shared" si="306"/>
        <v>-2029.1499999999942</v>
      </c>
      <c r="AM107" s="50">
        <f t="shared" si="306"/>
        <v>22253.210000000006</v>
      </c>
      <c r="AN107" s="50">
        <f t="shared" si="306"/>
        <v>45901.530000000006</v>
      </c>
      <c r="AO107" s="50">
        <f t="shared" si="306"/>
        <v>57443.710000000006</v>
      </c>
      <c r="AP107" s="50">
        <f t="shared" si="306"/>
        <v>63075.390000000007</v>
      </c>
      <c r="AQ107" s="50">
        <f>+AQ102+AQ106</f>
        <v>-20692.359999999993</v>
      </c>
      <c r="AR107" s="50">
        <f>+AR102+AR106</f>
        <v>-58304.569999999992</v>
      </c>
      <c r="AS107" s="50">
        <f>+AS102+AS106</f>
        <v>-67271.839999999997</v>
      </c>
      <c r="AT107" s="50">
        <f t="shared" ref="AT107:BQ107" si="307">+AT102+AT106</f>
        <v>-58110.649999999994</v>
      </c>
      <c r="AU107" s="50">
        <f t="shared" si="307"/>
        <v>-42276.149999999994</v>
      </c>
      <c r="AV107" s="50">
        <f t="shared" si="307"/>
        <v>8952.6700000000055</v>
      </c>
      <c r="AW107" s="50">
        <f t="shared" si="307"/>
        <v>-57148.029999999992</v>
      </c>
      <c r="AX107" s="50">
        <f t="shared" si="307"/>
        <v>161316.04999999999</v>
      </c>
      <c r="AY107" s="50">
        <f t="shared" si="307"/>
        <v>258084.08999999997</v>
      </c>
      <c r="AZ107" s="127">
        <f t="shared" si="307"/>
        <v>378072.49</v>
      </c>
      <c r="BA107" s="127">
        <f t="shared" si="307"/>
        <v>496537.75</v>
      </c>
      <c r="BB107" s="127">
        <f t="shared" si="307"/>
        <v>563697.78</v>
      </c>
      <c r="BC107" s="127">
        <f t="shared" si="307"/>
        <v>59748.240000000049</v>
      </c>
      <c r="BD107" s="127">
        <f t="shared" si="307"/>
        <v>78941.780000000057</v>
      </c>
      <c r="BE107" s="127">
        <f t="shared" si="307"/>
        <v>191663.68000000005</v>
      </c>
      <c r="BF107" s="127">
        <f t="shared" si="307"/>
        <v>420957.14</v>
      </c>
      <c r="BG107" s="127">
        <f t="shared" si="307"/>
        <v>704509.31</v>
      </c>
      <c r="BH107" s="127">
        <f t="shared" si="307"/>
        <v>1053830.25</v>
      </c>
      <c r="BI107" s="127">
        <f t="shared" si="307"/>
        <v>1427266.08</v>
      </c>
      <c r="BJ107" s="127">
        <f t="shared" si="307"/>
        <v>1775547.02</v>
      </c>
      <c r="BK107" s="127">
        <f t="shared" si="307"/>
        <v>2131468.9900000002</v>
      </c>
      <c r="BL107" s="127">
        <f t="shared" si="307"/>
        <v>2513535.12</v>
      </c>
      <c r="BM107" s="127">
        <f t="shared" si="307"/>
        <v>2896565.99</v>
      </c>
      <c r="BN107" s="127">
        <f t="shared" si="307"/>
        <v>3261512.4000000004</v>
      </c>
      <c r="BO107" s="127">
        <f t="shared" si="307"/>
        <v>384231.74000000022</v>
      </c>
      <c r="BP107" s="127">
        <f t="shared" si="307"/>
        <v>274852.7800000002</v>
      </c>
      <c r="BQ107" s="127">
        <f t="shared" si="307"/>
        <v>-62527.519999999786</v>
      </c>
      <c r="BR107" s="127">
        <f>ROUND(+BR102+BR106,2)</f>
        <v>-223920.14</v>
      </c>
      <c r="BS107" s="127">
        <f t="shared" ref="BS107:ED107" si="308">ROUND(+BS102+BS106,2)</f>
        <v>-434156.03</v>
      </c>
      <c r="BT107" s="127">
        <f t="shared" si="308"/>
        <v>-713587.48</v>
      </c>
      <c r="BU107" s="127">
        <f t="shared" si="308"/>
        <v>-1020176.46</v>
      </c>
      <c r="BV107" s="127">
        <f t="shared" si="308"/>
        <v>-1430665.12</v>
      </c>
      <c r="BW107" s="127">
        <f t="shared" si="308"/>
        <v>-1911873.43</v>
      </c>
      <c r="BX107" s="127">
        <f t="shared" si="308"/>
        <v>-2493561.9300000002</v>
      </c>
      <c r="BY107" s="127">
        <f t="shared" si="308"/>
        <v>-3135819.61</v>
      </c>
      <c r="BZ107" s="127">
        <f t="shared" si="308"/>
        <v>-3813475.14</v>
      </c>
      <c r="CA107" s="127">
        <f t="shared" si="308"/>
        <v>-784793.83</v>
      </c>
      <c r="CB107" s="127">
        <f t="shared" si="308"/>
        <v>-328273.46000000002</v>
      </c>
      <c r="CC107" s="127">
        <f t="shared" si="308"/>
        <v>-622862.59</v>
      </c>
      <c r="CD107" s="127">
        <f t="shared" si="308"/>
        <v>-915486.29</v>
      </c>
      <c r="CE107" s="127">
        <f t="shared" si="308"/>
        <v>-1213438.1399999999</v>
      </c>
      <c r="CF107" s="127">
        <f t="shared" si="308"/>
        <v>-1537169.75</v>
      </c>
      <c r="CG107" s="127">
        <f t="shared" si="308"/>
        <v>-1786385.29</v>
      </c>
      <c r="CH107" s="127">
        <f t="shared" si="308"/>
        <v>-1987001.55</v>
      </c>
      <c r="CI107" s="157">
        <f t="shared" si="308"/>
        <v>-2143973.1</v>
      </c>
      <c r="CJ107" s="127">
        <f t="shared" si="308"/>
        <v>-2247753.79</v>
      </c>
      <c r="CK107" s="127">
        <f t="shared" si="308"/>
        <v>-2343454.89</v>
      </c>
      <c r="CL107" s="127">
        <f t="shared" si="308"/>
        <v>-2479217.02</v>
      </c>
      <c r="CM107" s="127">
        <f t="shared" si="308"/>
        <v>-102787.68</v>
      </c>
      <c r="CN107" s="127">
        <f t="shared" si="308"/>
        <v>-207742.36</v>
      </c>
      <c r="CO107" s="127">
        <f t="shared" si="308"/>
        <v>-281931.78999999998</v>
      </c>
      <c r="CP107" s="127">
        <f t="shared" si="308"/>
        <v>-301221.40000000002</v>
      </c>
      <c r="CQ107" s="127">
        <f t="shared" si="308"/>
        <v>-314892.08</v>
      </c>
      <c r="CR107" s="127">
        <f t="shared" si="308"/>
        <v>-376118.5</v>
      </c>
      <c r="CS107" s="127">
        <f t="shared" si="308"/>
        <v>-435170</v>
      </c>
      <c r="CT107" s="127">
        <f t="shared" si="308"/>
        <v>-542193.28</v>
      </c>
      <c r="CU107" s="127">
        <f t="shared" si="308"/>
        <v>-259804.71</v>
      </c>
      <c r="CV107" s="127">
        <f t="shared" si="308"/>
        <v>-382449.37</v>
      </c>
      <c r="CW107" s="127">
        <f t="shared" si="308"/>
        <v>-522191.78</v>
      </c>
      <c r="CX107" s="127">
        <f t="shared" si="308"/>
        <v>-690048.29</v>
      </c>
      <c r="CY107" s="127">
        <f t="shared" si="308"/>
        <v>19088.14</v>
      </c>
      <c r="CZ107" s="127">
        <f t="shared" si="308"/>
        <v>-17061.89</v>
      </c>
      <c r="DA107" s="127">
        <f t="shared" si="308"/>
        <v>-40525.629999999997</v>
      </c>
      <c r="DB107" s="127">
        <f t="shared" si="308"/>
        <v>-40082.6</v>
      </c>
      <c r="DC107" s="127">
        <f t="shared" si="308"/>
        <v>-26316.34</v>
      </c>
      <c r="DD107" s="127">
        <f t="shared" si="308"/>
        <v>7617.86</v>
      </c>
      <c r="DE107" s="127">
        <f t="shared" si="308"/>
        <v>49480.3</v>
      </c>
      <c r="DF107" s="127">
        <f t="shared" si="308"/>
        <v>62686.94</v>
      </c>
      <c r="DG107" s="127">
        <f t="shared" si="308"/>
        <v>50788.51</v>
      </c>
      <c r="DH107" s="127">
        <f t="shared" si="308"/>
        <v>30885.46</v>
      </c>
      <c r="DI107" s="127">
        <f t="shared" si="308"/>
        <v>1522.82</v>
      </c>
      <c r="DJ107" s="127">
        <f t="shared" si="308"/>
        <v>-41045.199999999997</v>
      </c>
      <c r="DK107" s="127">
        <f t="shared" si="308"/>
        <v>-93993.4</v>
      </c>
      <c r="DL107" s="139">
        <f t="shared" si="308"/>
        <v>43978.71</v>
      </c>
      <c r="DM107" s="139">
        <f t="shared" si="308"/>
        <v>61772.5</v>
      </c>
      <c r="DN107" s="139">
        <f t="shared" si="308"/>
        <v>98609.47</v>
      </c>
      <c r="DO107" s="139">
        <f t="shared" si="308"/>
        <v>145108.79</v>
      </c>
      <c r="DP107" s="139">
        <f t="shared" si="308"/>
        <v>184970.07</v>
      </c>
      <c r="DQ107" s="139">
        <f t="shared" si="308"/>
        <v>213583.05</v>
      </c>
      <c r="DR107" s="139">
        <f t="shared" si="308"/>
        <v>216649.97</v>
      </c>
      <c r="DS107" s="139">
        <f t="shared" si="308"/>
        <v>209234.27</v>
      </c>
      <c r="DT107" s="139">
        <f t="shared" si="308"/>
        <v>192670.6</v>
      </c>
      <c r="DU107" s="139">
        <f t="shared" si="308"/>
        <v>170218.52</v>
      </c>
      <c r="DV107" s="139">
        <f t="shared" si="308"/>
        <v>129084.48</v>
      </c>
      <c r="DW107" s="139">
        <f t="shared" si="308"/>
        <v>80743.97</v>
      </c>
      <c r="DX107" s="139">
        <f t="shared" si="308"/>
        <v>8664</v>
      </c>
      <c r="DY107" s="139">
        <f t="shared" si="308"/>
        <v>-3406.12</v>
      </c>
      <c r="DZ107" s="139">
        <f t="shared" si="308"/>
        <v>-19150.400000000001</v>
      </c>
      <c r="EA107" s="139">
        <f t="shared" si="308"/>
        <v>-38185.26</v>
      </c>
      <c r="EB107" s="139">
        <f t="shared" si="308"/>
        <v>-70595.78</v>
      </c>
      <c r="EC107" s="139">
        <f t="shared" si="308"/>
        <v>-138995.19</v>
      </c>
      <c r="ED107" s="139">
        <f t="shared" si="308"/>
        <v>-228617.91</v>
      </c>
      <c r="EE107" s="139">
        <f t="shared" ref="EE107:GP107" si="309">ROUND(+EE102+EE106,2)</f>
        <v>-300175.23</v>
      </c>
      <c r="EF107" s="139">
        <f t="shared" si="309"/>
        <v>-362545.26</v>
      </c>
      <c r="EG107" s="139">
        <f t="shared" si="309"/>
        <v>-466240.92</v>
      </c>
      <c r="EH107" s="139">
        <f t="shared" si="309"/>
        <v>-549200.71</v>
      </c>
      <c r="EI107" s="139">
        <f t="shared" si="309"/>
        <v>-649349.1</v>
      </c>
      <c r="EJ107" s="139">
        <f t="shared" si="309"/>
        <v>-6732.06</v>
      </c>
      <c r="EK107" s="139">
        <f t="shared" si="309"/>
        <v>-9839.4</v>
      </c>
      <c r="EL107" s="139">
        <f t="shared" si="309"/>
        <v>-399.92</v>
      </c>
      <c r="EM107" s="139">
        <f t="shared" si="309"/>
        <v>13644.24</v>
      </c>
      <c r="EN107" s="139">
        <f t="shared" si="309"/>
        <v>33585.730000000003</v>
      </c>
      <c r="EO107" s="139">
        <f t="shared" si="309"/>
        <v>62555.05</v>
      </c>
      <c r="EP107" s="139">
        <f t="shared" si="309"/>
        <v>89829.16</v>
      </c>
      <c r="EQ107" s="139">
        <f t="shared" si="309"/>
        <v>109730.51</v>
      </c>
      <c r="ER107" s="139">
        <f t="shared" si="309"/>
        <v>128760.37</v>
      </c>
      <c r="ES107" s="139">
        <f t="shared" si="309"/>
        <v>137750.13</v>
      </c>
      <c r="ET107" s="139">
        <f t="shared" si="309"/>
        <v>141263.35999999999</v>
      </c>
      <c r="EU107" s="139">
        <f t="shared" si="309"/>
        <v>126148.32</v>
      </c>
      <c r="EV107" s="139">
        <f t="shared" si="309"/>
        <v>9678.9500000000007</v>
      </c>
      <c r="EW107" s="139">
        <f t="shared" si="309"/>
        <v>23691.03</v>
      </c>
      <c r="EX107" s="139">
        <f t="shared" si="309"/>
        <v>50675.93</v>
      </c>
      <c r="EY107" s="139">
        <f t="shared" si="309"/>
        <v>83676.84</v>
      </c>
      <c r="EZ107" s="139">
        <f t="shared" si="309"/>
        <v>144238.65</v>
      </c>
      <c r="FA107" s="139">
        <f t="shared" si="309"/>
        <v>212627.93</v>
      </c>
      <c r="FB107" s="139">
        <f t="shared" si="309"/>
        <v>286859.65000000002</v>
      </c>
      <c r="FC107" s="139">
        <f t="shared" si="309"/>
        <v>358438.76</v>
      </c>
      <c r="FD107" s="139">
        <f t="shared" si="309"/>
        <v>439910.74</v>
      </c>
      <c r="FE107" s="139">
        <f t="shared" si="309"/>
        <v>524470.65</v>
      </c>
      <c r="FF107" s="139">
        <f t="shared" si="309"/>
        <v>602733.26</v>
      </c>
      <c r="FG107" s="139">
        <f t="shared" si="309"/>
        <v>684193.43</v>
      </c>
      <c r="FH107" s="139">
        <f t="shared" si="309"/>
        <v>29.33</v>
      </c>
      <c r="FI107" s="139">
        <f t="shared" si="309"/>
        <v>-652.38</v>
      </c>
      <c r="FJ107" s="139">
        <f t="shared" si="309"/>
        <v>-3500.99</v>
      </c>
      <c r="FK107" s="139">
        <f t="shared" si="309"/>
        <v>-14283.38</v>
      </c>
      <c r="FL107" s="139">
        <f t="shared" si="309"/>
        <v>-37766.58</v>
      </c>
      <c r="FM107" s="139">
        <f t="shared" si="309"/>
        <v>-77790.44</v>
      </c>
      <c r="FN107" s="139">
        <f t="shared" si="309"/>
        <v>-143429.85999999999</v>
      </c>
      <c r="FO107" s="139">
        <f t="shared" si="309"/>
        <v>-219174.08</v>
      </c>
      <c r="FP107" s="139">
        <f t="shared" si="309"/>
        <v>-302131.06</v>
      </c>
      <c r="FQ107" s="139">
        <f t="shared" si="309"/>
        <v>-390095.93</v>
      </c>
      <c r="FR107" s="139">
        <f t="shared" si="309"/>
        <v>-485079.03999999998</v>
      </c>
      <c r="FS107" s="139">
        <f t="shared" si="309"/>
        <v>-592402.56999999995</v>
      </c>
      <c r="FT107" s="139">
        <f t="shared" si="309"/>
        <v>29482.14</v>
      </c>
      <c r="FU107" s="139">
        <f t="shared" si="309"/>
        <v>44379.519999999997</v>
      </c>
      <c r="FV107" s="139">
        <f t="shared" si="309"/>
        <v>54702.44</v>
      </c>
      <c r="FW107" s="139">
        <f t="shared" si="309"/>
        <v>64568.35</v>
      </c>
      <c r="FX107" s="139">
        <f t="shared" si="309"/>
        <v>73950.59</v>
      </c>
      <c r="FY107" s="139">
        <f t="shared" si="309"/>
        <v>71303.570000000007</v>
      </c>
      <c r="FZ107" s="139">
        <f t="shared" si="309"/>
        <v>54030.66</v>
      </c>
      <c r="GA107" s="139">
        <f t="shared" si="309"/>
        <v>23873.51</v>
      </c>
      <c r="GB107" s="139">
        <f t="shared" si="309"/>
        <v>-18589.650000000001</v>
      </c>
      <c r="GC107" s="139">
        <f t="shared" si="309"/>
        <v>-73175.59</v>
      </c>
      <c r="GD107" s="139">
        <f t="shared" si="309"/>
        <v>-135901.54</v>
      </c>
      <c r="GE107" s="139">
        <f t="shared" si="309"/>
        <v>-209976.39</v>
      </c>
      <c r="GF107" s="139">
        <f t="shared" si="309"/>
        <v>4775.7</v>
      </c>
      <c r="GG107" s="139">
        <f t="shared" si="309"/>
        <v>9128.68</v>
      </c>
      <c r="GH107" s="139">
        <f t="shared" si="309"/>
        <v>34585.519999999997</v>
      </c>
      <c r="GI107" s="139">
        <f t="shared" si="309"/>
        <v>72699.48</v>
      </c>
      <c r="GJ107" s="139">
        <f t="shared" si="309"/>
        <v>110440.49</v>
      </c>
      <c r="GK107" s="139">
        <f t="shared" si="309"/>
        <v>137302.31</v>
      </c>
      <c r="GL107" s="139">
        <f t="shared" si="309"/>
        <v>152782.78</v>
      </c>
      <c r="GM107" s="139">
        <f t="shared" si="309"/>
        <v>157451.29999999999</v>
      </c>
      <c r="GN107" s="139">
        <f t="shared" si="309"/>
        <v>154043.98000000001</v>
      </c>
      <c r="GO107" s="139">
        <f t="shared" si="309"/>
        <v>136637.9</v>
      </c>
      <c r="GP107" s="139">
        <f t="shared" si="309"/>
        <v>103191.61</v>
      </c>
      <c r="GQ107" s="139">
        <f t="shared" ref="GQ107:JN107" si="310">ROUND(+GQ102+GQ106,2)</f>
        <v>51101.05</v>
      </c>
      <c r="GR107" s="139">
        <f t="shared" si="310"/>
        <v>-24712.48</v>
      </c>
      <c r="GS107" s="139">
        <f t="shared" si="310"/>
        <v>-50661.81</v>
      </c>
      <c r="GT107" s="139">
        <f t="shared" si="310"/>
        <v>-69516.479999999996</v>
      </c>
      <c r="GU107" s="139">
        <f t="shared" si="310"/>
        <v>-95316.33</v>
      </c>
      <c r="GV107" s="139">
        <f t="shared" si="310"/>
        <v>-127612.35</v>
      </c>
      <c r="GW107" s="139">
        <f t="shared" si="310"/>
        <v>-180652.25</v>
      </c>
      <c r="GX107" s="139">
        <f t="shared" si="310"/>
        <v>-260028.41</v>
      </c>
      <c r="GY107" s="139">
        <f t="shared" si="310"/>
        <v>-354652.15</v>
      </c>
      <c r="GZ107" s="139">
        <f t="shared" si="310"/>
        <v>-478636.28</v>
      </c>
      <c r="HA107" s="139">
        <f t="shared" si="310"/>
        <v>-626312.81999999995</v>
      </c>
      <c r="HB107" s="139">
        <f t="shared" si="310"/>
        <v>-743258.16</v>
      </c>
      <c r="HC107" s="139">
        <f t="shared" si="310"/>
        <v>-992547.93</v>
      </c>
      <c r="HD107" s="139">
        <f t="shared" si="310"/>
        <v>20438.02</v>
      </c>
      <c r="HE107" s="139">
        <f t="shared" si="310"/>
        <v>130445.27</v>
      </c>
      <c r="HF107" s="139">
        <f t="shared" si="310"/>
        <v>332902.78000000003</v>
      </c>
      <c r="HG107" s="139">
        <f t="shared" si="310"/>
        <v>556977.75</v>
      </c>
      <c r="HH107" s="139">
        <f t="shared" si="310"/>
        <v>1055471.55</v>
      </c>
      <c r="HI107" s="139">
        <f t="shared" si="310"/>
        <v>1806989.41</v>
      </c>
      <c r="HJ107" s="139">
        <f t="shared" si="310"/>
        <v>1988111.71</v>
      </c>
      <c r="HK107" s="139">
        <f t="shared" si="310"/>
        <v>2476150.58</v>
      </c>
      <c r="HL107" s="139">
        <f t="shared" si="310"/>
        <v>2981822.76</v>
      </c>
      <c r="HM107" s="139">
        <f t="shared" si="310"/>
        <v>3475100.99</v>
      </c>
      <c r="HN107" s="139">
        <f t="shared" si="310"/>
        <v>3940670.64</v>
      </c>
      <c r="HO107" s="139">
        <f t="shared" si="310"/>
        <v>4398506.32</v>
      </c>
      <c r="HP107" s="139">
        <f t="shared" si="310"/>
        <v>-7580.12</v>
      </c>
      <c r="HQ107" s="139">
        <f t="shared" si="310"/>
        <v>13849.09</v>
      </c>
      <c r="HR107" s="139">
        <f t="shared" si="310"/>
        <v>47398.92</v>
      </c>
      <c r="HS107" s="139">
        <f t="shared" si="310"/>
        <v>97141.38</v>
      </c>
      <c r="HT107" s="139">
        <f t="shared" si="310"/>
        <v>166436.32</v>
      </c>
      <c r="HU107" s="139">
        <f t="shared" si="310"/>
        <v>242737.52</v>
      </c>
      <c r="HV107" s="139">
        <f t="shared" si="310"/>
        <v>313842.19</v>
      </c>
      <c r="HW107" s="139">
        <f t="shared" si="310"/>
        <v>378956.47</v>
      </c>
      <c r="HX107" s="139">
        <f t="shared" si="310"/>
        <v>422845.75</v>
      </c>
      <c r="HY107" s="139">
        <f t="shared" si="310"/>
        <v>465137.98</v>
      </c>
      <c r="HZ107" s="139">
        <f t="shared" si="310"/>
        <v>504726.61</v>
      </c>
      <c r="IA107" s="139">
        <f t="shared" si="310"/>
        <v>539901.93000000005</v>
      </c>
      <c r="IB107" s="139">
        <f t="shared" si="310"/>
        <v>-4473.95</v>
      </c>
      <c r="IC107" s="139">
        <f t="shared" si="310"/>
        <v>1549.85</v>
      </c>
      <c r="ID107" s="139">
        <f t="shared" si="310"/>
        <v>13469.31</v>
      </c>
      <c r="IE107" s="139">
        <f t="shared" si="310"/>
        <v>30945.77</v>
      </c>
      <c r="IF107" s="139">
        <f t="shared" si="310"/>
        <v>25873.31</v>
      </c>
      <c r="IG107" s="139">
        <f t="shared" si="310"/>
        <v>26828.36</v>
      </c>
      <c r="IH107" s="139">
        <f t="shared" si="310"/>
        <v>27789.81</v>
      </c>
      <c r="II107" s="139">
        <f t="shared" si="310"/>
        <v>31758.720000000001</v>
      </c>
      <c r="IJ107" s="139">
        <f t="shared" si="310"/>
        <v>30762.81</v>
      </c>
      <c r="IK107" s="139">
        <f t="shared" si="310"/>
        <v>24896.15</v>
      </c>
      <c r="IL107" s="139">
        <f t="shared" si="310"/>
        <v>8815.18</v>
      </c>
      <c r="IM107" s="139">
        <f t="shared" si="310"/>
        <v>-17612.43</v>
      </c>
      <c r="IN107" s="139">
        <f t="shared" si="310"/>
        <v>-31388.720000000001</v>
      </c>
      <c r="IO107" s="139">
        <f t="shared" si="310"/>
        <v>-35385.339999999997</v>
      </c>
      <c r="IP107" s="139">
        <f t="shared" si="310"/>
        <v>-1645.58</v>
      </c>
      <c r="IQ107" s="139">
        <f t="shared" si="310"/>
        <v>38106.78</v>
      </c>
      <c r="IR107" s="139">
        <f t="shared" si="310"/>
        <v>89893.92</v>
      </c>
      <c r="IS107" s="139">
        <f t="shared" si="310"/>
        <v>154334.85999999999</v>
      </c>
      <c r="IT107" s="139">
        <f t="shared" si="310"/>
        <v>229206.6</v>
      </c>
      <c r="IU107" s="139">
        <f t="shared" si="310"/>
        <v>325353.75</v>
      </c>
      <c r="IV107" s="139">
        <f t="shared" si="310"/>
        <v>427063.99</v>
      </c>
      <c r="IW107" s="139">
        <f t="shared" si="310"/>
        <v>506735.31</v>
      </c>
      <c r="IX107" s="139">
        <f t="shared" si="310"/>
        <v>554958.17000000004</v>
      </c>
      <c r="IY107" s="139">
        <f t="shared" ref="IY107:JJ107" si="311">ROUND(+IY102+IY106,2)</f>
        <v>590933.11</v>
      </c>
      <c r="IZ107" s="139">
        <f t="shared" si="311"/>
        <v>-34893.39</v>
      </c>
      <c r="JA107" s="139">
        <f t="shared" si="311"/>
        <v>-33011.15</v>
      </c>
      <c r="JB107" s="139">
        <f t="shared" si="311"/>
        <v>-80914.23</v>
      </c>
      <c r="JC107" s="139">
        <f t="shared" si="311"/>
        <v>-253901.77</v>
      </c>
      <c r="JD107" s="139">
        <f t="shared" si="311"/>
        <v>-522104.02</v>
      </c>
      <c r="JE107" s="139">
        <f t="shared" si="311"/>
        <v>-942206.8</v>
      </c>
      <c r="JF107" s="139">
        <f t="shared" si="311"/>
        <v>-1497400.57</v>
      </c>
      <c r="JG107" s="139">
        <f t="shared" si="311"/>
        <v>-2081515.71</v>
      </c>
      <c r="JH107" s="139">
        <f t="shared" si="311"/>
        <v>-2770230.54</v>
      </c>
      <c r="JI107" s="139">
        <f t="shared" si="311"/>
        <v>-3531462.3</v>
      </c>
      <c r="JJ107" s="139">
        <f t="shared" si="311"/>
        <v>-4330689.26</v>
      </c>
      <c r="JK107" s="139">
        <f t="shared" si="310"/>
        <v>-5238961.41</v>
      </c>
      <c r="JL107" s="139">
        <f t="shared" si="310"/>
        <v>58740.22</v>
      </c>
      <c r="JM107" s="139">
        <f t="shared" si="310"/>
        <v>36922.339999999997</v>
      </c>
      <c r="JN107" s="139">
        <f t="shared" si="310"/>
        <v>54938.32</v>
      </c>
      <c r="JO107" s="139">
        <f t="shared" ref="JO107:JU107" si="312">ROUND(+JO102+JO106,2)</f>
        <v>74317.95</v>
      </c>
      <c r="JP107" s="139">
        <f t="shared" si="312"/>
        <v>87512.23</v>
      </c>
      <c r="JQ107" s="139">
        <f t="shared" si="312"/>
        <v>38560.730000000003</v>
      </c>
      <c r="JR107" s="139">
        <f t="shared" si="312"/>
        <v>-120471.82</v>
      </c>
      <c r="JS107" s="139">
        <f t="shared" si="312"/>
        <v>-338146.16</v>
      </c>
      <c r="JT107" s="139">
        <f t="shared" si="312"/>
        <v>-590050.24</v>
      </c>
      <c r="JU107" s="139">
        <f t="shared" si="312"/>
        <v>-868636.23</v>
      </c>
      <c r="JV107" s="632"/>
      <c r="JW107" s="414"/>
      <c r="JX107" s="414"/>
      <c r="JY107" s="414"/>
      <c r="JZ107" s="414"/>
      <c r="KA107" s="414"/>
      <c r="KB107" s="414"/>
      <c r="KC107" s="414"/>
      <c r="KD107" s="414"/>
      <c r="KE107" s="414"/>
      <c r="KF107" s="414"/>
      <c r="KG107" s="414"/>
      <c r="KH107" s="414"/>
      <c r="KI107" s="633"/>
    </row>
    <row r="108" spans="1:295" x14ac:dyDescent="0.2">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27"/>
      <c r="CM108" s="127"/>
      <c r="CN108" s="127"/>
      <c r="CO108" s="127"/>
      <c r="CP108" s="127"/>
      <c r="CQ108" s="127"/>
      <c r="CR108" s="127"/>
      <c r="CS108" s="127"/>
      <c r="CT108" s="127"/>
      <c r="CU108" s="127"/>
      <c r="CV108" s="127"/>
      <c r="CW108" s="127"/>
      <c r="CX108" s="127"/>
      <c r="CY108" s="127"/>
      <c r="CZ108" s="127"/>
      <c r="DA108" s="127"/>
      <c r="DB108" s="127"/>
      <c r="DC108" s="127"/>
      <c r="DD108" s="127"/>
      <c r="DE108" s="127"/>
      <c r="DF108" s="127"/>
      <c r="DG108" s="127"/>
      <c r="DH108" s="127"/>
      <c r="DI108" s="127"/>
      <c r="DJ108" s="127"/>
      <c r="DK108" s="127"/>
      <c r="DL108" s="139"/>
      <c r="DM108" s="139"/>
      <c r="DN108" s="139"/>
      <c r="DO108" s="139"/>
      <c r="DP108" s="139"/>
      <c r="DQ108" s="139"/>
      <c r="DR108" s="139"/>
      <c r="DS108" s="139"/>
      <c r="DT108" s="139"/>
      <c r="DU108" s="139"/>
      <c r="DV108" s="139"/>
      <c r="DW108" s="139"/>
      <c r="DX108" s="139"/>
      <c r="DY108" s="139"/>
      <c r="DZ108" s="139"/>
      <c r="EA108" s="139"/>
      <c r="EB108" s="139"/>
      <c r="EC108" s="139"/>
      <c r="ED108" s="139"/>
      <c r="EE108" s="139"/>
      <c r="EF108" s="139"/>
      <c r="EG108" s="139"/>
      <c r="EH108" s="139"/>
      <c r="EI108" s="139"/>
      <c r="EJ108" s="139"/>
      <c r="EK108" s="139"/>
      <c r="EL108" s="139"/>
      <c r="EM108" s="139"/>
      <c r="EN108" s="139"/>
      <c r="EO108" s="139"/>
      <c r="EP108" s="139"/>
      <c r="EQ108" s="139"/>
      <c r="ER108" s="139"/>
      <c r="ES108" s="139"/>
      <c r="ET108" s="139"/>
      <c r="EU108" s="139"/>
      <c r="EV108" s="139"/>
      <c r="EW108" s="139"/>
      <c r="EX108" s="139"/>
      <c r="EY108" s="139"/>
      <c r="EZ108" s="139"/>
      <c r="FA108" s="139"/>
      <c r="FB108" s="139"/>
      <c r="FC108" s="139"/>
      <c r="FD108" s="139"/>
      <c r="FE108" s="139"/>
      <c r="FF108" s="139"/>
      <c r="FG108" s="139"/>
      <c r="FH108" s="139"/>
      <c r="FI108" s="139"/>
      <c r="FJ108" s="139"/>
      <c r="FK108" s="139"/>
      <c r="FL108" s="139"/>
      <c r="FM108" s="139"/>
      <c r="FN108" s="139"/>
      <c r="FO108" s="139"/>
      <c r="FP108" s="139"/>
      <c r="FQ108" s="139"/>
      <c r="FR108" s="139"/>
      <c r="FS108" s="139"/>
      <c r="FT108" s="139"/>
      <c r="FU108" s="139"/>
      <c r="FV108" s="139"/>
      <c r="FW108" s="139"/>
      <c r="FX108" s="139"/>
      <c r="FY108" s="139"/>
      <c r="FZ108" s="139"/>
      <c r="GA108" s="139"/>
      <c r="GB108" s="139"/>
      <c r="GC108" s="139"/>
      <c r="GD108" s="139"/>
      <c r="GE108" s="139"/>
      <c r="GF108" s="139"/>
      <c r="GG108" s="139"/>
      <c r="GH108" s="139"/>
      <c r="GI108" s="139"/>
      <c r="GJ108" s="139"/>
      <c r="GK108" s="139"/>
      <c r="GL108" s="139"/>
      <c r="GM108" s="139"/>
      <c r="GN108" s="139"/>
      <c r="GO108" s="139"/>
      <c r="GP108" s="139"/>
      <c r="GQ108" s="139"/>
      <c r="GR108" s="139"/>
      <c r="GS108" s="139"/>
      <c r="GT108" s="139"/>
      <c r="GU108" s="139"/>
      <c r="GV108" s="139"/>
      <c r="GW108" s="139"/>
      <c r="GX108" s="139"/>
      <c r="GY108" s="139"/>
      <c r="GZ108" s="139"/>
      <c r="HA108" s="139"/>
      <c r="HB108" s="139"/>
      <c r="HC108" s="139"/>
      <c r="HD108" s="139"/>
      <c r="HE108" s="139"/>
      <c r="HF108" s="139"/>
      <c r="HG108" s="139"/>
      <c r="HH108" s="139"/>
      <c r="HI108" s="139"/>
      <c r="HJ108" s="139"/>
      <c r="HK108" s="139"/>
      <c r="HL108" s="139"/>
      <c r="HM108" s="139"/>
      <c r="HN108" s="139"/>
      <c r="HO108" s="139"/>
      <c r="HP108" s="139"/>
      <c r="HQ108" s="139"/>
      <c r="HR108" s="139"/>
      <c r="HS108" s="139"/>
      <c r="HT108" s="139"/>
      <c r="HU108" s="139"/>
      <c r="HV108" s="139"/>
      <c r="HW108" s="139"/>
      <c r="HX108" s="139"/>
      <c r="HY108" s="139"/>
      <c r="HZ108" s="139"/>
      <c r="IA108" s="139"/>
      <c r="IB108" s="139"/>
      <c r="IC108" s="139"/>
      <c r="ID108" s="139"/>
      <c r="IE108" s="139"/>
      <c r="IF108" s="139"/>
      <c r="IG108" s="139"/>
      <c r="IH108" s="139"/>
      <c r="II108" s="139"/>
      <c r="IJ108" s="139"/>
      <c r="IK108" s="139"/>
      <c r="IL108" s="139"/>
      <c r="IM108" s="139"/>
      <c r="IN108" s="139"/>
      <c r="IO108" s="139"/>
      <c r="IP108" s="139"/>
      <c r="IQ108" s="139"/>
      <c r="IR108" s="139"/>
      <c r="IS108" s="139"/>
      <c r="IT108" s="139"/>
      <c r="IU108" s="139"/>
      <c r="IV108" s="139"/>
      <c r="IW108" s="139"/>
      <c r="IX108" s="139"/>
      <c r="IY108" s="139"/>
      <c r="IZ108" s="139"/>
      <c r="JA108" s="139"/>
      <c r="JB108" s="139"/>
      <c r="JC108" s="139"/>
      <c r="JD108" s="139"/>
      <c r="JE108" s="139"/>
      <c r="JF108" s="139"/>
      <c r="JG108" s="139"/>
      <c r="JH108" s="139"/>
      <c r="JI108" s="139"/>
      <c r="JJ108" s="139"/>
      <c r="JK108" s="139"/>
      <c r="JL108" s="139"/>
      <c r="JM108" s="139"/>
      <c r="JN108" s="139"/>
      <c r="JO108" s="139"/>
      <c r="JP108" s="139"/>
      <c r="JQ108" s="139"/>
      <c r="JR108" s="139"/>
      <c r="JS108" s="139"/>
      <c r="JT108" s="139"/>
      <c r="JU108" s="139"/>
      <c r="JV108" s="632"/>
      <c r="JW108" s="414"/>
      <c r="JX108" s="414"/>
      <c r="JY108" s="414"/>
      <c r="JZ108" s="414"/>
      <c r="KA108" s="414"/>
      <c r="KB108" s="414"/>
      <c r="KC108" s="414"/>
      <c r="KD108" s="414"/>
      <c r="KE108" s="414"/>
      <c r="KF108" s="414"/>
      <c r="KG108" s="414"/>
      <c r="KH108" s="414"/>
      <c r="KI108" s="633"/>
    </row>
    <row r="109" spans="1:295" x14ac:dyDescent="0.2">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7"/>
      <c r="CZ109" s="127"/>
      <c r="DA109" s="127"/>
      <c r="DB109" s="127"/>
      <c r="DC109" s="127"/>
      <c r="DD109" s="127"/>
      <c r="DE109" s="127"/>
      <c r="DF109" s="127"/>
      <c r="DG109" s="127"/>
      <c r="DH109" s="127"/>
      <c r="DI109" s="127"/>
      <c r="DJ109" s="127"/>
      <c r="DK109" s="127"/>
      <c r="DL109" s="139"/>
      <c r="DM109" s="139"/>
      <c r="DN109" s="139"/>
      <c r="DO109" s="139"/>
      <c r="DP109" s="139"/>
      <c r="DQ109" s="139"/>
      <c r="DR109" s="139"/>
      <c r="DS109" s="139"/>
      <c r="DT109" s="139"/>
      <c r="DU109" s="139"/>
      <c r="DV109" s="139"/>
      <c r="DW109" s="139"/>
      <c r="DX109" s="139"/>
      <c r="DY109" s="139"/>
      <c r="DZ109" s="139"/>
      <c r="EA109" s="139"/>
      <c r="EB109" s="139"/>
      <c r="EC109" s="139"/>
      <c r="ED109" s="139"/>
      <c r="EE109" s="139"/>
      <c r="EF109" s="139"/>
      <c r="EG109" s="139"/>
      <c r="EH109" s="139"/>
      <c r="EI109" s="139"/>
      <c r="EJ109" s="139"/>
      <c r="EK109" s="139"/>
      <c r="EL109" s="139"/>
      <c r="EM109" s="139"/>
      <c r="EN109" s="139"/>
      <c r="EO109" s="139"/>
      <c r="EP109" s="139"/>
      <c r="EQ109" s="139"/>
      <c r="ER109" s="139"/>
      <c r="ES109" s="139"/>
      <c r="ET109" s="139"/>
      <c r="EU109" s="139"/>
      <c r="EV109" s="139"/>
      <c r="EW109" s="139"/>
      <c r="EX109" s="139"/>
      <c r="EY109" s="139"/>
      <c r="EZ109" s="139"/>
      <c r="FA109" s="139"/>
      <c r="FB109" s="139"/>
      <c r="FC109" s="139"/>
      <c r="FD109" s="139"/>
      <c r="FE109" s="139"/>
      <c r="FF109" s="139"/>
      <c r="FG109" s="139"/>
      <c r="FH109" s="139"/>
      <c r="FI109" s="139"/>
      <c r="FJ109" s="139"/>
      <c r="FK109" s="139"/>
      <c r="FL109" s="139"/>
      <c r="FM109" s="139"/>
      <c r="FN109" s="139"/>
      <c r="FO109" s="139"/>
      <c r="FP109" s="139"/>
      <c r="FQ109" s="139"/>
      <c r="FR109" s="139"/>
      <c r="FS109" s="139"/>
      <c r="FT109" s="139"/>
      <c r="FU109" s="139"/>
      <c r="FV109" s="139"/>
      <c r="FW109" s="139"/>
      <c r="FX109" s="139"/>
      <c r="FY109" s="139"/>
      <c r="FZ109" s="139"/>
      <c r="GA109" s="139"/>
      <c r="GB109" s="139"/>
      <c r="GC109" s="139"/>
      <c r="GD109" s="139"/>
      <c r="GE109" s="139"/>
      <c r="GF109" s="139"/>
      <c r="GG109" s="139"/>
      <c r="GH109" s="139"/>
      <c r="GI109" s="139"/>
      <c r="GJ109" s="139"/>
      <c r="GK109" s="139"/>
      <c r="GL109" s="139"/>
      <c r="GM109" s="139"/>
      <c r="GN109" s="139"/>
      <c r="GO109" s="139"/>
      <c r="GP109" s="139"/>
      <c r="GQ109" s="139"/>
      <c r="GR109" s="139"/>
      <c r="GS109" s="139"/>
      <c r="GT109" s="139"/>
      <c r="GU109" s="139"/>
      <c r="GV109" s="139"/>
      <c r="GW109" s="139"/>
      <c r="GX109" s="139"/>
      <c r="GY109" s="139"/>
      <c r="GZ109" s="139"/>
      <c r="HA109" s="139"/>
      <c r="HB109" s="139"/>
      <c r="HC109" s="139"/>
      <c r="HD109" s="139"/>
      <c r="HE109" s="139"/>
      <c r="HF109" s="139"/>
      <c r="HG109" s="139"/>
      <c r="HH109" s="139"/>
      <c r="HI109" s="139"/>
      <c r="HJ109" s="139"/>
      <c r="HK109" s="139"/>
      <c r="HL109" s="139"/>
      <c r="HM109" s="139"/>
      <c r="HN109" s="139"/>
      <c r="HO109" s="139"/>
      <c r="HP109" s="139"/>
      <c r="HQ109" s="139"/>
      <c r="HR109" s="139"/>
      <c r="HS109" s="139"/>
      <c r="HT109" s="139"/>
      <c r="HU109" s="139"/>
      <c r="HV109" s="139"/>
      <c r="HW109" s="139"/>
      <c r="HX109" s="139"/>
      <c r="HY109" s="139"/>
      <c r="HZ109" s="139"/>
      <c r="IA109" s="139"/>
      <c r="IB109" s="139"/>
      <c r="IC109" s="139"/>
      <c r="ID109" s="139"/>
      <c r="IE109" s="139"/>
      <c r="IF109" s="139"/>
      <c r="IG109" s="139"/>
      <c r="IH109" s="139"/>
      <c r="II109" s="139"/>
      <c r="IJ109" s="139"/>
      <c r="IK109" s="139"/>
      <c r="IL109" s="139"/>
      <c r="IM109" s="139"/>
      <c r="IN109" s="139"/>
      <c r="IO109" s="139"/>
      <c r="IP109" s="139"/>
      <c r="IQ109" s="139"/>
      <c r="IR109" s="139"/>
      <c r="IS109" s="139"/>
      <c r="IT109" s="139"/>
      <c r="IU109" s="139"/>
      <c r="IV109" s="139"/>
      <c r="IW109" s="139"/>
      <c r="IX109" s="139"/>
      <c r="IY109" s="139"/>
      <c r="IZ109" s="139"/>
      <c r="JA109" s="139"/>
      <c r="JB109" s="139"/>
      <c r="JC109" s="139"/>
      <c r="JD109" s="139"/>
      <c r="JE109" s="139"/>
      <c r="JF109" s="139"/>
      <c r="JG109" s="139"/>
      <c r="JH109" s="139"/>
      <c r="JI109" s="139"/>
      <c r="JJ109" s="139"/>
      <c r="JK109" s="139"/>
      <c r="JL109" s="139"/>
      <c r="JM109" s="139"/>
      <c r="JN109" s="139"/>
      <c r="JO109" s="139"/>
      <c r="JP109" s="139"/>
      <c r="JQ109" s="139"/>
      <c r="JR109" s="139"/>
      <c r="JS109" s="139"/>
      <c r="JT109" s="139"/>
      <c r="JU109" s="139"/>
      <c r="JV109" s="632"/>
      <c r="JW109" s="414"/>
      <c r="JX109" s="414"/>
      <c r="JY109" s="414"/>
      <c r="JZ109" s="414"/>
      <c r="KA109" s="414"/>
      <c r="KB109" s="414"/>
      <c r="KC109" s="414"/>
      <c r="KD109" s="414"/>
      <c r="KE109" s="414"/>
      <c r="KF109" s="414"/>
      <c r="KG109" s="414"/>
      <c r="KH109" s="414"/>
      <c r="KI109" s="633"/>
    </row>
    <row r="110" spans="1:295" x14ac:dyDescent="0.2">
      <c r="A110" s="23" t="s">
        <v>138</v>
      </c>
      <c r="D110" s="50"/>
      <c r="E110" s="50"/>
      <c r="F110" s="50"/>
      <c r="G110" s="50"/>
      <c r="H110" s="50"/>
      <c r="I110" s="50"/>
      <c r="J110" s="50"/>
      <c r="K110" s="50"/>
      <c r="L110" s="50"/>
      <c r="M110" s="50"/>
      <c r="N110" s="50"/>
      <c r="O110" s="50"/>
      <c r="P110" s="50"/>
      <c r="Q110" s="50"/>
      <c r="R110" s="50"/>
      <c r="S110" s="50"/>
      <c r="T110" s="50"/>
      <c r="U110" s="50"/>
      <c r="V110" s="50"/>
      <c r="W110" s="50"/>
      <c r="X110" s="50"/>
      <c r="Y110" s="50"/>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7"/>
      <c r="BA110" s="197"/>
      <c r="BB110" s="197"/>
      <c r="BC110" s="197"/>
      <c r="BD110" s="197"/>
      <c r="BE110" s="197"/>
      <c r="BF110" s="197"/>
      <c r="BG110" s="197"/>
      <c r="BH110" s="197"/>
      <c r="BI110" s="197"/>
      <c r="BJ110" s="197"/>
      <c r="BK110" s="197"/>
      <c r="BL110" s="197"/>
      <c r="BM110" s="197"/>
      <c r="BN110" s="197"/>
      <c r="BO110" s="197"/>
      <c r="BP110" s="197"/>
      <c r="BQ110" s="197"/>
      <c r="BR110" s="197"/>
      <c r="BS110" s="197"/>
      <c r="BT110" s="197"/>
      <c r="BU110" s="197"/>
      <c r="BV110" s="197"/>
      <c r="BW110" s="197"/>
      <c r="BX110" s="197"/>
      <c r="BY110" s="197"/>
      <c r="BZ110" s="197"/>
      <c r="CA110" s="197"/>
      <c r="CB110" s="197"/>
      <c r="CC110" s="197"/>
      <c r="CD110" s="197"/>
      <c r="CE110" s="197"/>
      <c r="CF110" s="197"/>
      <c r="CG110" s="197"/>
      <c r="CH110" s="197"/>
      <c r="CI110" s="197"/>
      <c r="CJ110" s="197"/>
      <c r="CK110" s="197"/>
      <c r="CL110" s="197"/>
      <c r="CM110" s="197"/>
      <c r="CN110" s="197"/>
      <c r="CO110" s="197"/>
      <c r="CP110" s="197"/>
      <c r="CQ110" s="197"/>
      <c r="CR110" s="197"/>
      <c r="CS110" s="197"/>
      <c r="CT110" s="197"/>
      <c r="CU110" s="197"/>
      <c r="CV110" s="197"/>
      <c r="CW110" s="197"/>
      <c r="CX110" s="197"/>
      <c r="CY110" s="197"/>
      <c r="CZ110" s="197"/>
      <c r="DA110" s="197"/>
      <c r="DB110" s="197"/>
      <c r="DC110" s="197"/>
      <c r="DD110" s="197"/>
      <c r="DE110" s="197"/>
      <c r="DF110" s="197"/>
      <c r="DG110" s="197"/>
      <c r="DH110" s="197"/>
      <c r="DI110" s="197"/>
      <c r="DJ110" s="197"/>
      <c r="DK110" s="197"/>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8"/>
      <c r="IZ110" s="198"/>
      <c r="JA110" s="198"/>
      <c r="JB110" s="198"/>
      <c r="JC110" s="198"/>
      <c r="JD110" s="198"/>
      <c r="JE110" s="198"/>
      <c r="JF110" s="198"/>
      <c r="JG110" s="198"/>
      <c r="JH110" s="198"/>
      <c r="JI110" s="198"/>
      <c r="JJ110" s="198"/>
      <c r="JK110" s="198"/>
      <c r="JL110" s="198"/>
      <c r="JM110" s="198"/>
      <c r="JN110" s="198"/>
      <c r="JO110" s="198"/>
      <c r="JP110" s="198"/>
      <c r="JQ110" s="198"/>
      <c r="JR110" s="198"/>
      <c r="JS110" s="198"/>
      <c r="JT110" s="198"/>
      <c r="JU110" s="198"/>
      <c r="JV110" s="640"/>
      <c r="JW110" s="416"/>
      <c r="JX110" s="416"/>
      <c r="JY110" s="416"/>
      <c r="JZ110" s="416"/>
      <c r="KA110" s="416"/>
      <c r="KB110" s="416"/>
      <c r="KC110" s="416"/>
      <c r="KD110" s="416"/>
      <c r="KE110" s="416"/>
      <c r="KF110" s="416"/>
      <c r="KG110" s="416"/>
      <c r="KH110" s="416"/>
      <c r="KI110" s="641"/>
    </row>
    <row r="111" spans="1:295" x14ac:dyDescent="0.2">
      <c r="B111" s="24" t="s">
        <v>104</v>
      </c>
      <c r="D111" s="127">
        <f t="shared" ref="D111:AI111" si="313">+D56+D70+D81+D94+D102</f>
        <v>131627476.53999999</v>
      </c>
      <c r="E111" s="127">
        <f t="shared" si="313"/>
        <v>126713238.77000001</v>
      </c>
      <c r="F111" s="127">
        <f t="shared" si="313"/>
        <v>119395395.34999999</v>
      </c>
      <c r="G111" s="127">
        <f t="shared" si="313"/>
        <v>113255159.94600001</v>
      </c>
      <c r="H111" s="127">
        <f t="shared" si="313"/>
        <v>93538254.093808442</v>
      </c>
      <c r="I111" s="127">
        <f t="shared" si="313"/>
        <v>68483107.599999994</v>
      </c>
      <c r="J111" s="127">
        <f t="shared" si="313"/>
        <v>37227989.709999993</v>
      </c>
      <c r="K111" s="127">
        <f t="shared" si="313"/>
        <v>5253019.4900000012</v>
      </c>
      <c r="L111" s="127">
        <f t="shared" si="313"/>
        <v>-24812256.73</v>
      </c>
      <c r="M111" s="127">
        <f t="shared" si="313"/>
        <v>-56318068.539999999</v>
      </c>
      <c r="N111" s="127">
        <f t="shared" si="313"/>
        <v>-76098360.649999991</v>
      </c>
      <c r="O111" s="127">
        <f t="shared" si="313"/>
        <v>-91392881.24000001</v>
      </c>
      <c r="P111" s="127">
        <f t="shared" si="313"/>
        <v>-91384731.440000013</v>
      </c>
      <c r="Q111" s="127">
        <f t="shared" si="313"/>
        <v>-92524118.280000001</v>
      </c>
      <c r="R111" s="127">
        <f t="shared" si="313"/>
        <v>-96073820.339999989</v>
      </c>
      <c r="S111" s="127">
        <f t="shared" si="313"/>
        <v>-98584219.519999996</v>
      </c>
      <c r="T111" s="127">
        <f t="shared" si="313"/>
        <v>-101690940.98</v>
      </c>
      <c r="U111" s="127">
        <f t="shared" si="313"/>
        <v>-92969596.280000001</v>
      </c>
      <c r="V111" s="127">
        <f t="shared" si="313"/>
        <v>-83810712.109999985</v>
      </c>
      <c r="W111" s="127">
        <f t="shared" si="313"/>
        <v>-74412262.290000007</v>
      </c>
      <c r="X111" s="127">
        <f t="shared" si="313"/>
        <v>-64613403.119999997</v>
      </c>
      <c r="Y111" s="127">
        <f t="shared" si="313"/>
        <v>-32975878.84</v>
      </c>
      <c r="Z111" s="127">
        <f t="shared" si="313"/>
        <v>-25213087.25</v>
      </c>
      <c r="AA111" s="127">
        <f t="shared" si="313"/>
        <v>-20432988.909999996</v>
      </c>
      <c r="AB111" s="127">
        <f t="shared" si="313"/>
        <v>-14310454.642276661</v>
      </c>
      <c r="AC111" s="127">
        <f t="shared" si="313"/>
        <v>-10442727.523276662</v>
      </c>
      <c r="AD111" s="127">
        <f t="shared" si="313"/>
        <v>-12220219.093276659</v>
      </c>
      <c r="AE111" s="127">
        <f t="shared" si="313"/>
        <v>-6776625.1832766617</v>
      </c>
      <c r="AF111" s="127">
        <f t="shared" si="313"/>
        <v>-7220409.543276662</v>
      </c>
      <c r="AG111" s="127">
        <f t="shared" si="313"/>
        <v>-9827893.1532766614</v>
      </c>
      <c r="AH111" s="127">
        <f t="shared" si="313"/>
        <v>-11984404.733276661</v>
      </c>
      <c r="AI111" s="127">
        <f t="shared" si="313"/>
        <v>-8769437.833276663</v>
      </c>
      <c r="AJ111" s="127">
        <f t="shared" ref="AJ111:BQ111" si="314">+AJ56+AJ70+AJ81+AJ94+AJ102</f>
        <v>-4074766.3432766628</v>
      </c>
      <c r="AK111" s="127">
        <f t="shared" si="314"/>
        <v>-900927.15327666292</v>
      </c>
      <c r="AL111" s="127">
        <f t="shared" si="314"/>
        <v>1366169.3367233365</v>
      </c>
      <c r="AM111" s="127">
        <f t="shared" si="314"/>
        <v>5626929.3567233356</v>
      </c>
      <c r="AN111" s="127">
        <f t="shared" si="314"/>
        <v>9746946.1567233372</v>
      </c>
      <c r="AO111" s="127">
        <f t="shared" si="314"/>
        <v>11580510.006723337</v>
      </c>
      <c r="AP111" s="127">
        <f t="shared" si="314"/>
        <v>15048460.526723338</v>
      </c>
      <c r="AQ111" s="127">
        <f t="shared" si="314"/>
        <v>18172328.826723333</v>
      </c>
      <c r="AR111" s="127">
        <f t="shared" si="314"/>
        <v>12910597.281843353</v>
      </c>
      <c r="AS111" s="127">
        <f t="shared" si="314"/>
        <v>18860049.311843354</v>
      </c>
      <c r="AT111" s="127">
        <f t="shared" si="314"/>
        <v>19088469.681843355</v>
      </c>
      <c r="AU111" s="127">
        <f t="shared" si="314"/>
        <v>14604850.211843353</v>
      </c>
      <c r="AV111" s="127">
        <f t="shared" si="314"/>
        <v>19329421.971843354</v>
      </c>
      <c r="AW111" s="127">
        <f t="shared" si="314"/>
        <v>22330868.651843354</v>
      </c>
      <c r="AX111" s="127">
        <f t="shared" si="314"/>
        <v>26326428.951843351</v>
      </c>
      <c r="AY111" s="127">
        <f t="shared" si="314"/>
        <v>32753291.281843353</v>
      </c>
      <c r="AZ111" s="127">
        <f t="shared" si="314"/>
        <v>32562605.471843351</v>
      </c>
      <c r="BA111" s="127">
        <f t="shared" si="314"/>
        <v>36836725.49184335</v>
      </c>
      <c r="BB111" s="127">
        <f t="shared" si="314"/>
        <v>30388228.341843352</v>
      </c>
      <c r="BC111" s="127">
        <f t="shared" si="314"/>
        <v>37507566.561843351</v>
      </c>
      <c r="BD111" s="127">
        <f t="shared" si="314"/>
        <v>44993065.611843355</v>
      </c>
      <c r="BE111" s="127">
        <f t="shared" si="314"/>
        <v>57043407.291843355</v>
      </c>
      <c r="BF111" s="127">
        <f t="shared" si="314"/>
        <v>67334810.821843371</v>
      </c>
      <c r="BG111" s="127">
        <f t="shared" si="314"/>
        <v>75886512.771843359</v>
      </c>
      <c r="BH111" s="127">
        <f t="shared" si="314"/>
        <v>75311383.04184337</v>
      </c>
      <c r="BI111" s="127">
        <f t="shared" si="314"/>
        <v>72413535.071843356</v>
      </c>
      <c r="BJ111" s="127">
        <f t="shared" si="314"/>
        <v>65078335.201843351</v>
      </c>
      <c r="BK111" s="127">
        <f t="shared" si="314"/>
        <v>70304574.831843361</v>
      </c>
      <c r="BL111" s="127">
        <f t="shared" si="314"/>
        <v>72972957.55184336</v>
      </c>
      <c r="BM111" s="127">
        <f t="shared" si="314"/>
        <v>77539851.031843364</v>
      </c>
      <c r="BN111" s="127">
        <f t="shared" si="314"/>
        <v>81081382.861843348</v>
      </c>
      <c r="BO111" s="127">
        <f t="shared" si="314"/>
        <v>83652373.721843362</v>
      </c>
      <c r="BP111" s="127">
        <f t="shared" si="314"/>
        <v>65707477.891843379</v>
      </c>
      <c r="BQ111" s="127">
        <f t="shared" si="314"/>
        <v>54559384.411843359</v>
      </c>
      <c r="BR111" s="127">
        <f t="shared" ref="BR111:CW111" si="315">ROUND(+BR56+BR70+BR81+BR94+BR102,2)</f>
        <v>39821608.869999997</v>
      </c>
      <c r="BS111" s="127">
        <f t="shared" si="315"/>
        <v>15812970.33</v>
      </c>
      <c r="BT111" s="127">
        <f t="shared" si="315"/>
        <v>5815935.4400000004</v>
      </c>
      <c r="BU111" s="127">
        <f t="shared" si="315"/>
        <v>-3844153.48</v>
      </c>
      <c r="BV111" s="127">
        <f t="shared" si="315"/>
        <v>-22020482.370000001</v>
      </c>
      <c r="BW111" s="127">
        <f t="shared" si="315"/>
        <v>-32789166.399999999</v>
      </c>
      <c r="BX111" s="127">
        <f t="shared" si="315"/>
        <v>-41603576.049999997</v>
      </c>
      <c r="BY111" s="127">
        <f t="shared" si="315"/>
        <v>-45484199.469999999</v>
      </c>
      <c r="BZ111" s="127">
        <f t="shared" si="315"/>
        <v>-48917401</v>
      </c>
      <c r="CA111" s="127">
        <f t="shared" si="315"/>
        <v>-61157956.990000002</v>
      </c>
      <c r="CB111" s="127">
        <f t="shared" si="315"/>
        <v>-76088935.409999996</v>
      </c>
      <c r="CC111" s="127">
        <f t="shared" si="315"/>
        <v>-79120022.849999994</v>
      </c>
      <c r="CD111" s="127">
        <f t="shared" si="315"/>
        <v>-77863717.159999996</v>
      </c>
      <c r="CE111" s="127">
        <f t="shared" si="315"/>
        <v>-78824901.170000002</v>
      </c>
      <c r="CF111" s="127">
        <f t="shared" si="315"/>
        <v>-75667446.540000007</v>
      </c>
      <c r="CG111" s="127">
        <f t="shared" si="315"/>
        <v>-68427830.859999999</v>
      </c>
      <c r="CH111" s="127">
        <f t="shared" si="315"/>
        <v>-53163380.880000003</v>
      </c>
      <c r="CI111" s="127">
        <f t="shared" si="315"/>
        <v>-39300056.439999998</v>
      </c>
      <c r="CJ111" s="127">
        <f t="shared" si="315"/>
        <v>-26763671.489999998</v>
      </c>
      <c r="CK111" s="127">
        <f t="shared" si="315"/>
        <v>-16682520.789999999</v>
      </c>
      <c r="CL111" s="127">
        <f t="shared" si="315"/>
        <v>-18838550.629999999</v>
      </c>
      <c r="CM111" s="127">
        <f t="shared" si="315"/>
        <v>-16190626.939999999</v>
      </c>
      <c r="CN111" s="127">
        <f t="shared" si="315"/>
        <v>-26720090.800000001</v>
      </c>
      <c r="CO111" s="127">
        <f t="shared" si="315"/>
        <v>-16854324.129999999</v>
      </c>
      <c r="CP111" s="127">
        <f t="shared" si="315"/>
        <v>-8891908.0999999996</v>
      </c>
      <c r="CQ111" s="127">
        <f t="shared" si="315"/>
        <v>-10603230.130000001</v>
      </c>
      <c r="CR111" s="127">
        <f t="shared" si="315"/>
        <v>-23839655.859999999</v>
      </c>
      <c r="CS111" s="127">
        <f t="shared" si="315"/>
        <v>-29724671.390000001</v>
      </c>
      <c r="CT111" s="127">
        <f t="shared" si="315"/>
        <v>-43241674.170000002</v>
      </c>
      <c r="CU111" s="127">
        <f t="shared" si="315"/>
        <v>-55655565.100000001</v>
      </c>
      <c r="CV111" s="127">
        <f t="shared" si="315"/>
        <v>-62896831.240000002</v>
      </c>
      <c r="CW111" s="127">
        <f t="shared" si="315"/>
        <v>-61802817.229999997</v>
      </c>
      <c r="CX111" s="127">
        <f t="shared" ref="CX111:EC111" si="316">ROUND(+CX56+CX70+CX81+CX94+CX102,2)</f>
        <v>-67486565.200000003</v>
      </c>
      <c r="CY111" s="127">
        <f t="shared" si="316"/>
        <v>-70351268.079999998</v>
      </c>
      <c r="CZ111" s="127">
        <f t="shared" si="316"/>
        <v>-76603333.230000004</v>
      </c>
      <c r="DA111" s="127">
        <f t="shared" si="316"/>
        <v>-65126294.390000001</v>
      </c>
      <c r="DB111" s="127">
        <f t="shared" si="316"/>
        <v>-49587265.18</v>
      </c>
      <c r="DC111" s="127">
        <f t="shared" si="316"/>
        <v>-35303418.719999999</v>
      </c>
      <c r="DD111" s="127">
        <f t="shared" si="316"/>
        <v>-20120464.579999998</v>
      </c>
      <c r="DE111" s="127">
        <f t="shared" si="316"/>
        <v>-7823282.0899999999</v>
      </c>
      <c r="DF111" s="127">
        <f t="shared" si="316"/>
        <v>-10896574.74</v>
      </c>
      <c r="DG111" s="127">
        <f t="shared" si="316"/>
        <v>-12167968.18</v>
      </c>
      <c r="DH111" s="127">
        <f t="shared" si="316"/>
        <v>-7380378.1200000001</v>
      </c>
      <c r="DI111" s="127">
        <f t="shared" si="316"/>
        <v>-2790926.84</v>
      </c>
      <c r="DJ111" s="127">
        <f t="shared" si="316"/>
        <v>-867496.67</v>
      </c>
      <c r="DK111" s="127">
        <f t="shared" si="316"/>
        <v>3545776.72</v>
      </c>
      <c r="DL111" s="139">
        <f t="shared" si="316"/>
        <v>2857262.74</v>
      </c>
      <c r="DM111" s="139">
        <f t="shared" si="316"/>
        <v>1673810.7</v>
      </c>
      <c r="DN111" s="139">
        <f t="shared" si="316"/>
        <v>5991768.54</v>
      </c>
      <c r="DO111" s="139">
        <f t="shared" si="316"/>
        <v>8328102.5</v>
      </c>
      <c r="DP111" s="139">
        <f t="shared" si="316"/>
        <v>1413430.68</v>
      </c>
      <c r="DQ111" s="139">
        <f t="shared" si="316"/>
        <v>-2757575.98</v>
      </c>
      <c r="DR111" s="139">
        <f t="shared" si="316"/>
        <v>-12884555.050000001</v>
      </c>
      <c r="DS111" s="139">
        <f t="shared" si="316"/>
        <v>-14270259.76</v>
      </c>
      <c r="DT111" s="139">
        <f t="shared" si="316"/>
        <v>-12723621.43</v>
      </c>
      <c r="DU111" s="139">
        <f t="shared" si="316"/>
        <v>-8181391.4299999997</v>
      </c>
      <c r="DV111" s="139">
        <f t="shared" si="316"/>
        <v>-9910219.3900000006</v>
      </c>
      <c r="DW111" s="139">
        <f t="shared" si="316"/>
        <v>-11022601.5</v>
      </c>
      <c r="DX111" s="139">
        <f t="shared" si="316"/>
        <v>-13784478.67</v>
      </c>
      <c r="DY111" s="139">
        <f t="shared" si="316"/>
        <v>-21301256.57</v>
      </c>
      <c r="DZ111" s="139">
        <f t="shared" si="316"/>
        <v>-25940163.489999998</v>
      </c>
      <c r="EA111" s="139">
        <f t="shared" si="316"/>
        <v>-32086431.460000001</v>
      </c>
      <c r="EB111" s="139">
        <f t="shared" si="316"/>
        <v>-38589075.810000002</v>
      </c>
      <c r="EC111" s="139">
        <f t="shared" si="316"/>
        <v>-56149898.100000001</v>
      </c>
      <c r="ED111" s="139">
        <f t="shared" ref="ED111:FI111" si="317">ROUND(+ED56+ED70+ED81+ED94+ED102,2)</f>
        <v>-61261133.630000003</v>
      </c>
      <c r="EE111" s="139">
        <f t="shared" si="317"/>
        <v>-58955296.490000002</v>
      </c>
      <c r="EF111" s="139">
        <f t="shared" si="317"/>
        <v>-49611016.990000002</v>
      </c>
      <c r="EG111" s="139">
        <f t="shared" si="317"/>
        <v>-45044723.979999997</v>
      </c>
      <c r="EH111" s="139">
        <f t="shared" si="317"/>
        <v>-38326739.560000002</v>
      </c>
      <c r="EI111" s="139">
        <f t="shared" si="317"/>
        <v>-38069958.880000003</v>
      </c>
      <c r="EJ111" s="139">
        <f t="shared" si="317"/>
        <v>-40075539.210000001</v>
      </c>
      <c r="EK111" s="139">
        <f t="shared" si="317"/>
        <v>-35412377.859999999</v>
      </c>
      <c r="EL111" s="139">
        <f t="shared" si="317"/>
        <v>-32587139.329999998</v>
      </c>
      <c r="EM111" s="139">
        <f t="shared" si="317"/>
        <v>-34061985.740000002</v>
      </c>
      <c r="EN111" s="139">
        <f t="shared" si="317"/>
        <v>-32836238.52</v>
      </c>
      <c r="EO111" s="139">
        <f t="shared" si="317"/>
        <v>-26869248.640000001</v>
      </c>
      <c r="EP111" s="139">
        <f t="shared" si="317"/>
        <v>-24192917.18</v>
      </c>
      <c r="EQ111" s="139">
        <f t="shared" si="317"/>
        <v>-20969104.109999999</v>
      </c>
      <c r="ER111" s="139">
        <f t="shared" si="317"/>
        <v>-14509263.529999999</v>
      </c>
      <c r="ES111" s="139">
        <f t="shared" si="317"/>
        <v>-10493336</v>
      </c>
      <c r="ET111" s="139">
        <f t="shared" si="317"/>
        <v>-4370812.3</v>
      </c>
      <c r="EU111" s="139">
        <f t="shared" si="317"/>
        <v>-4650565.05</v>
      </c>
      <c r="EV111" s="139">
        <f t="shared" si="317"/>
        <v>-5004977.05</v>
      </c>
      <c r="EW111" s="139">
        <f t="shared" si="317"/>
        <v>-3005608.78</v>
      </c>
      <c r="EX111" s="139">
        <f t="shared" si="317"/>
        <v>-5937697.7000000002</v>
      </c>
      <c r="EY111" s="139">
        <f t="shared" si="317"/>
        <v>-8177487.3099999996</v>
      </c>
      <c r="EZ111" s="139">
        <f t="shared" si="317"/>
        <v>-5335965.8899999997</v>
      </c>
      <c r="FA111" s="139">
        <f t="shared" si="317"/>
        <v>-2858500.69</v>
      </c>
      <c r="FB111" s="139">
        <f t="shared" si="317"/>
        <v>407463.78</v>
      </c>
      <c r="FC111" s="139">
        <f t="shared" si="317"/>
        <v>3812456.45</v>
      </c>
      <c r="FD111" s="139">
        <f t="shared" si="317"/>
        <v>12539248.15</v>
      </c>
      <c r="FE111" s="139">
        <f t="shared" si="317"/>
        <v>20467934.600000001</v>
      </c>
      <c r="FF111" s="139">
        <f t="shared" si="317"/>
        <v>25904921.829999998</v>
      </c>
      <c r="FG111" s="139">
        <f t="shared" si="317"/>
        <v>32392554.539999999</v>
      </c>
      <c r="FH111" s="139">
        <f t="shared" si="317"/>
        <v>36265473.979999997</v>
      </c>
      <c r="FI111" s="139">
        <f t="shared" si="317"/>
        <v>29808744.760000002</v>
      </c>
      <c r="FJ111" s="139">
        <f t="shared" ref="FJ111:GO111" si="318">ROUND(+FJ56+FJ70+FJ81+FJ94+FJ102,2)</f>
        <v>21073055</v>
      </c>
      <c r="FK111" s="139">
        <f t="shared" si="318"/>
        <v>11083794.880000001</v>
      </c>
      <c r="FL111" s="139">
        <f t="shared" si="318"/>
        <v>3259787.3</v>
      </c>
      <c r="FM111" s="139">
        <f t="shared" si="318"/>
        <v>-5545284.8399999999</v>
      </c>
      <c r="FN111" s="139">
        <f t="shared" si="318"/>
        <v>-16041772.51</v>
      </c>
      <c r="FO111" s="139">
        <f t="shared" si="318"/>
        <v>-17968188.329999998</v>
      </c>
      <c r="FP111" s="139">
        <f t="shared" si="318"/>
        <v>-14889667.84</v>
      </c>
      <c r="FQ111" s="139">
        <f t="shared" si="318"/>
        <v>-12276992.51</v>
      </c>
      <c r="FR111" s="139">
        <f t="shared" si="318"/>
        <v>-11812739.57</v>
      </c>
      <c r="FS111" s="139">
        <f t="shared" si="318"/>
        <v>-8346858.9900000002</v>
      </c>
      <c r="FT111" s="139">
        <f t="shared" si="318"/>
        <v>-10706026.49</v>
      </c>
      <c r="FU111" s="139">
        <f t="shared" si="318"/>
        <v>-9863117.2799999993</v>
      </c>
      <c r="FV111" s="139">
        <f t="shared" si="318"/>
        <v>-12589439.75</v>
      </c>
      <c r="FW111" s="139">
        <f t="shared" si="318"/>
        <v>-13806810.83</v>
      </c>
      <c r="FX111" s="139">
        <f t="shared" si="318"/>
        <v>-12327185.17</v>
      </c>
      <c r="FY111" s="139">
        <f t="shared" si="318"/>
        <v>-14478712.289999999</v>
      </c>
      <c r="FZ111" s="139">
        <f t="shared" si="318"/>
        <v>-15206986.710000001</v>
      </c>
      <c r="GA111" s="139">
        <f t="shared" si="318"/>
        <v>-14271394.27</v>
      </c>
      <c r="GB111" s="139">
        <f t="shared" si="318"/>
        <v>-11561605.4</v>
      </c>
      <c r="GC111" s="139">
        <f t="shared" si="318"/>
        <v>-8745149.0700000003</v>
      </c>
      <c r="GD111" s="139">
        <f t="shared" si="318"/>
        <v>-4815462.5599999996</v>
      </c>
      <c r="GE111" s="139">
        <f t="shared" si="318"/>
        <v>-1846464.4</v>
      </c>
      <c r="GF111" s="139">
        <f t="shared" si="318"/>
        <v>-829523.48</v>
      </c>
      <c r="GG111" s="139">
        <f t="shared" si="318"/>
        <v>1901162.6</v>
      </c>
      <c r="GH111" s="139">
        <f t="shared" si="318"/>
        <v>2784765.38</v>
      </c>
      <c r="GI111" s="139">
        <f t="shared" si="318"/>
        <v>1293123.3500000001</v>
      </c>
      <c r="GJ111" s="139">
        <f t="shared" si="318"/>
        <v>-4601488.42</v>
      </c>
      <c r="GK111" s="139">
        <f t="shared" si="318"/>
        <v>-10589822.529999999</v>
      </c>
      <c r="GL111" s="139">
        <f t="shared" si="318"/>
        <v>-14224199.689999999</v>
      </c>
      <c r="GM111" s="139">
        <f t="shared" si="318"/>
        <v>-14410369.220000001</v>
      </c>
      <c r="GN111" s="139">
        <f t="shared" si="318"/>
        <v>-10979924.09</v>
      </c>
      <c r="GO111" s="139">
        <f t="shared" si="318"/>
        <v>-8730799.2799999993</v>
      </c>
      <c r="GP111" s="139">
        <f t="shared" ref="GP111:HU111" si="319">ROUND(+GP56+GP70+GP81+GP94+GP102,2)</f>
        <v>-7305835.4900000002</v>
      </c>
      <c r="GQ111" s="139">
        <f t="shared" si="319"/>
        <v>-5784139.4100000001</v>
      </c>
      <c r="GR111" s="139">
        <f t="shared" si="319"/>
        <v>-10004734.109999999</v>
      </c>
      <c r="GS111" s="139">
        <f t="shared" si="319"/>
        <v>-12726506.24</v>
      </c>
      <c r="GT111" s="139">
        <f t="shared" si="319"/>
        <v>-16050963.390000001</v>
      </c>
      <c r="GU111" s="139">
        <f t="shared" si="319"/>
        <v>-21635815.719999999</v>
      </c>
      <c r="GV111" s="139">
        <f t="shared" si="319"/>
        <v>-26523193.850000001</v>
      </c>
      <c r="GW111" s="139">
        <f t="shared" si="319"/>
        <v>-33662916.409999996</v>
      </c>
      <c r="GX111" s="139">
        <f t="shared" si="319"/>
        <v>-39290921.479999997</v>
      </c>
      <c r="GY111" s="139">
        <f t="shared" si="319"/>
        <v>-38820826.649999999</v>
      </c>
      <c r="GZ111" s="139">
        <f t="shared" si="319"/>
        <v>-38645217.329999998</v>
      </c>
      <c r="HA111" s="139">
        <f t="shared" si="319"/>
        <v>-37782568.060000002</v>
      </c>
      <c r="HB111" s="139">
        <f t="shared" si="319"/>
        <v>-37734842.270000003</v>
      </c>
      <c r="HC111" s="139">
        <f t="shared" si="319"/>
        <v>-35961542.259999998</v>
      </c>
      <c r="HD111" s="139">
        <f t="shared" si="319"/>
        <v>-36403749.109999999</v>
      </c>
      <c r="HE111" s="139">
        <f t="shared" si="319"/>
        <v>-10703205.550000001</v>
      </c>
      <c r="HF111" s="139">
        <f t="shared" si="319"/>
        <v>9921987.5899999999</v>
      </c>
      <c r="HG111" s="139">
        <f t="shared" si="319"/>
        <v>20605824.59</v>
      </c>
      <c r="HH111" s="139">
        <f t="shared" si="319"/>
        <v>76655664.489999995</v>
      </c>
      <c r="HI111" s="139">
        <f t="shared" si="319"/>
        <v>137093320.41999999</v>
      </c>
      <c r="HJ111" s="139">
        <f t="shared" si="319"/>
        <v>135597091.16999999</v>
      </c>
      <c r="HK111" s="139">
        <f t="shared" si="319"/>
        <v>139321814.72999999</v>
      </c>
      <c r="HL111" s="139">
        <f t="shared" si="319"/>
        <v>144917457.52000001</v>
      </c>
      <c r="HM111" s="139">
        <f t="shared" si="319"/>
        <v>149010819.87</v>
      </c>
      <c r="HN111" s="139">
        <f t="shared" si="319"/>
        <v>153465733.90000001</v>
      </c>
      <c r="HO111" s="139">
        <f t="shared" si="319"/>
        <v>155710167.52000001</v>
      </c>
      <c r="HP111" s="139">
        <f t="shared" si="319"/>
        <v>155143705.56999999</v>
      </c>
      <c r="HQ111" s="139">
        <f t="shared" si="319"/>
        <v>148847954.96000001</v>
      </c>
      <c r="HR111" s="139">
        <f t="shared" si="319"/>
        <v>132766288.31999999</v>
      </c>
      <c r="HS111" s="139">
        <f t="shared" si="319"/>
        <v>117807327.48999999</v>
      </c>
      <c r="HT111" s="139">
        <f t="shared" si="319"/>
        <v>104082576.76000001</v>
      </c>
      <c r="HU111" s="139">
        <f t="shared" si="319"/>
        <v>91337732.969999999</v>
      </c>
      <c r="HV111" s="139">
        <f t="shared" ref="HV111:JA111" si="320">ROUND(+HV56+HV70+HV81+HV94+HV102,2)</f>
        <v>83369245.340000004</v>
      </c>
      <c r="HW111" s="139">
        <f t="shared" si="320"/>
        <v>85015926.739999995</v>
      </c>
      <c r="HX111" s="139">
        <f t="shared" si="320"/>
        <v>86932159.870000005</v>
      </c>
      <c r="HY111" s="139">
        <f t="shared" si="320"/>
        <v>92271856.709999993</v>
      </c>
      <c r="HZ111" s="139">
        <f t="shared" si="320"/>
        <v>98077713.400000006</v>
      </c>
      <c r="IA111" s="139">
        <f t="shared" si="320"/>
        <v>101906480.14</v>
      </c>
      <c r="IB111" s="139">
        <f t="shared" si="320"/>
        <v>104211033.3</v>
      </c>
      <c r="IC111" s="139">
        <f t="shared" si="320"/>
        <v>97644686.939999998</v>
      </c>
      <c r="ID111" s="139">
        <f t="shared" si="320"/>
        <v>87655393.370000005</v>
      </c>
      <c r="IE111" s="139">
        <f t="shared" si="320"/>
        <v>78531453.170000002</v>
      </c>
      <c r="IF111" s="139">
        <f t="shared" si="320"/>
        <v>55025858.299999997</v>
      </c>
      <c r="IG111" s="139">
        <f t="shared" si="320"/>
        <v>46786679.950000003</v>
      </c>
      <c r="IH111" s="139">
        <f t="shared" si="320"/>
        <v>43864489.189999998</v>
      </c>
      <c r="II111" s="139">
        <f t="shared" si="320"/>
        <v>46734748.369999997</v>
      </c>
      <c r="IJ111" s="139">
        <f t="shared" si="320"/>
        <v>49424654.049999997</v>
      </c>
      <c r="IK111" s="139">
        <f t="shared" si="320"/>
        <v>53988545.289999999</v>
      </c>
      <c r="IL111" s="139">
        <f t="shared" si="320"/>
        <v>55956352.890000001</v>
      </c>
      <c r="IM111" s="139">
        <f t="shared" si="320"/>
        <v>56268274.149999999</v>
      </c>
      <c r="IN111" s="139">
        <f t="shared" si="320"/>
        <v>58935691.100000001</v>
      </c>
      <c r="IO111" s="139">
        <f t="shared" si="320"/>
        <v>56426669.920000002</v>
      </c>
      <c r="IP111" s="139">
        <f t="shared" si="320"/>
        <v>57934877.509999998</v>
      </c>
      <c r="IQ111" s="139">
        <f t="shared" si="320"/>
        <v>49743345.689999998</v>
      </c>
      <c r="IR111" s="139">
        <f t="shared" si="320"/>
        <v>44029996.829999998</v>
      </c>
      <c r="IS111" s="139">
        <f t="shared" si="320"/>
        <v>44019058.109999999</v>
      </c>
      <c r="IT111" s="139">
        <f t="shared" si="320"/>
        <v>42379228.899999999</v>
      </c>
      <c r="IU111" s="139">
        <f t="shared" si="320"/>
        <v>52466293</v>
      </c>
      <c r="IV111" s="139">
        <f t="shared" si="320"/>
        <v>54534738.990000002</v>
      </c>
      <c r="IW111" s="139">
        <f t="shared" si="320"/>
        <v>53675452.460000001</v>
      </c>
      <c r="IX111" s="139">
        <f t="shared" si="320"/>
        <v>51089299.049999997</v>
      </c>
      <c r="IY111" s="139">
        <f t="shared" si="320"/>
        <v>49426374.649999999</v>
      </c>
      <c r="IZ111" s="139">
        <f t="shared" si="320"/>
        <v>49256322.409999996</v>
      </c>
      <c r="JA111" s="139">
        <f t="shared" si="320"/>
        <v>45419534.840000004</v>
      </c>
      <c r="JB111" s="139">
        <f t="shared" ref="JB111:JU111" si="321">ROUND(+JB56+JB70+JB81+JB94+JB102+JB46,2)</f>
        <v>-3536307.59</v>
      </c>
      <c r="JC111" s="139">
        <f t="shared" si="321"/>
        <v>-45889902.369999997</v>
      </c>
      <c r="JD111" s="139">
        <f t="shared" si="321"/>
        <v>-73318423.180000007</v>
      </c>
      <c r="JE111" s="139">
        <f t="shared" si="321"/>
        <v>-102913692.11</v>
      </c>
      <c r="JF111" s="139">
        <f t="shared" si="321"/>
        <v>-129790119.12</v>
      </c>
      <c r="JG111" s="139">
        <f t="shared" si="321"/>
        <v>-135686557.46000001</v>
      </c>
      <c r="JH111" s="139">
        <f t="shared" si="321"/>
        <v>-138996061.94999999</v>
      </c>
      <c r="JI111" s="139">
        <f t="shared" si="321"/>
        <v>-145153649.47</v>
      </c>
      <c r="JJ111" s="139">
        <f t="shared" si="321"/>
        <v>-150262148.96000001</v>
      </c>
      <c r="JK111" s="139">
        <f t="shared" si="321"/>
        <v>-154159530.90000001</v>
      </c>
      <c r="JL111" s="139">
        <f t="shared" si="321"/>
        <v>-166937928.56999999</v>
      </c>
      <c r="JM111" s="139">
        <f t="shared" si="321"/>
        <v>-154581770.34999999</v>
      </c>
      <c r="JN111" s="139">
        <f t="shared" si="321"/>
        <v>-132082169.55</v>
      </c>
      <c r="JO111" s="139">
        <f t="shared" si="321"/>
        <v>-113043209.16</v>
      </c>
      <c r="JP111" s="139">
        <f t="shared" si="321"/>
        <v>-98248390.099999994</v>
      </c>
      <c r="JQ111" s="139">
        <f t="shared" si="321"/>
        <v>-91271689.420000002</v>
      </c>
      <c r="JR111" s="139">
        <f t="shared" si="321"/>
        <v>-92482545.530000001</v>
      </c>
      <c r="JS111" s="139">
        <f t="shared" si="321"/>
        <v>-89007547.560000002</v>
      </c>
      <c r="JT111" s="139">
        <f t="shared" si="321"/>
        <v>-81360673.829999998</v>
      </c>
      <c r="JU111" s="139">
        <f t="shared" si="321"/>
        <v>-73789490.319999993</v>
      </c>
      <c r="JV111" s="632"/>
      <c r="JW111" s="414"/>
      <c r="JX111" s="414"/>
      <c r="JY111" s="414"/>
      <c r="JZ111" s="414"/>
      <c r="KA111" s="414"/>
      <c r="KB111" s="414"/>
      <c r="KC111" s="414"/>
      <c r="KD111" s="414"/>
      <c r="KE111" s="414"/>
      <c r="KF111" s="414"/>
      <c r="KG111" s="414"/>
      <c r="KH111" s="414"/>
      <c r="KI111" s="633"/>
    </row>
    <row r="112" spans="1:295" x14ac:dyDescent="0.2">
      <c r="B112" s="24" t="s">
        <v>108</v>
      </c>
      <c r="D112" s="141">
        <f t="shared" ref="D112:AI112" si="322">+D66+D77+D90+D98+D106</f>
        <v>-4914237.7699999996</v>
      </c>
      <c r="E112" s="141">
        <f t="shared" si="322"/>
        <v>-7317843.4199999897</v>
      </c>
      <c r="F112" s="141">
        <f t="shared" si="322"/>
        <v>-6140235.4040000001</v>
      </c>
      <c r="G112" s="141">
        <f t="shared" si="322"/>
        <v>-19716905.852191567</v>
      </c>
      <c r="H112" s="141">
        <f t="shared" si="322"/>
        <v>-25055146.489887673</v>
      </c>
      <c r="I112" s="141">
        <f t="shared" si="322"/>
        <v>-31255117.88062194</v>
      </c>
      <c r="J112" s="141">
        <f t="shared" si="322"/>
        <v>-31974970.218424674</v>
      </c>
      <c r="K112" s="141">
        <f t="shared" si="322"/>
        <v>-30065276.213278845</v>
      </c>
      <c r="L112" s="141">
        <f t="shared" si="322"/>
        <v>-31505811.804761462</v>
      </c>
      <c r="M112" s="141">
        <f t="shared" si="322"/>
        <v>-19780292.118087612</v>
      </c>
      <c r="N112" s="141">
        <f t="shared" si="322"/>
        <v>-15294520.592978055</v>
      </c>
      <c r="O112" s="141">
        <f t="shared" si="322"/>
        <v>8149.793088992883</v>
      </c>
      <c r="P112" s="141">
        <f t="shared" si="322"/>
        <v>-1139386.8470444507</v>
      </c>
      <c r="Q112" s="141">
        <f t="shared" si="322"/>
        <v>-3549702.0616190117</v>
      </c>
      <c r="R112" s="141">
        <f t="shared" si="322"/>
        <v>-2510399.1757047642</v>
      </c>
      <c r="S112" s="141">
        <f t="shared" si="322"/>
        <v>-3106721.4558403026</v>
      </c>
      <c r="T112" s="141">
        <f t="shared" si="322"/>
        <v>8721344.7103729863</v>
      </c>
      <c r="U112" s="141">
        <f t="shared" si="322"/>
        <v>9158884.1641427577</v>
      </c>
      <c r="V112" s="141">
        <f t="shared" si="322"/>
        <v>9398449.8191184439</v>
      </c>
      <c r="W112" s="141">
        <f t="shared" si="322"/>
        <v>9798859.1686274428</v>
      </c>
      <c r="X112" s="141">
        <f t="shared" si="322"/>
        <v>31637524.289222915</v>
      </c>
      <c r="Y112" s="141">
        <f t="shared" si="322"/>
        <v>7762791.5920669977</v>
      </c>
      <c r="Z112" s="141">
        <f t="shared" si="322"/>
        <v>4780098.336593857</v>
      </c>
      <c r="AA112" s="141">
        <f t="shared" si="322"/>
        <v>6122534.2715927204</v>
      </c>
      <c r="AB112" s="141">
        <f t="shared" si="322"/>
        <v>3867727.1189999986</v>
      </c>
      <c r="AC112" s="141">
        <f t="shared" si="322"/>
        <v>-1777491.5699999994</v>
      </c>
      <c r="AD112" s="141">
        <f t="shared" si="322"/>
        <v>5443593.9099999992</v>
      </c>
      <c r="AE112" s="141">
        <f t="shared" si="322"/>
        <v>-443784.3581546215</v>
      </c>
      <c r="AF112" s="141">
        <f t="shared" si="322"/>
        <v>-2607483.61</v>
      </c>
      <c r="AG112" s="141">
        <f t="shared" si="322"/>
        <v>-2156511.5800000005</v>
      </c>
      <c r="AH112" s="141">
        <f t="shared" si="322"/>
        <v>3214966.9000000013</v>
      </c>
      <c r="AI112" s="141">
        <f t="shared" si="322"/>
        <v>4694671.4899999993</v>
      </c>
      <c r="AJ112" s="141">
        <f t="shared" ref="AJ112:BQ112" si="323">+AJ66+AJ77+AJ90+AJ98+AJ106</f>
        <v>3173839.1899999995</v>
      </c>
      <c r="AK112" s="141">
        <f t="shared" si="323"/>
        <v>2267096.4900000002</v>
      </c>
      <c r="AL112" s="141">
        <f t="shared" si="323"/>
        <v>4260760.0199999996</v>
      </c>
      <c r="AM112" s="141">
        <f t="shared" si="323"/>
        <v>4120016.8000000003</v>
      </c>
      <c r="AN112" s="141">
        <f t="shared" si="323"/>
        <v>1833563.8500000003</v>
      </c>
      <c r="AO112" s="141">
        <f t="shared" si="323"/>
        <v>3467950.5200000005</v>
      </c>
      <c r="AP112" s="141">
        <f t="shared" si="323"/>
        <v>3123868.3</v>
      </c>
      <c r="AQ112" s="141">
        <f t="shared" si="323"/>
        <v>-5261731.5419346644</v>
      </c>
      <c r="AR112" s="141">
        <f t="shared" si="323"/>
        <v>5949452.0300000003</v>
      </c>
      <c r="AS112" s="141">
        <f t="shared" si="323"/>
        <v>228420.3699999988</v>
      </c>
      <c r="AT112" s="141">
        <f t="shared" si="323"/>
        <v>-4483619.4699999988</v>
      </c>
      <c r="AU112" s="141">
        <f t="shared" si="323"/>
        <v>4724571.76</v>
      </c>
      <c r="AV112" s="141">
        <f t="shared" si="323"/>
        <v>3001446.6799999997</v>
      </c>
      <c r="AW112" s="141">
        <f t="shared" si="323"/>
        <v>3995560.3</v>
      </c>
      <c r="AX112" s="141">
        <f t="shared" si="323"/>
        <v>6426862.3300000001</v>
      </c>
      <c r="AY112" s="141">
        <f t="shared" si="323"/>
        <v>-190685.81000000011</v>
      </c>
      <c r="AZ112" s="141">
        <f t="shared" si="323"/>
        <v>4274120.0199999996</v>
      </c>
      <c r="BA112" s="141">
        <f t="shared" si="323"/>
        <v>-6448497.1499999994</v>
      </c>
      <c r="BB112" s="141">
        <f t="shared" si="323"/>
        <v>7119338.2200000007</v>
      </c>
      <c r="BC112" s="141">
        <f t="shared" si="323"/>
        <v>7485499.0500000007</v>
      </c>
      <c r="BD112" s="139">
        <f t="shared" si="323"/>
        <v>12050341.68</v>
      </c>
      <c r="BE112" s="139">
        <f t="shared" si="323"/>
        <v>10291403.530000003</v>
      </c>
      <c r="BF112" s="139">
        <f t="shared" si="323"/>
        <v>8551701.9500000011</v>
      </c>
      <c r="BG112" s="139">
        <f t="shared" si="323"/>
        <v>-575129.73000000021</v>
      </c>
      <c r="BH112" s="139">
        <f t="shared" si="323"/>
        <v>-2897847.97</v>
      </c>
      <c r="BI112" s="139">
        <f t="shared" si="323"/>
        <v>-7335199.8699999992</v>
      </c>
      <c r="BJ112" s="139">
        <f t="shared" si="323"/>
        <v>5226239.63</v>
      </c>
      <c r="BK112" s="139">
        <f t="shared" si="323"/>
        <v>2668382.7199999997</v>
      </c>
      <c r="BL112" s="139">
        <f t="shared" si="323"/>
        <v>4566893.4800000004</v>
      </c>
      <c r="BM112" s="139">
        <f t="shared" si="323"/>
        <v>3541531.83</v>
      </c>
      <c r="BN112" s="139">
        <f t="shared" si="323"/>
        <v>2570990.86</v>
      </c>
      <c r="BO112" s="139">
        <f t="shared" si="323"/>
        <v>-17944895.829999991</v>
      </c>
      <c r="BP112" s="139">
        <f t="shared" si="323"/>
        <v>-11148093.48</v>
      </c>
      <c r="BQ112" s="139">
        <f t="shared" si="323"/>
        <v>-14737776.07</v>
      </c>
      <c r="BR112" s="127">
        <f t="shared" ref="BR112:CW112" si="324">ROUND(+BR66+BR77+BR90+BR98+BR106,2)</f>
        <v>-24008638.539999999</v>
      </c>
      <c r="BS112" s="139">
        <f t="shared" si="324"/>
        <v>-9997034.8900000006</v>
      </c>
      <c r="BT112" s="139">
        <f t="shared" si="324"/>
        <v>-9660088.9199999999</v>
      </c>
      <c r="BU112" s="139">
        <f t="shared" si="324"/>
        <v>-18176328.890000001</v>
      </c>
      <c r="BV112" s="139">
        <f t="shared" si="324"/>
        <v>-10768684.029999999</v>
      </c>
      <c r="BW112" s="139">
        <f t="shared" si="324"/>
        <v>-8814409.6500000004</v>
      </c>
      <c r="BX112" s="139">
        <f t="shared" si="324"/>
        <v>-3880623.42</v>
      </c>
      <c r="BY112" s="139">
        <f t="shared" si="324"/>
        <v>-3433201.53</v>
      </c>
      <c r="BZ112" s="139">
        <f t="shared" si="324"/>
        <v>-12240555.99</v>
      </c>
      <c r="CA112" s="139">
        <f t="shared" si="324"/>
        <v>-14930978.42</v>
      </c>
      <c r="CB112" s="139">
        <f t="shared" si="324"/>
        <v>-3031087.44</v>
      </c>
      <c r="CC112" s="139">
        <f t="shared" si="324"/>
        <v>1256305.69</v>
      </c>
      <c r="CD112" s="139">
        <f t="shared" si="324"/>
        <v>-961184.01</v>
      </c>
      <c r="CE112" s="139">
        <f t="shared" si="324"/>
        <v>3157454.63</v>
      </c>
      <c r="CF112" s="139">
        <f t="shared" si="324"/>
        <v>7239615.6799999997</v>
      </c>
      <c r="CG112" s="139">
        <f t="shared" si="324"/>
        <v>15264449.98</v>
      </c>
      <c r="CH112" s="139">
        <f t="shared" si="324"/>
        <v>13863324.439999999</v>
      </c>
      <c r="CI112" s="139">
        <f t="shared" si="324"/>
        <v>12536384.949999999</v>
      </c>
      <c r="CJ112" s="139">
        <f t="shared" si="324"/>
        <v>10081150.699999999</v>
      </c>
      <c r="CK112" s="139">
        <f t="shared" si="324"/>
        <v>-2156029.84</v>
      </c>
      <c r="CL112" s="139">
        <f t="shared" si="324"/>
        <v>2647923.69</v>
      </c>
      <c r="CM112" s="139">
        <f t="shared" si="324"/>
        <v>-10529463.859999999</v>
      </c>
      <c r="CN112" s="139">
        <f t="shared" si="324"/>
        <v>9865766.6699999999</v>
      </c>
      <c r="CO112" s="127">
        <f t="shared" si="324"/>
        <v>7962416.0300000003</v>
      </c>
      <c r="CP112" s="139">
        <f t="shared" si="324"/>
        <v>-1711322.03</v>
      </c>
      <c r="CQ112" s="139">
        <f t="shared" si="324"/>
        <v>-13236425.73</v>
      </c>
      <c r="CR112" s="139">
        <f t="shared" si="324"/>
        <v>-5885015.5300000003</v>
      </c>
      <c r="CS112" s="139">
        <f t="shared" si="324"/>
        <v>-13517002.779999999</v>
      </c>
      <c r="CT112" s="139">
        <f t="shared" si="324"/>
        <v>-12413890.93</v>
      </c>
      <c r="CU112" s="139">
        <f t="shared" si="324"/>
        <v>-7241266.1399999997</v>
      </c>
      <c r="CV112" s="139">
        <f t="shared" si="324"/>
        <v>1094014.01</v>
      </c>
      <c r="CW112" s="139">
        <f t="shared" si="324"/>
        <v>-5683747.9699999997</v>
      </c>
      <c r="CX112" s="139">
        <f t="shared" ref="CX112:EC112" si="325">ROUND(+CX66+CX77+CX90+CX98+CX106,2)</f>
        <v>-2864702.88</v>
      </c>
      <c r="CY112" s="139">
        <f t="shared" si="325"/>
        <v>-6252065.1500000004</v>
      </c>
      <c r="CZ112" s="139">
        <f t="shared" si="325"/>
        <v>11477038.84</v>
      </c>
      <c r="DA112" s="139">
        <f t="shared" si="325"/>
        <v>15539029.210000001</v>
      </c>
      <c r="DB112" s="139">
        <f t="shared" si="325"/>
        <v>14283846.460000001</v>
      </c>
      <c r="DC112" s="139">
        <f t="shared" si="325"/>
        <v>15182954.140000001</v>
      </c>
      <c r="DD112" s="139">
        <f t="shared" si="325"/>
        <v>12297182.49</v>
      </c>
      <c r="DE112" s="139">
        <f t="shared" si="325"/>
        <v>-3073292.65</v>
      </c>
      <c r="DF112" s="139">
        <f t="shared" si="325"/>
        <v>-1271393.44</v>
      </c>
      <c r="DG112" s="139">
        <f t="shared" si="325"/>
        <v>4787590.0599999996</v>
      </c>
      <c r="DH112" s="139">
        <f t="shared" si="325"/>
        <v>4589451.28</v>
      </c>
      <c r="DI112" s="139">
        <f t="shared" si="325"/>
        <v>1923430.17</v>
      </c>
      <c r="DJ112" s="139">
        <f t="shared" si="325"/>
        <v>4413273.3899999997</v>
      </c>
      <c r="DK112" s="139">
        <f t="shared" si="325"/>
        <v>-688513.98</v>
      </c>
      <c r="DL112" s="139">
        <f t="shared" si="325"/>
        <v>-1183452.04</v>
      </c>
      <c r="DM112" s="139">
        <f t="shared" si="325"/>
        <v>4317957.84</v>
      </c>
      <c r="DN112" s="139">
        <f t="shared" si="325"/>
        <v>2336333.96</v>
      </c>
      <c r="DO112" s="139">
        <f t="shared" si="325"/>
        <v>-6914671.8200000003</v>
      </c>
      <c r="DP112" s="139">
        <f t="shared" si="325"/>
        <v>-4171006.66</v>
      </c>
      <c r="DQ112" s="139">
        <f t="shared" si="325"/>
        <v>-10126979.07</v>
      </c>
      <c r="DR112" s="139">
        <f t="shared" si="325"/>
        <v>-1385704.71</v>
      </c>
      <c r="DS112" s="139">
        <f t="shared" si="325"/>
        <v>1546638.33</v>
      </c>
      <c r="DT112" s="139">
        <f t="shared" si="325"/>
        <v>4542230</v>
      </c>
      <c r="DU112" s="139">
        <f t="shared" si="325"/>
        <v>-1728827.96</v>
      </c>
      <c r="DV112" s="139">
        <f t="shared" si="325"/>
        <v>-1112382.1100000001</v>
      </c>
      <c r="DW112" s="139">
        <f t="shared" si="325"/>
        <v>-2761877.17</v>
      </c>
      <c r="DX112" s="139">
        <f t="shared" si="325"/>
        <v>-7516777.9000000004</v>
      </c>
      <c r="DY112" s="139">
        <f t="shared" si="325"/>
        <v>-4638906.92</v>
      </c>
      <c r="DZ112" s="139">
        <f t="shared" si="325"/>
        <v>-6146267.9699999997</v>
      </c>
      <c r="EA112" s="139">
        <f t="shared" si="325"/>
        <v>-6502644.3499999996</v>
      </c>
      <c r="EB112" s="139">
        <f t="shared" si="325"/>
        <v>-17560822.289999999</v>
      </c>
      <c r="EC112" s="139">
        <f t="shared" si="325"/>
        <v>-5111235.53</v>
      </c>
      <c r="ED112" s="139">
        <f t="shared" ref="ED112:FI112" si="326">ROUND(+ED66+ED77+ED90+ED98+ED106,2)</f>
        <v>2305837.14</v>
      </c>
      <c r="EE112" s="139">
        <f t="shared" si="326"/>
        <v>9344279.5</v>
      </c>
      <c r="EF112" s="139">
        <f t="shared" si="326"/>
        <v>4566293.01</v>
      </c>
      <c r="EG112" s="139">
        <f t="shared" si="326"/>
        <v>6717984.4199999999</v>
      </c>
      <c r="EH112" s="139">
        <f t="shared" si="326"/>
        <v>256780.68</v>
      </c>
      <c r="EI112" s="139">
        <f t="shared" si="326"/>
        <v>-2005580.33</v>
      </c>
      <c r="EJ112" s="139">
        <f t="shared" si="326"/>
        <v>4663161.3499999996</v>
      </c>
      <c r="EK112" s="139">
        <f t="shared" si="326"/>
        <v>2825238.53</v>
      </c>
      <c r="EL112" s="139">
        <f t="shared" si="326"/>
        <v>-1474846.41</v>
      </c>
      <c r="EM112" s="139">
        <f t="shared" si="326"/>
        <v>1225747.22</v>
      </c>
      <c r="EN112" s="139">
        <f t="shared" si="326"/>
        <v>5966989.8799999999</v>
      </c>
      <c r="EO112" s="139">
        <f t="shared" si="326"/>
        <v>2676331.46</v>
      </c>
      <c r="EP112" s="139">
        <f t="shared" si="326"/>
        <v>3223813.07</v>
      </c>
      <c r="EQ112" s="139">
        <f t="shared" si="326"/>
        <v>6459840.5800000001</v>
      </c>
      <c r="ER112" s="139">
        <f t="shared" si="326"/>
        <v>4015927.53</v>
      </c>
      <c r="ES112" s="139">
        <f t="shared" si="326"/>
        <v>6122523.7000000002</v>
      </c>
      <c r="ET112" s="139">
        <f t="shared" si="326"/>
        <v>-279752.75</v>
      </c>
      <c r="EU112" s="139">
        <f t="shared" si="326"/>
        <v>-354412</v>
      </c>
      <c r="EV112" s="139">
        <f t="shared" si="326"/>
        <v>1999368.27</v>
      </c>
      <c r="EW112" s="139">
        <f t="shared" si="326"/>
        <v>-2932088.92</v>
      </c>
      <c r="EX112" s="139">
        <f t="shared" si="326"/>
        <v>-2239789.61</v>
      </c>
      <c r="EY112" s="139">
        <f t="shared" si="326"/>
        <v>2841521.42</v>
      </c>
      <c r="EZ112" s="139">
        <f t="shared" si="326"/>
        <v>2477465.2000000002</v>
      </c>
      <c r="FA112" s="139">
        <f t="shared" si="326"/>
        <v>3265964.47</v>
      </c>
      <c r="FB112" s="139">
        <f t="shared" si="326"/>
        <v>3404992.67</v>
      </c>
      <c r="FC112" s="139">
        <f t="shared" si="326"/>
        <v>8726791.6999999993</v>
      </c>
      <c r="FD112" s="139">
        <f t="shared" si="326"/>
        <v>7928686.4500000002</v>
      </c>
      <c r="FE112" s="139">
        <f t="shared" si="326"/>
        <v>5436987.2300000004</v>
      </c>
      <c r="FF112" s="139">
        <f t="shared" si="326"/>
        <v>6487632.71</v>
      </c>
      <c r="FG112" s="139">
        <f t="shared" si="326"/>
        <v>3872919.44</v>
      </c>
      <c r="FH112" s="139">
        <f t="shared" si="326"/>
        <v>-6456729.2199999997</v>
      </c>
      <c r="FI112" s="139">
        <f t="shared" si="326"/>
        <v>-8735689.7599999998</v>
      </c>
      <c r="FJ112" s="139">
        <f t="shared" ref="FJ112:GO112" si="327">ROUND(+FJ66+FJ77+FJ90+FJ98+FJ106,2)</f>
        <v>-9989260.1199999992</v>
      </c>
      <c r="FK112" s="139">
        <f t="shared" si="327"/>
        <v>-7824007.5800000001</v>
      </c>
      <c r="FL112" s="139">
        <f t="shared" si="327"/>
        <v>-8805072.1400000006</v>
      </c>
      <c r="FM112" s="139">
        <f t="shared" si="327"/>
        <v>-10496487.67</v>
      </c>
      <c r="FN112" s="139">
        <f t="shared" si="327"/>
        <v>-1926415.82</v>
      </c>
      <c r="FO112" s="139">
        <f t="shared" si="327"/>
        <v>3078520.49</v>
      </c>
      <c r="FP112" s="139">
        <f t="shared" si="327"/>
        <v>2612675.33</v>
      </c>
      <c r="FQ112" s="139">
        <f t="shared" si="327"/>
        <v>464252.94</v>
      </c>
      <c r="FR112" s="139">
        <f t="shared" si="327"/>
        <v>3465880.58</v>
      </c>
      <c r="FS112" s="139">
        <f t="shared" si="327"/>
        <v>-2359167.5</v>
      </c>
      <c r="FT112" s="139">
        <f t="shared" si="327"/>
        <v>842909.21</v>
      </c>
      <c r="FU112" s="139">
        <f t="shared" si="327"/>
        <v>-2726322.47</v>
      </c>
      <c r="FV112" s="139">
        <f t="shared" si="327"/>
        <v>-1217371.08</v>
      </c>
      <c r="FW112" s="139">
        <f t="shared" si="327"/>
        <v>1479625.66</v>
      </c>
      <c r="FX112" s="139">
        <f t="shared" si="327"/>
        <v>-2151527.12</v>
      </c>
      <c r="FY112" s="139">
        <f t="shared" si="327"/>
        <v>-728274.42</v>
      </c>
      <c r="FZ112" s="139">
        <f t="shared" si="327"/>
        <v>935592.44</v>
      </c>
      <c r="GA112" s="139">
        <f t="shared" si="327"/>
        <v>2709788.87</v>
      </c>
      <c r="GB112" s="139">
        <f t="shared" si="327"/>
        <v>2816456.33</v>
      </c>
      <c r="GC112" s="139">
        <f t="shared" si="327"/>
        <v>3929686.51</v>
      </c>
      <c r="GD112" s="139">
        <f t="shared" si="327"/>
        <v>2968998.16</v>
      </c>
      <c r="GE112" s="139">
        <f t="shared" si="327"/>
        <v>1016940.92</v>
      </c>
      <c r="GF112" s="139">
        <f t="shared" si="327"/>
        <v>2730686.08</v>
      </c>
      <c r="GG112" s="139">
        <f t="shared" si="327"/>
        <v>883602.78</v>
      </c>
      <c r="GH112" s="139">
        <f t="shared" si="327"/>
        <v>-1491642.03</v>
      </c>
      <c r="GI112" s="139">
        <f t="shared" si="327"/>
        <v>-5894611.7699999996</v>
      </c>
      <c r="GJ112" s="139">
        <f t="shared" si="327"/>
        <v>-5988334.1100000003</v>
      </c>
      <c r="GK112" s="139">
        <f t="shared" si="327"/>
        <v>-3634377.16</v>
      </c>
      <c r="GL112" s="139">
        <f t="shared" si="327"/>
        <v>-186169.53</v>
      </c>
      <c r="GM112" s="139">
        <f t="shared" si="327"/>
        <v>3430445.13</v>
      </c>
      <c r="GN112" s="139">
        <f t="shared" si="327"/>
        <v>2249124.81</v>
      </c>
      <c r="GO112" s="139">
        <f t="shared" si="327"/>
        <v>1424963.79</v>
      </c>
      <c r="GP112" s="139">
        <f t="shared" ref="GP112:HU112" si="328">ROUND(+GP66+GP77+GP90+GP98+GP106,2)</f>
        <v>1521696.08</v>
      </c>
      <c r="GQ112" s="139">
        <f t="shared" si="328"/>
        <v>-4220594.7</v>
      </c>
      <c r="GR112" s="139">
        <f t="shared" si="328"/>
        <v>-2721772.13</v>
      </c>
      <c r="GS112" s="139">
        <f t="shared" si="328"/>
        <v>-3324457.15</v>
      </c>
      <c r="GT112" s="139">
        <f t="shared" si="328"/>
        <v>-5584852.3300000001</v>
      </c>
      <c r="GU112" s="139">
        <f t="shared" si="328"/>
        <v>-4887378.13</v>
      </c>
      <c r="GV112" s="139">
        <f t="shared" si="328"/>
        <v>-7139722.5599999996</v>
      </c>
      <c r="GW112" s="139">
        <f t="shared" si="328"/>
        <v>-5628005.0700000003</v>
      </c>
      <c r="GX112" s="139">
        <f t="shared" si="328"/>
        <v>470094.83</v>
      </c>
      <c r="GY112" s="139">
        <f t="shared" si="328"/>
        <v>175609.32</v>
      </c>
      <c r="GZ112" s="139">
        <f t="shared" si="328"/>
        <v>862649.27</v>
      </c>
      <c r="HA112" s="139">
        <f t="shared" si="328"/>
        <v>47725.79</v>
      </c>
      <c r="HB112" s="139">
        <f t="shared" si="328"/>
        <v>1773300.01</v>
      </c>
      <c r="HC112" s="139">
        <f t="shared" si="328"/>
        <v>-442206.85</v>
      </c>
      <c r="HD112" s="139">
        <f t="shared" si="328"/>
        <v>25700543.559999999</v>
      </c>
      <c r="HE112" s="139">
        <f t="shared" si="328"/>
        <v>20625193.140000001</v>
      </c>
      <c r="HF112" s="139">
        <f t="shared" si="328"/>
        <v>10683837</v>
      </c>
      <c r="HG112" s="139">
        <f t="shared" si="328"/>
        <v>56049839.899999999</v>
      </c>
      <c r="HH112" s="139">
        <f t="shared" si="328"/>
        <v>60437655.93</v>
      </c>
      <c r="HI112" s="139">
        <f t="shared" si="328"/>
        <v>-1496229.25</v>
      </c>
      <c r="HJ112" s="139">
        <f t="shared" si="328"/>
        <v>3724723.56</v>
      </c>
      <c r="HK112" s="139">
        <f t="shared" si="328"/>
        <v>5595642.79</v>
      </c>
      <c r="HL112" s="139">
        <f t="shared" si="328"/>
        <v>4093362.35</v>
      </c>
      <c r="HM112" s="139">
        <f t="shared" si="328"/>
        <v>4454914.03</v>
      </c>
      <c r="HN112" s="139">
        <f t="shared" si="328"/>
        <v>2244433.62</v>
      </c>
      <c r="HO112" s="139">
        <f t="shared" si="328"/>
        <v>-566461.94999999995</v>
      </c>
      <c r="HP112" s="139">
        <f t="shared" si="328"/>
        <v>-6295750.6100000003</v>
      </c>
      <c r="HQ112" s="139">
        <f t="shared" si="328"/>
        <v>-16081666.640000001</v>
      </c>
      <c r="HR112" s="139">
        <f t="shared" si="328"/>
        <v>-14958960.83</v>
      </c>
      <c r="HS112" s="139">
        <f t="shared" si="328"/>
        <v>-13724750.73</v>
      </c>
      <c r="HT112" s="139">
        <f t="shared" si="328"/>
        <v>-12744843.789999999</v>
      </c>
      <c r="HU112" s="139">
        <f t="shared" si="328"/>
        <v>-7968487.6299999999</v>
      </c>
      <c r="HV112" s="139">
        <f t="shared" ref="HV112:JA112" si="329">ROUND(+HV66+HV77+HV90+HV98+HV106,2)</f>
        <v>1646681.4</v>
      </c>
      <c r="HW112" s="139">
        <f t="shared" si="329"/>
        <v>1916233.13</v>
      </c>
      <c r="HX112" s="139">
        <f t="shared" si="329"/>
        <v>5339696.84</v>
      </c>
      <c r="HY112" s="139">
        <f t="shared" si="329"/>
        <v>5805856.6900000004</v>
      </c>
      <c r="HZ112" s="139">
        <f t="shared" si="329"/>
        <v>3828766.74</v>
      </c>
      <c r="IA112" s="139">
        <f t="shared" si="329"/>
        <v>2304553.16</v>
      </c>
      <c r="IB112" s="139">
        <f t="shared" si="329"/>
        <v>-6566346.3600000003</v>
      </c>
      <c r="IC112" s="139">
        <f t="shared" si="329"/>
        <v>-9989293.5700000003</v>
      </c>
      <c r="ID112" s="139">
        <f t="shared" si="329"/>
        <v>-9123940.1999999993</v>
      </c>
      <c r="IE112" s="139">
        <f t="shared" si="329"/>
        <v>-23505594.870000001</v>
      </c>
      <c r="IF112" s="139">
        <f t="shared" si="329"/>
        <v>-8239178.3499999996</v>
      </c>
      <c r="IG112" s="139">
        <f t="shared" si="329"/>
        <v>-2922190.76</v>
      </c>
      <c r="IH112" s="139">
        <f t="shared" si="329"/>
        <v>2870259.18</v>
      </c>
      <c r="II112" s="139">
        <f t="shared" si="329"/>
        <v>2689905.68</v>
      </c>
      <c r="IJ112" s="139">
        <f t="shared" si="329"/>
        <v>4563891.24</v>
      </c>
      <c r="IK112" s="139">
        <f t="shared" si="329"/>
        <v>1967807.6</v>
      </c>
      <c r="IL112" s="139">
        <f t="shared" si="329"/>
        <v>311921.26</v>
      </c>
      <c r="IM112" s="139">
        <f t="shared" si="329"/>
        <v>2667416.9500000002</v>
      </c>
      <c r="IN112" s="139">
        <f t="shared" si="329"/>
        <v>-2509021.1800000002</v>
      </c>
      <c r="IO112" s="139">
        <f t="shared" si="329"/>
        <v>1508207.59</v>
      </c>
      <c r="IP112" s="139">
        <f t="shared" si="329"/>
        <v>-8191531.8200000003</v>
      </c>
      <c r="IQ112" s="139">
        <f t="shared" si="329"/>
        <v>-5713348.8600000003</v>
      </c>
      <c r="IR112" s="139">
        <f t="shared" si="329"/>
        <v>-10938.72</v>
      </c>
      <c r="IS112" s="139">
        <f t="shared" si="329"/>
        <v>-1639829.21</v>
      </c>
      <c r="IT112" s="139">
        <f t="shared" si="329"/>
        <v>10087064.1</v>
      </c>
      <c r="IU112" s="139">
        <f t="shared" si="329"/>
        <v>2068445.99</v>
      </c>
      <c r="IV112" s="139">
        <f t="shared" si="329"/>
        <v>-859286.53</v>
      </c>
      <c r="IW112" s="139">
        <f t="shared" si="329"/>
        <v>-2586153.41</v>
      </c>
      <c r="IX112" s="139">
        <f t="shared" si="329"/>
        <v>-1662924.4</v>
      </c>
      <c r="IY112" s="139">
        <f t="shared" si="329"/>
        <v>-170052.24</v>
      </c>
      <c r="IZ112" s="139">
        <f t="shared" si="329"/>
        <v>-3836787.57</v>
      </c>
      <c r="JA112" s="139">
        <f t="shared" si="329"/>
        <v>-24740263.43</v>
      </c>
      <c r="JB112" s="139">
        <f t="shared" ref="JB112:JU112" si="330">ROUND(+JB66+JB77+JB90+JB98+JB106+JB52,2)</f>
        <v>-42353594.780000001</v>
      </c>
      <c r="JC112" s="139">
        <f t="shared" si="330"/>
        <v>-27428520.809999999</v>
      </c>
      <c r="JD112" s="139">
        <f t="shared" si="330"/>
        <v>-29595268.93</v>
      </c>
      <c r="JE112" s="139">
        <f t="shared" si="330"/>
        <v>-26876427.010000002</v>
      </c>
      <c r="JF112" s="139">
        <f t="shared" si="330"/>
        <v>-5896438.3399999999</v>
      </c>
      <c r="JG112" s="139">
        <f t="shared" si="330"/>
        <v>-3309504.49</v>
      </c>
      <c r="JH112" s="139">
        <f t="shared" si="330"/>
        <v>-6157587.5199999996</v>
      </c>
      <c r="JI112" s="139">
        <f t="shared" si="330"/>
        <v>-5108499.49</v>
      </c>
      <c r="JJ112" s="139">
        <f t="shared" si="330"/>
        <v>-3897381.94</v>
      </c>
      <c r="JK112" s="139">
        <f t="shared" si="330"/>
        <v>-12778397.67</v>
      </c>
      <c r="JL112" s="139">
        <f t="shared" si="330"/>
        <v>12356158.220000001</v>
      </c>
      <c r="JM112" s="139">
        <f t="shared" si="330"/>
        <v>22499600.800000001</v>
      </c>
      <c r="JN112" s="139">
        <f t="shared" si="330"/>
        <v>19038960.390000001</v>
      </c>
      <c r="JO112" s="139">
        <f t="shared" si="330"/>
        <v>14794819.060000001</v>
      </c>
      <c r="JP112" s="139">
        <f t="shared" si="330"/>
        <v>6976700.6799999997</v>
      </c>
      <c r="JQ112" s="139">
        <f t="shared" si="330"/>
        <v>-1210856.1100000001</v>
      </c>
      <c r="JR112" s="139">
        <f t="shared" si="330"/>
        <v>3474997.97</v>
      </c>
      <c r="JS112" s="139">
        <f t="shared" si="330"/>
        <v>7646873.7300000004</v>
      </c>
      <c r="JT112" s="139">
        <f t="shared" si="330"/>
        <v>7571183.5099999998</v>
      </c>
      <c r="JU112" s="139">
        <f t="shared" si="330"/>
        <v>8156671.4900000002</v>
      </c>
      <c r="JV112" s="632"/>
      <c r="JW112" s="414"/>
      <c r="JX112" s="414"/>
      <c r="JY112" s="414"/>
      <c r="JZ112" s="414"/>
      <c r="KA112" s="414"/>
      <c r="KB112" s="414"/>
      <c r="KC112" s="414"/>
      <c r="KD112" s="414"/>
      <c r="KE112" s="414"/>
      <c r="KF112" s="414"/>
      <c r="KG112" s="414"/>
      <c r="KH112" s="414"/>
      <c r="KI112" s="633"/>
    </row>
    <row r="113" spans="1:295" ht="12" thickBot="1" x14ac:dyDescent="0.25">
      <c r="B113" s="24" t="s">
        <v>109</v>
      </c>
      <c r="D113" s="199">
        <f t="shared" ref="D113:AI113" si="331">+D67+D78+D91+D99+D107</f>
        <v>126713238.77000001</v>
      </c>
      <c r="E113" s="199">
        <f t="shared" si="331"/>
        <v>119395395.34999999</v>
      </c>
      <c r="F113" s="199">
        <f t="shared" si="331"/>
        <v>113255159.94600001</v>
      </c>
      <c r="G113" s="199">
        <f t="shared" si="331"/>
        <v>93538254.093808442</v>
      </c>
      <c r="H113" s="199">
        <f t="shared" si="331"/>
        <v>68483107.603920758</v>
      </c>
      <c r="I113" s="199">
        <f t="shared" si="331"/>
        <v>37227989.719378047</v>
      </c>
      <c r="J113" s="199">
        <f t="shared" si="331"/>
        <v>5253019.4915753147</v>
      </c>
      <c r="K113" s="199">
        <f t="shared" si="331"/>
        <v>-24812256.723278839</v>
      </c>
      <c r="L113" s="199">
        <f t="shared" si="331"/>
        <v>-56318068.534761466</v>
      </c>
      <c r="M113" s="199">
        <f t="shared" si="331"/>
        <v>-76098360.658087611</v>
      </c>
      <c r="N113" s="199">
        <f t="shared" si="331"/>
        <v>-91392881.242978066</v>
      </c>
      <c r="O113" s="199">
        <f t="shared" si="331"/>
        <v>-91384731.446911022</v>
      </c>
      <c r="P113" s="199">
        <f t="shared" si="331"/>
        <v>-92524118.287044451</v>
      </c>
      <c r="Q113" s="199">
        <f t="shared" si="331"/>
        <v>-96073820.341619015</v>
      </c>
      <c r="R113" s="199">
        <f t="shared" si="331"/>
        <v>-98584219.515704766</v>
      </c>
      <c r="S113" s="199">
        <f t="shared" si="331"/>
        <v>-101690940.9758403</v>
      </c>
      <c r="T113" s="199">
        <f t="shared" si="331"/>
        <v>-92969596.269627005</v>
      </c>
      <c r="U113" s="199">
        <f t="shared" si="331"/>
        <v>-83810712.115857214</v>
      </c>
      <c r="V113" s="199">
        <f t="shared" si="331"/>
        <v>-74412262.290881559</v>
      </c>
      <c r="W113" s="199">
        <f t="shared" si="331"/>
        <v>-64613403.121372566</v>
      </c>
      <c r="X113" s="199">
        <f t="shared" si="331"/>
        <v>-32975878.830777097</v>
      </c>
      <c r="Y113" s="199">
        <f t="shared" si="331"/>
        <v>-25213087.247932993</v>
      </c>
      <c r="Z113" s="199">
        <f t="shared" si="331"/>
        <v>-20432988.913406141</v>
      </c>
      <c r="AA113" s="199">
        <f t="shared" si="331"/>
        <v>-14310454.638407277</v>
      </c>
      <c r="AB113" s="199">
        <f t="shared" si="331"/>
        <v>-10442727.523276662</v>
      </c>
      <c r="AC113" s="199">
        <f t="shared" si="331"/>
        <v>-12220219.093276659</v>
      </c>
      <c r="AD113" s="199">
        <f t="shared" si="331"/>
        <v>-6776625.1832766598</v>
      </c>
      <c r="AE113" s="199">
        <f t="shared" si="331"/>
        <v>-7220409.5414312817</v>
      </c>
      <c r="AF113" s="199">
        <f t="shared" si="331"/>
        <v>-9827893.1532766614</v>
      </c>
      <c r="AG113" s="199">
        <f t="shared" si="331"/>
        <v>-11984404.733276661</v>
      </c>
      <c r="AH113" s="199">
        <f t="shared" si="331"/>
        <v>-8769437.8332766611</v>
      </c>
      <c r="AI113" s="199">
        <f t="shared" si="331"/>
        <v>-4074766.3432766628</v>
      </c>
      <c r="AJ113" s="199">
        <f t="shared" ref="AJ113:BQ113" si="332">+AJ67+AJ78+AJ91+AJ99+AJ107</f>
        <v>-900927.15327666292</v>
      </c>
      <c r="AK113" s="199">
        <f t="shared" si="332"/>
        <v>1366169.3367233365</v>
      </c>
      <c r="AL113" s="199">
        <f t="shared" si="332"/>
        <v>5626929.3567233356</v>
      </c>
      <c r="AM113" s="199">
        <f t="shared" si="332"/>
        <v>9746946.1567233372</v>
      </c>
      <c r="AN113" s="199">
        <f t="shared" si="332"/>
        <v>11580510.006723337</v>
      </c>
      <c r="AO113" s="199">
        <f t="shared" si="332"/>
        <v>15048460.526723338</v>
      </c>
      <c r="AP113" s="199">
        <f t="shared" si="332"/>
        <v>18172328.826723333</v>
      </c>
      <c r="AQ113" s="199">
        <f t="shared" si="332"/>
        <v>12910597.284788672</v>
      </c>
      <c r="AR113" s="199">
        <f t="shared" si="332"/>
        <v>18860049.311843354</v>
      </c>
      <c r="AS113" s="199">
        <f t="shared" si="332"/>
        <v>19088469.681843355</v>
      </c>
      <c r="AT113" s="199">
        <f t="shared" si="332"/>
        <v>14604850.211843353</v>
      </c>
      <c r="AU113" s="199">
        <f t="shared" si="332"/>
        <v>19329421.971843354</v>
      </c>
      <c r="AV113" s="199">
        <f t="shared" si="332"/>
        <v>22330868.651843354</v>
      </c>
      <c r="AW113" s="199">
        <f t="shared" si="332"/>
        <v>26326428.951843351</v>
      </c>
      <c r="AX113" s="199">
        <f t="shared" si="332"/>
        <v>32753291.281843353</v>
      </c>
      <c r="AY113" s="199">
        <f t="shared" si="332"/>
        <v>32562605.471843351</v>
      </c>
      <c r="AZ113" s="199">
        <f t="shared" si="332"/>
        <v>36836725.49184335</v>
      </c>
      <c r="BA113" s="199">
        <f t="shared" si="332"/>
        <v>30388228.341843352</v>
      </c>
      <c r="BB113" s="199">
        <f t="shared" si="332"/>
        <v>37507566.561843351</v>
      </c>
      <c r="BC113" s="199">
        <f t="shared" si="332"/>
        <v>44993065.611843355</v>
      </c>
      <c r="BD113" s="199">
        <f t="shared" si="332"/>
        <v>57043407.291843355</v>
      </c>
      <c r="BE113" s="199">
        <f t="shared" si="332"/>
        <v>67334810.821843371</v>
      </c>
      <c r="BF113" s="199">
        <f t="shared" si="332"/>
        <v>75886512.771843359</v>
      </c>
      <c r="BG113" s="199">
        <f t="shared" si="332"/>
        <v>75311383.04184337</v>
      </c>
      <c r="BH113" s="199">
        <f t="shared" si="332"/>
        <v>72413535.071843356</v>
      </c>
      <c r="BI113" s="199">
        <f t="shared" si="332"/>
        <v>65078335.201843351</v>
      </c>
      <c r="BJ113" s="199">
        <f t="shared" si="332"/>
        <v>70304574.831843361</v>
      </c>
      <c r="BK113" s="199">
        <f t="shared" si="332"/>
        <v>72972957.55184336</v>
      </c>
      <c r="BL113" s="199">
        <f t="shared" si="332"/>
        <v>77539851.031843364</v>
      </c>
      <c r="BM113" s="199">
        <f t="shared" si="332"/>
        <v>81081382.861843348</v>
      </c>
      <c r="BN113" s="199">
        <f t="shared" si="332"/>
        <v>83652373.721843362</v>
      </c>
      <c r="BO113" s="199">
        <f t="shared" si="332"/>
        <v>65707477.891843379</v>
      </c>
      <c r="BP113" s="199">
        <f t="shared" si="332"/>
        <v>54559384.411843374</v>
      </c>
      <c r="BQ113" s="199">
        <f t="shared" si="332"/>
        <v>39821608.341843367</v>
      </c>
      <c r="BR113" s="199">
        <f t="shared" ref="BR113:CW113" si="333">ROUND(+BR67+BR78+BR91+BR99+BR107,2)</f>
        <v>15812970.33</v>
      </c>
      <c r="BS113" s="199">
        <f t="shared" si="333"/>
        <v>5815935.4400000004</v>
      </c>
      <c r="BT113" s="199">
        <f t="shared" si="333"/>
        <v>-3844153.48</v>
      </c>
      <c r="BU113" s="199">
        <f t="shared" si="333"/>
        <v>-22020482.370000001</v>
      </c>
      <c r="BV113" s="199">
        <f t="shared" si="333"/>
        <v>-32789166.399999999</v>
      </c>
      <c r="BW113" s="199">
        <f t="shared" si="333"/>
        <v>-41603576.049999997</v>
      </c>
      <c r="BX113" s="199">
        <f t="shared" si="333"/>
        <v>-45484199.469999999</v>
      </c>
      <c r="BY113" s="199">
        <f t="shared" si="333"/>
        <v>-48917401</v>
      </c>
      <c r="BZ113" s="199">
        <f t="shared" si="333"/>
        <v>-61157956.990000002</v>
      </c>
      <c r="CA113" s="199">
        <f t="shared" si="333"/>
        <v>-76088935.409999996</v>
      </c>
      <c r="CB113" s="199">
        <f t="shared" si="333"/>
        <v>-79120022.849999994</v>
      </c>
      <c r="CC113" s="199">
        <f t="shared" si="333"/>
        <v>-77863717.159999996</v>
      </c>
      <c r="CD113" s="199">
        <f t="shared" si="333"/>
        <v>-78824901.170000002</v>
      </c>
      <c r="CE113" s="199">
        <f t="shared" si="333"/>
        <v>-75667446.540000007</v>
      </c>
      <c r="CF113" s="199">
        <f t="shared" si="333"/>
        <v>-68427830.859999999</v>
      </c>
      <c r="CG113" s="199">
        <f t="shared" si="333"/>
        <v>-53163380.880000003</v>
      </c>
      <c r="CH113" s="199">
        <f t="shared" si="333"/>
        <v>-39300056.439999998</v>
      </c>
      <c r="CI113" s="199">
        <f t="shared" si="333"/>
        <v>-26763671.489999998</v>
      </c>
      <c r="CJ113" s="199">
        <f t="shared" si="333"/>
        <v>-16682520.789999999</v>
      </c>
      <c r="CK113" s="200">
        <f t="shared" si="333"/>
        <v>-18838550.629999999</v>
      </c>
      <c r="CL113" s="200">
        <f t="shared" si="333"/>
        <v>-16190626.939999999</v>
      </c>
      <c r="CM113" s="200">
        <f t="shared" si="333"/>
        <v>-26720090.800000001</v>
      </c>
      <c r="CN113" s="200">
        <f t="shared" si="333"/>
        <v>-16854324.129999999</v>
      </c>
      <c r="CO113" s="200">
        <f t="shared" si="333"/>
        <v>-8891908.0999999996</v>
      </c>
      <c r="CP113" s="200">
        <f t="shared" si="333"/>
        <v>-10603230.130000001</v>
      </c>
      <c r="CQ113" s="200">
        <f t="shared" si="333"/>
        <v>-23839655.859999999</v>
      </c>
      <c r="CR113" s="200">
        <f t="shared" si="333"/>
        <v>-29724671.390000001</v>
      </c>
      <c r="CS113" s="200">
        <f t="shared" si="333"/>
        <v>-43241674.170000002</v>
      </c>
      <c r="CT113" s="200">
        <f t="shared" si="333"/>
        <v>-55655565.100000001</v>
      </c>
      <c r="CU113" s="200">
        <f t="shared" si="333"/>
        <v>-62896831.240000002</v>
      </c>
      <c r="CV113" s="200">
        <f t="shared" si="333"/>
        <v>-61802817.229999997</v>
      </c>
      <c r="CW113" s="200">
        <f t="shared" si="333"/>
        <v>-67486565.200000003</v>
      </c>
      <c r="CX113" s="200">
        <f t="shared" ref="CX113:EC113" si="334">ROUND(+CX67+CX78+CX91+CX99+CX107,2)</f>
        <v>-70351268.079999998</v>
      </c>
      <c r="CY113" s="200">
        <f t="shared" si="334"/>
        <v>-76603333.230000004</v>
      </c>
      <c r="CZ113" s="200">
        <f t="shared" si="334"/>
        <v>-65126294.390000001</v>
      </c>
      <c r="DA113" s="200">
        <f t="shared" si="334"/>
        <v>-49587265.18</v>
      </c>
      <c r="DB113" s="200">
        <f t="shared" si="334"/>
        <v>-35303418.719999999</v>
      </c>
      <c r="DC113" s="200">
        <f t="shared" si="334"/>
        <v>-20120464.579999998</v>
      </c>
      <c r="DD113" s="200">
        <f t="shared" si="334"/>
        <v>-7823282.0899999999</v>
      </c>
      <c r="DE113" s="200">
        <f t="shared" si="334"/>
        <v>-10896574.74</v>
      </c>
      <c r="DF113" s="200">
        <f t="shared" si="334"/>
        <v>-12167968.18</v>
      </c>
      <c r="DG113" s="200">
        <f t="shared" si="334"/>
        <v>-7380378.1200000001</v>
      </c>
      <c r="DH113" s="200">
        <f t="shared" si="334"/>
        <v>-2790926.84</v>
      </c>
      <c r="DI113" s="200">
        <f t="shared" si="334"/>
        <v>-867496.67</v>
      </c>
      <c r="DJ113" s="200">
        <f t="shared" si="334"/>
        <v>3545776.72</v>
      </c>
      <c r="DK113" s="200">
        <f t="shared" si="334"/>
        <v>2857262.74</v>
      </c>
      <c r="DL113" s="201">
        <f t="shared" si="334"/>
        <v>1673810.7</v>
      </c>
      <c r="DM113" s="201">
        <f t="shared" si="334"/>
        <v>5991768.54</v>
      </c>
      <c r="DN113" s="201">
        <f t="shared" si="334"/>
        <v>8328102.5</v>
      </c>
      <c r="DO113" s="201">
        <f t="shared" si="334"/>
        <v>1413430.68</v>
      </c>
      <c r="DP113" s="201">
        <f t="shared" si="334"/>
        <v>-2757575.98</v>
      </c>
      <c r="DQ113" s="201">
        <f t="shared" si="334"/>
        <v>-12884555.050000001</v>
      </c>
      <c r="DR113" s="201">
        <f t="shared" si="334"/>
        <v>-14270259.76</v>
      </c>
      <c r="DS113" s="201">
        <f t="shared" si="334"/>
        <v>-12723621.43</v>
      </c>
      <c r="DT113" s="201">
        <f t="shared" si="334"/>
        <v>-8181391.4299999997</v>
      </c>
      <c r="DU113" s="201">
        <f t="shared" si="334"/>
        <v>-9910219.3900000006</v>
      </c>
      <c r="DV113" s="201">
        <f t="shared" si="334"/>
        <v>-11022601.5</v>
      </c>
      <c r="DW113" s="201">
        <f t="shared" si="334"/>
        <v>-13784478.67</v>
      </c>
      <c r="DX113" s="201">
        <f t="shared" si="334"/>
        <v>-21301256.57</v>
      </c>
      <c r="DY113" s="201">
        <f t="shared" si="334"/>
        <v>-25940163.489999998</v>
      </c>
      <c r="DZ113" s="201">
        <f t="shared" si="334"/>
        <v>-32086431.460000001</v>
      </c>
      <c r="EA113" s="201">
        <f t="shared" si="334"/>
        <v>-38589075.810000002</v>
      </c>
      <c r="EB113" s="201">
        <f t="shared" si="334"/>
        <v>-56149898.100000001</v>
      </c>
      <c r="EC113" s="201">
        <f t="shared" si="334"/>
        <v>-61261133.630000003</v>
      </c>
      <c r="ED113" s="201">
        <f t="shared" ref="ED113:FI113" si="335">ROUND(+ED67+ED78+ED91+ED99+ED107,2)</f>
        <v>-58955296.490000002</v>
      </c>
      <c r="EE113" s="201">
        <f t="shared" si="335"/>
        <v>-49611016.990000002</v>
      </c>
      <c r="EF113" s="201">
        <f t="shared" si="335"/>
        <v>-45044723.979999997</v>
      </c>
      <c r="EG113" s="201">
        <f t="shared" si="335"/>
        <v>-38326739.560000002</v>
      </c>
      <c r="EH113" s="201">
        <f t="shared" si="335"/>
        <v>-38069958.880000003</v>
      </c>
      <c r="EI113" s="201">
        <f t="shared" si="335"/>
        <v>-40075539.210000001</v>
      </c>
      <c r="EJ113" s="201">
        <f t="shared" si="335"/>
        <v>-35412377.859999999</v>
      </c>
      <c r="EK113" s="201">
        <f t="shared" si="335"/>
        <v>-32587139.329999998</v>
      </c>
      <c r="EL113" s="201">
        <f t="shared" si="335"/>
        <v>-34061985.740000002</v>
      </c>
      <c r="EM113" s="201">
        <f t="shared" si="335"/>
        <v>-32836238.52</v>
      </c>
      <c r="EN113" s="201">
        <f t="shared" si="335"/>
        <v>-26869248.640000001</v>
      </c>
      <c r="EO113" s="201">
        <f t="shared" si="335"/>
        <v>-24192917.18</v>
      </c>
      <c r="EP113" s="201">
        <f t="shared" si="335"/>
        <v>-20969104.109999999</v>
      </c>
      <c r="EQ113" s="201">
        <f t="shared" si="335"/>
        <v>-14509263.529999999</v>
      </c>
      <c r="ER113" s="201">
        <f t="shared" si="335"/>
        <v>-10493336</v>
      </c>
      <c r="ES113" s="201">
        <f t="shared" si="335"/>
        <v>-4370812.3</v>
      </c>
      <c r="ET113" s="201">
        <f t="shared" si="335"/>
        <v>-4650565.05</v>
      </c>
      <c r="EU113" s="201">
        <f t="shared" si="335"/>
        <v>-5004977.05</v>
      </c>
      <c r="EV113" s="201">
        <f t="shared" si="335"/>
        <v>-3005608.78</v>
      </c>
      <c r="EW113" s="201">
        <f t="shared" si="335"/>
        <v>-5937697.7000000002</v>
      </c>
      <c r="EX113" s="201">
        <f t="shared" si="335"/>
        <v>-8177487.3099999996</v>
      </c>
      <c r="EY113" s="201">
        <f t="shared" si="335"/>
        <v>-5335965.8899999997</v>
      </c>
      <c r="EZ113" s="201">
        <f t="shared" si="335"/>
        <v>-2858500.69</v>
      </c>
      <c r="FA113" s="201">
        <f t="shared" si="335"/>
        <v>407463.78</v>
      </c>
      <c r="FB113" s="201">
        <f t="shared" si="335"/>
        <v>3812456.45</v>
      </c>
      <c r="FC113" s="201">
        <f t="shared" si="335"/>
        <v>12539248.15</v>
      </c>
      <c r="FD113" s="201">
        <f t="shared" si="335"/>
        <v>20467934.600000001</v>
      </c>
      <c r="FE113" s="201">
        <f t="shared" si="335"/>
        <v>25904921.829999998</v>
      </c>
      <c r="FF113" s="201">
        <f t="shared" si="335"/>
        <v>32392554.539999999</v>
      </c>
      <c r="FG113" s="201">
        <f t="shared" si="335"/>
        <v>36265473.979999997</v>
      </c>
      <c r="FH113" s="201">
        <f t="shared" si="335"/>
        <v>29808744.760000002</v>
      </c>
      <c r="FI113" s="201">
        <f t="shared" si="335"/>
        <v>21073055</v>
      </c>
      <c r="FJ113" s="201">
        <f t="shared" ref="FJ113:GO113" si="336">ROUND(+FJ67+FJ78+FJ91+FJ99+FJ107,2)</f>
        <v>11083794.880000001</v>
      </c>
      <c r="FK113" s="201">
        <f t="shared" si="336"/>
        <v>3259787.3</v>
      </c>
      <c r="FL113" s="201">
        <f t="shared" si="336"/>
        <v>-5545284.8399999999</v>
      </c>
      <c r="FM113" s="201">
        <f t="shared" si="336"/>
        <v>-16041772.51</v>
      </c>
      <c r="FN113" s="201">
        <f t="shared" si="336"/>
        <v>-17968188.329999998</v>
      </c>
      <c r="FO113" s="201">
        <f t="shared" si="336"/>
        <v>-14889667.84</v>
      </c>
      <c r="FP113" s="201">
        <f t="shared" si="336"/>
        <v>-12276992.51</v>
      </c>
      <c r="FQ113" s="201">
        <f t="shared" si="336"/>
        <v>-11812739.57</v>
      </c>
      <c r="FR113" s="201">
        <f t="shared" si="336"/>
        <v>-8346858.9900000002</v>
      </c>
      <c r="FS113" s="201">
        <f t="shared" si="336"/>
        <v>-10706026.49</v>
      </c>
      <c r="FT113" s="201">
        <f t="shared" si="336"/>
        <v>-9863117.2799999993</v>
      </c>
      <c r="FU113" s="201">
        <f t="shared" si="336"/>
        <v>-12589439.75</v>
      </c>
      <c r="FV113" s="201">
        <f t="shared" si="336"/>
        <v>-13806810.83</v>
      </c>
      <c r="FW113" s="201">
        <f t="shared" si="336"/>
        <v>-12327185.17</v>
      </c>
      <c r="FX113" s="201">
        <f t="shared" si="336"/>
        <v>-14478712.289999999</v>
      </c>
      <c r="FY113" s="201">
        <f t="shared" si="336"/>
        <v>-15206986.710000001</v>
      </c>
      <c r="FZ113" s="201">
        <f t="shared" si="336"/>
        <v>-14271394.27</v>
      </c>
      <c r="GA113" s="201">
        <f t="shared" si="336"/>
        <v>-11561605.4</v>
      </c>
      <c r="GB113" s="201">
        <f t="shared" si="336"/>
        <v>-8745149.0700000003</v>
      </c>
      <c r="GC113" s="201">
        <f t="shared" si="336"/>
        <v>-4815462.5599999996</v>
      </c>
      <c r="GD113" s="201">
        <f t="shared" si="336"/>
        <v>-1846464.4</v>
      </c>
      <c r="GE113" s="201">
        <f t="shared" si="336"/>
        <v>-829523.48</v>
      </c>
      <c r="GF113" s="201">
        <f t="shared" si="336"/>
        <v>1901162.6</v>
      </c>
      <c r="GG113" s="201">
        <f t="shared" si="336"/>
        <v>2784765.38</v>
      </c>
      <c r="GH113" s="201">
        <f t="shared" si="336"/>
        <v>1293123.3500000001</v>
      </c>
      <c r="GI113" s="201">
        <f t="shared" si="336"/>
        <v>-4601488.42</v>
      </c>
      <c r="GJ113" s="201">
        <f t="shared" si="336"/>
        <v>-10589822.529999999</v>
      </c>
      <c r="GK113" s="201">
        <f t="shared" si="336"/>
        <v>-14224199.689999999</v>
      </c>
      <c r="GL113" s="201">
        <f t="shared" si="336"/>
        <v>-14410369.220000001</v>
      </c>
      <c r="GM113" s="201">
        <f t="shared" si="336"/>
        <v>-10979924.09</v>
      </c>
      <c r="GN113" s="201">
        <f t="shared" si="336"/>
        <v>-8730799.2799999993</v>
      </c>
      <c r="GO113" s="201">
        <f t="shared" si="336"/>
        <v>-7305835.4900000002</v>
      </c>
      <c r="GP113" s="201">
        <f t="shared" ref="GP113:HU113" si="337">ROUND(+GP67+GP78+GP91+GP99+GP107,2)</f>
        <v>-5784139.4100000001</v>
      </c>
      <c r="GQ113" s="201">
        <f t="shared" si="337"/>
        <v>-10004734.109999999</v>
      </c>
      <c r="GR113" s="201">
        <f t="shared" si="337"/>
        <v>-12726506.24</v>
      </c>
      <c r="GS113" s="201">
        <f t="shared" si="337"/>
        <v>-16050963.390000001</v>
      </c>
      <c r="GT113" s="201">
        <f t="shared" si="337"/>
        <v>-21635815.719999999</v>
      </c>
      <c r="GU113" s="201">
        <f t="shared" si="337"/>
        <v>-26523193.850000001</v>
      </c>
      <c r="GV113" s="201">
        <f t="shared" si="337"/>
        <v>-33662916.409999996</v>
      </c>
      <c r="GW113" s="201">
        <f t="shared" si="337"/>
        <v>-39290921.479999997</v>
      </c>
      <c r="GX113" s="201">
        <f t="shared" si="337"/>
        <v>-38820826.649999999</v>
      </c>
      <c r="GY113" s="201">
        <f t="shared" si="337"/>
        <v>-38645217.329999998</v>
      </c>
      <c r="GZ113" s="201">
        <f t="shared" si="337"/>
        <v>-37782568.060000002</v>
      </c>
      <c r="HA113" s="201">
        <f t="shared" si="337"/>
        <v>-37734842.270000003</v>
      </c>
      <c r="HB113" s="201">
        <f t="shared" si="337"/>
        <v>-35961542.259999998</v>
      </c>
      <c r="HC113" s="201">
        <f t="shared" si="337"/>
        <v>-36403749.109999999</v>
      </c>
      <c r="HD113" s="201">
        <f t="shared" si="337"/>
        <v>-10703205.550000001</v>
      </c>
      <c r="HE113" s="201">
        <f t="shared" si="337"/>
        <v>9921987.5899999999</v>
      </c>
      <c r="HF113" s="201">
        <f t="shared" si="337"/>
        <v>20605824.59</v>
      </c>
      <c r="HG113" s="201">
        <f t="shared" si="337"/>
        <v>76655664.489999995</v>
      </c>
      <c r="HH113" s="201">
        <f t="shared" si="337"/>
        <v>137093320.41999999</v>
      </c>
      <c r="HI113" s="201">
        <f t="shared" si="337"/>
        <v>135597091.16999999</v>
      </c>
      <c r="HJ113" s="201">
        <f t="shared" si="337"/>
        <v>139321814.72999999</v>
      </c>
      <c r="HK113" s="201">
        <f t="shared" si="337"/>
        <v>144917457.52000001</v>
      </c>
      <c r="HL113" s="201">
        <f t="shared" si="337"/>
        <v>149010819.87</v>
      </c>
      <c r="HM113" s="201">
        <f t="shared" si="337"/>
        <v>153465733.90000001</v>
      </c>
      <c r="HN113" s="201">
        <f t="shared" si="337"/>
        <v>155710167.52000001</v>
      </c>
      <c r="HO113" s="201">
        <f t="shared" si="337"/>
        <v>155143705.56999999</v>
      </c>
      <c r="HP113" s="201">
        <f t="shared" si="337"/>
        <v>148847954.96000001</v>
      </c>
      <c r="HQ113" s="201">
        <f t="shared" si="337"/>
        <v>132766288.31999999</v>
      </c>
      <c r="HR113" s="201">
        <f t="shared" si="337"/>
        <v>117807327.48999999</v>
      </c>
      <c r="HS113" s="201">
        <f t="shared" si="337"/>
        <v>104082576.76000001</v>
      </c>
      <c r="HT113" s="201">
        <f t="shared" si="337"/>
        <v>91337732.969999999</v>
      </c>
      <c r="HU113" s="201">
        <f t="shared" si="337"/>
        <v>83369245.340000004</v>
      </c>
      <c r="HV113" s="201">
        <f t="shared" ref="HV113:JA113" si="338">ROUND(+HV67+HV78+HV91+HV99+HV107,2)</f>
        <v>85015926.739999995</v>
      </c>
      <c r="HW113" s="201">
        <f t="shared" si="338"/>
        <v>86932159.870000005</v>
      </c>
      <c r="HX113" s="201">
        <f t="shared" si="338"/>
        <v>92271856.709999993</v>
      </c>
      <c r="HY113" s="201">
        <f t="shared" si="338"/>
        <v>98077713.400000006</v>
      </c>
      <c r="HZ113" s="201">
        <f t="shared" si="338"/>
        <v>101906480.14</v>
      </c>
      <c r="IA113" s="201">
        <f t="shared" si="338"/>
        <v>104211033.3</v>
      </c>
      <c r="IB113" s="201">
        <f t="shared" si="338"/>
        <v>97644686.939999998</v>
      </c>
      <c r="IC113" s="201">
        <f t="shared" si="338"/>
        <v>87655393.370000005</v>
      </c>
      <c r="ID113" s="201">
        <f t="shared" si="338"/>
        <v>78531453.170000002</v>
      </c>
      <c r="IE113" s="201">
        <f t="shared" si="338"/>
        <v>55025858.299999997</v>
      </c>
      <c r="IF113" s="201">
        <f t="shared" si="338"/>
        <v>46786679.950000003</v>
      </c>
      <c r="IG113" s="201">
        <f t="shared" si="338"/>
        <v>43864489.189999998</v>
      </c>
      <c r="IH113" s="201">
        <f t="shared" si="338"/>
        <v>46734748.369999997</v>
      </c>
      <c r="II113" s="201">
        <f t="shared" si="338"/>
        <v>49424654.049999997</v>
      </c>
      <c r="IJ113" s="201">
        <f t="shared" si="338"/>
        <v>53988545.289999999</v>
      </c>
      <c r="IK113" s="201">
        <f t="shared" si="338"/>
        <v>55956352.890000001</v>
      </c>
      <c r="IL113" s="201">
        <f t="shared" si="338"/>
        <v>56268274.149999999</v>
      </c>
      <c r="IM113" s="201">
        <f t="shared" si="338"/>
        <v>58935691.100000001</v>
      </c>
      <c r="IN113" s="201">
        <f t="shared" si="338"/>
        <v>56426669.920000002</v>
      </c>
      <c r="IO113" s="201">
        <f t="shared" si="338"/>
        <v>57934877.509999998</v>
      </c>
      <c r="IP113" s="201">
        <f t="shared" si="338"/>
        <v>49743345.689999998</v>
      </c>
      <c r="IQ113" s="201">
        <f t="shared" si="338"/>
        <v>44029996.829999998</v>
      </c>
      <c r="IR113" s="201">
        <f t="shared" si="338"/>
        <v>44019058.109999999</v>
      </c>
      <c r="IS113" s="201">
        <f t="shared" si="338"/>
        <v>42379228.899999999</v>
      </c>
      <c r="IT113" s="201">
        <f t="shared" si="338"/>
        <v>52466293</v>
      </c>
      <c r="IU113" s="201">
        <f t="shared" si="338"/>
        <v>54534738.990000002</v>
      </c>
      <c r="IV113" s="201">
        <f t="shared" si="338"/>
        <v>53675452.460000001</v>
      </c>
      <c r="IW113" s="201">
        <f t="shared" si="338"/>
        <v>51089299.049999997</v>
      </c>
      <c r="IX113" s="201">
        <f t="shared" si="338"/>
        <v>49426374.649999999</v>
      </c>
      <c r="IY113" s="201">
        <f t="shared" si="338"/>
        <v>49256322.409999996</v>
      </c>
      <c r="IZ113" s="201">
        <f t="shared" si="338"/>
        <v>45419534.840000004</v>
      </c>
      <c r="JA113" s="201">
        <f t="shared" si="338"/>
        <v>20679271.41</v>
      </c>
      <c r="JB113" s="201">
        <f t="shared" ref="JB113:JU113" si="339">ROUND(+JB67+JB78+JB91+JB99+JB107+JB53,2)</f>
        <v>-45889902.369999997</v>
      </c>
      <c r="JC113" s="201">
        <f t="shared" si="339"/>
        <v>-73318423.180000007</v>
      </c>
      <c r="JD113" s="201">
        <f t="shared" si="339"/>
        <v>-102913692.11</v>
      </c>
      <c r="JE113" s="201">
        <f t="shared" si="339"/>
        <v>-129790119.12</v>
      </c>
      <c r="JF113" s="201">
        <f t="shared" si="339"/>
        <v>-135686557.46000001</v>
      </c>
      <c r="JG113" s="201">
        <f t="shared" si="339"/>
        <v>-138996061.94999999</v>
      </c>
      <c r="JH113" s="201">
        <f t="shared" si="339"/>
        <v>-145153649.47</v>
      </c>
      <c r="JI113" s="201">
        <f t="shared" si="339"/>
        <v>-150262148.96000001</v>
      </c>
      <c r="JJ113" s="201">
        <f t="shared" si="339"/>
        <v>-154159530.90000001</v>
      </c>
      <c r="JK113" s="201">
        <f t="shared" si="339"/>
        <v>-166937928.56999999</v>
      </c>
      <c r="JL113" s="201">
        <f t="shared" si="339"/>
        <v>-154581770.34999999</v>
      </c>
      <c r="JM113" s="201">
        <f t="shared" si="339"/>
        <v>-132082169.55</v>
      </c>
      <c r="JN113" s="201">
        <f t="shared" si="339"/>
        <v>-113043209.16</v>
      </c>
      <c r="JO113" s="201">
        <f t="shared" si="339"/>
        <v>-98248390.099999994</v>
      </c>
      <c r="JP113" s="201">
        <f t="shared" si="339"/>
        <v>-91271689.420000002</v>
      </c>
      <c r="JQ113" s="201">
        <f t="shared" si="339"/>
        <v>-92482545.530000001</v>
      </c>
      <c r="JR113" s="201">
        <f t="shared" si="339"/>
        <v>-89007547.560000002</v>
      </c>
      <c r="JS113" s="201">
        <f t="shared" si="339"/>
        <v>-81360673.829999998</v>
      </c>
      <c r="JT113" s="201">
        <f t="shared" si="339"/>
        <v>-73789490.319999993</v>
      </c>
      <c r="JU113" s="201">
        <f t="shared" si="339"/>
        <v>-65632818.829999998</v>
      </c>
      <c r="JV113" s="632"/>
      <c r="JW113" s="414"/>
      <c r="JX113" s="414"/>
      <c r="JY113" s="414"/>
      <c r="JZ113" s="414"/>
      <c r="KA113" s="414"/>
      <c r="KB113" s="414"/>
      <c r="KC113" s="414"/>
      <c r="KD113" s="414"/>
      <c r="KE113" s="414"/>
      <c r="KF113" s="414"/>
      <c r="KG113" s="414"/>
      <c r="KH113" s="414"/>
      <c r="KI113" s="633"/>
    </row>
    <row r="114" spans="1:295" ht="18" customHeight="1" thickTop="1" x14ac:dyDescent="0.2">
      <c r="A114" s="24" t="s">
        <v>139</v>
      </c>
      <c r="D114" s="50">
        <f t="shared" ref="D114:AI114" si="340">+D67</f>
        <v>59812470.350000001</v>
      </c>
      <c r="E114" s="50">
        <f t="shared" si="340"/>
        <v>120745657.28</v>
      </c>
      <c r="F114" s="50">
        <f t="shared" si="340"/>
        <v>116400172.34</v>
      </c>
      <c r="G114" s="50">
        <f t="shared" si="340"/>
        <v>105985135.08006337</v>
      </c>
      <c r="H114" s="50">
        <f t="shared" si="340"/>
        <v>92410074.882628947</v>
      </c>
      <c r="I114" s="50">
        <f t="shared" si="340"/>
        <v>73649281.133495629</v>
      </c>
      <c r="J114" s="50">
        <f t="shared" si="340"/>
        <v>54385898.571054831</v>
      </c>
      <c r="K114" s="50">
        <f t="shared" si="340"/>
        <v>37849031.228008136</v>
      </c>
      <c r="L114" s="50">
        <f t="shared" si="340"/>
        <v>19641296.89888484</v>
      </c>
      <c r="M114" s="50">
        <f t="shared" si="340"/>
        <v>7841036.4775772225</v>
      </c>
      <c r="N114" s="50">
        <f t="shared" si="340"/>
        <v>-1010074.6028453317</v>
      </c>
      <c r="O114" s="50">
        <f t="shared" si="340"/>
        <v>-869527.96</v>
      </c>
      <c r="P114" s="50">
        <f t="shared" si="340"/>
        <v>-903317.99</v>
      </c>
      <c r="Q114" s="50">
        <f t="shared" si="340"/>
        <v>-937108.02</v>
      </c>
      <c r="R114" s="50">
        <f t="shared" si="340"/>
        <v>-404021.02</v>
      </c>
      <c r="S114" s="50">
        <f t="shared" si="340"/>
        <v>-167814.39000000004</v>
      </c>
      <c r="T114" s="50">
        <f t="shared" si="340"/>
        <v>7284028.3326132959</v>
      </c>
      <c r="U114" s="50">
        <f t="shared" si="340"/>
        <v>16456818.117644336</v>
      </c>
      <c r="V114" s="50">
        <f t="shared" si="340"/>
        <v>-83020072.083796158</v>
      </c>
      <c r="W114" s="50">
        <f t="shared" si="340"/>
        <v>-74655652.509488285</v>
      </c>
      <c r="X114" s="50">
        <f t="shared" si="340"/>
        <v>-67370116.098532259</v>
      </c>
      <c r="Y114" s="50">
        <f t="shared" si="340"/>
        <v>-23540349.660309456</v>
      </c>
      <c r="Z114" s="50">
        <f t="shared" si="340"/>
        <v>-21389993.739909839</v>
      </c>
      <c r="AA114" s="50">
        <f t="shared" si="340"/>
        <v>-20155529.386130616</v>
      </c>
      <c r="AB114" s="50">
        <f t="shared" si="340"/>
        <v>-19157897.949999999</v>
      </c>
      <c r="AC114" s="50">
        <f t="shared" si="340"/>
        <v>-17677541.829999998</v>
      </c>
      <c r="AD114" s="50">
        <f t="shared" si="340"/>
        <v>-16440523.599999998</v>
      </c>
      <c r="AE114" s="50">
        <f t="shared" si="340"/>
        <v>-9467391.0081546195</v>
      </c>
      <c r="AF114" s="50">
        <f t="shared" si="340"/>
        <v>-8097534.0999999996</v>
      </c>
      <c r="AG114" s="50">
        <f t="shared" si="340"/>
        <v>-6589680.9100000001</v>
      </c>
      <c r="AH114" s="50">
        <f t="shared" si="340"/>
        <v>-5015530.6099999994</v>
      </c>
      <c r="AI114" s="50">
        <f t="shared" si="340"/>
        <v>-3737067.5300000003</v>
      </c>
      <c r="AJ114" s="50">
        <f t="shared" ref="AJ114:BQ114" si="341">+AJ67</f>
        <v>-2649582.36</v>
      </c>
      <c r="AK114" s="50">
        <f t="shared" si="341"/>
        <v>-1998438.8199999998</v>
      </c>
      <c r="AL114" s="50">
        <f t="shared" si="341"/>
        <v>-1478820.69</v>
      </c>
      <c r="AM114" s="50">
        <f t="shared" si="341"/>
        <v>-1094126.3299999998</v>
      </c>
      <c r="AN114" s="50">
        <f t="shared" si="341"/>
        <v>-775943.88000000012</v>
      </c>
      <c r="AO114" s="50">
        <f t="shared" si="341"/>
        <v>-417583.8</v>
      </c>
      <c r="AP114" s="50">
        <f t="shared" si="341"/>
        <v>24831.340000000026</v>
      </c>
      <c r="AQ114" s="50">
        <f t="shared" si="341"/>
        <v>8843522.0329453163</v>
      </c>
      <c r="AR114" s="50">
        <f t="shared" si="341"/>
        <v>7798610.8599999994</v>
      </c>
      <c r="AS114" s="50">
        <f t="shared" si="341"/>
        <v>6502736.5099999998</v>
      </c>
      <c r="AT114" s="50">
        <f t="shared" si="341"/>
        <v>5072724.59</v>
      </c>
      <c r="AU114" s="50">
        <f t="shared" si="341"/>
        <v>3940228.01</v>
      </c>
      <c r="AV114" s="50">
        <f t="shared" si="341"/>
        <v>3103055.42</v>
      </c>
      <c r="AW114" s="50">
        <f t="shared" si="341"/>
        <v>2348258.41</v>
      </c>
      <c r="AX114" s="50">
        <f t="shared" si="341"/>
        <v>1932732.7900000003</v>
      </c>
      <c r="AY114" s="50">
        <f t="shared" si="341"/>
        <v>1572373.78</v>
      </c>
      <c r="AZ114" s="50">
        <f t="shared" si="341"/>
        <v>1290114.3700000001</v>
      </c>
      <c r="BA114" s="50">
        <f t="shared" si="341"/>
        <v>990401.12000000011</v>
      </c>
      <c r="BB114" s="50">
        <f t="shared" si="341"/>
        <v>615834.31000000006</v>
      </c>
      <c r="BC114" s="50">
        <f t="shared" si="341"/>
        <v>30581310.789999999</v>
      </c>
      <c r="BD114" s="127">
        <f t="shared" si="341"/>
        <v>26559645.299999997</v>
      </c>
      <c r="BE114" s="127">
        <f t="shared" si="341"/>
        <v>21781178.890000001</v>
      </c>
      <c r="BF114" s="127">
        <f t="shared" si="341"/>
        <v>17469056</v>
      </c>
      <c r="BG114" s="127">
        <f t="shared" si="341"/>
        <v>13039483.300000001</v>
      </c>
      <c r="BH114" s="127">
        <f t="shared" si="341"/>
        <v>9224436.5100000016</v>
      </c>
      <c r="BI114" s="127">
        <f t="shared" si="341"/>
        <v>6581711.9000000004</v>
      </c>
      <c r="BJ114" s="127">
        <f t="shared" si="341"/>
        <v>4861599.01</v>
      </c>
      <c r="BK114" s="127">
        <f t="shared" si="341"/>
        <v>3724037.84</v>
      </c>
      <c r="BL114" s="127">
        <f t="shared" si="341"/>
        <v>2782475.2199999997</v>
      </c>
      <c r="BM114" s="127">
        <f t="shared" si="341"/>
        <v>1795259.86</v>
      </c>
      <c r="BN114" s="127">
        <f t="shared" si="341"/>
        <v>577870.62000000011</v>
      </c>
      <c r="BO114" s="127">
        <f t="shared" si="341"/>
        <v>69846585.370000005</v>
      </c>
      <c r="BP114" s="127">
        <f t="shared" si="341"/>
        <v>65742726.470000006</v>
      </c>
      <c r="BQ114" s="127">
        <f t="shared" si="341"/>
        <v>60654038.82</v>
      </c>
      <c r="BR114" s="127">
        <f t="shared" ref="BR114:EC114" si="342">ROUND(+BR67,2)</f>
        <v>54761598.049999997</v>
      </c>
      <c r="BS114" s="127">
        <f t="shared" si="342"/>
        <v>50569240.899999999</v>
      </c>
      <c r="BT114" s="127">
        <f t="shared" si="342"/>
        <v>46886948.700000003</v>
      </c>
      <c r="BU114" s="127">
        <f t="shared" si="342"/>
        <v>44140413.560000002</v>
      </c>
      <c r="BV114" s="127">
        <f t="shared" si="342"/>
        <v>42319665.579999998</v>
      </c>
      <c r="BW114" s="127">
        <f t="shared" si="342"/>
        <v>41080897</v>
      </c>
      <c r="BX114" s="127">
        <f t="shared" si="342"/>
        <v>40230459.729999997</v>
      </c>
      <c r="BY114" s="127">
        <f t="shared" si="342"/>
        <v>39297519.439999998</v>
      </c>
      <c r="BZ114" s="127">
        <f t="shared" si="342"/>
        <v>37968909.880000003</v>
      </c>
      <c r="CA114" s="127">
        <f t="shared" si="342"/>
        <v>-55736248.850000001</v>
      </c>
      <c r="CB114" s="127">
        <f t="shared" si="342"/>
        <v>-49394190.840000004</v>
      </c>
      <c r="CC114" s="127">
        <f t="shared" si="342"/>
        <v>-40643132.420000002</v>
      </c>
      <c r="CD114" s="127">
        <f t="shared" si="342"/>
        <v>-30961308.920000002</v>
      </c>
      <c r="CE114" s="127">
        <f t="shared" si="342"/>
        <v>-23643545.890000001</v>
      </c>
      <c r="CF114" s="127">
        <f t="shared" si="342"/>
        <v>-16092032.58</v>
      </c>
      <c r="CG114" s="127">
        <f t="shared" si="342"/>
        <v>-10075018.279999999</v>
      </c>
      <c r="CH114" s="127">
        <f t="shared" si="342"/>
        <v>-6543800.6299999999</v>
      </c>
      <c r="CI114" s="127">
        <f t="shared" si="342"/>
        <v>-3540656.44</v>
      </c>
      <c r="CJ114" s="127">
        <f t="shared" si="342"/>
        <v>-1610029.52</v>
      </c>
      <c r="CK114" s="127">
        <f t="shared" si="342"/>
        <v>742230.4</v>
      </c>
      <c r="CL114" s="127">
        <f t="shared" si="342"/>
        <v>3063647.6</v>
      </c>
      <c r="CM114" s="127">
        <f t="shared" si="342"/>
        <v>-15502795.66</v>
      </c>
      <c r="CN114" s="127">
        <f t="shared" si="342"/>
        <v>-13965540.57</v>
      </c>
      <c r="CO114" s="127">
        <f t="shared" si="342"/>
        <v>-11228536.859999999</v>
      </c>
      <c r="CP114" s="127">
        <f t="shared" si="342"/>
        <v>-8537178.9399999995</v>
      </c>
      <c r="CQ114" s="127">
        <f t="shared" si="342"/>
        <v>-6356424.3600000003</v>
      </c>
      <c r="CR114" s="127">
        <f t="shared" si="342"/>
        <v>-4077308.03</v>
      </c>
      <c r="CS114" s="127">
        <f t="shared" si="342"/>
        <v>-2636574.9300000002</v>
      </c>
      <c r="CT114" s="127">
        <f t="shared" si="342"/>
        <v>-1677845</v>
      </c>
      <c r="CU114" s="127">
        <f t="shared" si="342"/>
        <v>-21810225.760000002</v>
      </c>
      <c r="CV114" s="127">
        <f t="shared" si="342"/>
        <v>-20812349.640000001</v>
      </c>
      <c r="CW114" s="127">
        <f t="shared" si="342"/>
        <v>-19513897.620000001</v>
      </c>
      <c r="CX114" s="127">
        <f t="shared" si="342"/>
        <v>-18279061.370000001</v>
      </c>
      <c r="CY114" s="127">
        <f t="shared" si="342"/>
        <v>-76477618.920000002</v>
      </c>
      <c r="CZ114" s="127">
        <f t="shared" si="342"/>
        <v>-67705822.590000004</v>
      </c>
      <c r="DA114" s="127">
        <f t="shared" si="342"/>
        <v>-53687985.280000001</v>
      </c>
      <c r="DB114" s="127">
        <f t="shared" si="342"/>
        <v>-44043095.659999996</v>
      </c>
      <c r="DC114" s="127">
        <f t="shared" si="342"/>
        <v>-35629285.789999999</v>
      </c>
      <c r="DD114" s="127">
        <f t="shared" si="342"/>
        <v>-27002795.879999999</v>
      </c>
      <c r="DE114" s="127">
        <f t="shared" si="342"/>
        <v>-19928628.370000001</v>
      </c>
      <c r="DF114" s="127">
        <f t="shared" si="342"/>
        <v>-14491586</v>
      </c>
      <c r="DG114" s="127">
        <f t="shared" si="342"/>
        <v>-11550804.84</v>
      </c>
      <c r="DH114" s="202">
        <f t="shared" si="342"/>
        <v>-9450505.4600000009</v>
      </c>
      <c r="DI114" s="202">
        <f t="shared" si="342"/>
        <v>-7126068.25</v>
      </c>
      <c r="DJ114" s="202">
        <f t="shared" si="342"/>
        <v>-4813751.6100000003</v>
      </c>
      <c r="DK114" s="202">
        <f t="shared" si="342"/>
        <v>-483396.77</v>
      </c>
      <c r="DL114" s="203">
        <f t="shared" si="342"/>
        <v>-14932396.380000001</v>
      </c>
      <c r="DM114" s="203">
        <f t="shared" si="342"/>
        <v>-12666302.529999999</v>
      </c>
      <c r="DN114" s="203">
        <f t="shared" si="342"/>
        <v>-10334600.41</v>
      </c>
      <c r="DO114" s="203">
        <f t="shared" si="342"/>
        <v>-8031332.4199999999</v>
      </c>
      <c r="DP114" s="203">
        <f t="shared" si="342"/>
        <v>-6058508.9199999999</v>
      </c>
      <c r="DQ114" s="203">
        <f t="shared" si="342"/>
        <v>-4230305.8899999997</v>
      </c>
      <c r="DR114" s="203">
        <f t="shared" si="342"/>
        <v>-3121583.03</v>
      </c>
      <c r="DS114" s="203">
        <f t="shared" si="342"/>
        <v>-2391341.79</v>
      </c>
      <c r="DT114" s="203">
        <f t="shared" si="342"/>
        <v>-1815586.69</v>
      </c>
      <c r="DU114" s="203">
        <f t="shared" si="342"/>
        <v>-1064507.31</v>
      </c>
      <c r="DV114" s="203">
        <f t="shared" si="342"/>
        <v>-481654.81</v>
      </c>
      <c r="DW114" s="203">
        <f t="shared" si="342"/>
        <v>748012.99</v>
      </c>
      <c r="DX114" s="203">
        <f t="shared" si="342"/>
        <v>-19639622.48</v>
      </c>
      <c r="DY114" s="203">
        <f t="shared" si="342"/>
        <v>-16272241.710000001</v>
      </c>
      <c r="DZ114" s="203">
        <f t="shared" si="342"/>
        <v>-12771006.609999999</v>
      </c>
      <c r="EA114" s="203">
        <f t="shared" si="342"/>
        <v>-9953492.6400000006</v>
      </c>
      <c r="EB114" s="203">
        <f t="shared" si="342"/>
        <v>-6756305.4000000004</v>
      </c>
      <c r="EC114" s="203">
        <f t="shared" si="342"/>
        <v>-5042014.97</v>
      </c>
      <c r="ED114" s="203">
        <f t="shared" ref="ED114:GO114" si="343">ROUND(+ED67,2)</f>
        <v>-3768029.39</v>
      </c>
      <c r="EE114" s="203">
        <f t="shared" si="343"/>
        <v>-2783986.16</v>
      </c>
      <c r="EF114" s="203">
        <f t="shared" si="343"/>
        <v>-2029131.58</v>
      </c>
      <c r="EG114" s="203">
        <f t="shared" si="343"/>
        <v>-1352524.62</v>
      </c>
      <c r="EH114" s="203">
        <f t="shared" si="343"/>
        <v>-575027.31000000006</v>
      </c>
      <c r="EI114" s="203">
        <f t="shared" si="343"/>
        <v>1000711.77</v>
      </c>
      <c r="EJ114" s="203">
        <f t="shared" si="343"/>
        <v>-31140784.91</v>
      </c>
      <c r="EK114" s="203">
        <f t="shared" si="343"/>
        <v>-26231978.109999999</v>
      </c>
      <c r="EL114" s="203">
        <f t="shared" si="343"/>
        <v>-20504782</v>
      </c>
      <c r="EM114" s="203">
        <f t="shared" si="343"/>
        <v>-16411917.699999999</v>
      </c>
      <c r="EN114" s="203">
        <f t="shared" si="343"/>
        <v>-12697279.82</v>
      </c>
      <c r="EO114" s="203">
        <f t="shared" si="343"/>
        <v>-9978409.25</v>
      </c>
      <c r="EP114" s="203">
        <f t="shared" si="343"/>
        <v>-8168399.6200000001</v>
      </c>
      <c r="EQ114" s="203">
        <f t="shared" si="343"/>
        <v>-7022426.9400000004</v>
      </c>
      <c r="ER114" s="203">
        <f t="shared" si="343"/>
        <v>-5986236.04</v>
      </c>
      <c r="ES114" s="203">
        <f t="shared" si="343"/>
        <v>-5105491.58</v>
      </c>
      <c r="ET114" s="203">
        <f t="shared" si="343"/>
        <v>-3777616.03</v>
      </c>
      <c r="EU114" s="203">
        <f t="shared" si="343"/>
        <v>-963408.83</v>
      </c>
      <c r="EV114" s="203">
        <f t="shared" si="343"/>
        <v>-9693498.8599999994</v>
      </c>
      <c r="EW114" s="203">
        <f t="shared" si="343"/>
        <v>-7879246.0199999996</v>
      </c>
      <c r="EX114" s="203">
        <f t="shared" si="343"/>
        <v>-6301236.29</v>
      </c>
      <c r="EY114" s="203">
        <f t="shared" si="343"/>
        <v>-4712988.55</v>
      </c>
      <c r="EZ114" s="203">
        <f t="shared" si="343"/>
        <v>-3510242.41</v>
      </c>
      <c r="FA114" s="203">
        <f t="shared" si="343"/>
        <v>-2684396.24</v>
      </c>
      <c r="FB114" s="203">
        <f t="shared" si="343"/>
        <v>-2153143.92</v>
      </c>
      <c r="FC114" s="203">
        <f t="shared" si="343"/>
        <v>-1764800.76</v>
      </c>
      <c r="FD114" s="203">
        <f t="shared" si="343"/>
        <v>-1448210.49</v>
      </c>
      <c r="FE114" s="203">
        <f t="shared" si="343"/>
        <v>-1135250.8700000001</v>
      </c>
      <c r="FF114" s="203">
        <f t="shared" si="343"/>
        <v>-786311.16</v>
      </c>
      <c r="FG114" s="203">
        <f t="shared" si="343"/>
        <v>-221203.58</v>
      </c>
      <c r="FH114" s="203">
        <f t="shared" si="343"/>
        <v>27061218.699999999</v>
      </c>
      <c r="FI114" s="203">
        <f t="shared" si="343"/>
        <v>23412922.489999998</v>
      </c>
      <c r="FJ114" s="203">
        <f t="shared" si="343"/>
        <v>19936038.809999999</v>
      </c>
      <c r="FK114" s="203">
        <f t="shared" si="343"/>
        <v>17269316.079999998</v>
      </c>
      <c r="FL114" s="203">
        <f t="shared" si="343"/>
        <v>14679659.59</v>
      </c>
      <c r="FM114" s="203">
        <f t="shared" si="343"/>
        <v>12474547.960000001</v>
      </c>
      <c r="FN114" s="203">
        <f t="shared" si="343"/>
        <v>11158429.630000001</v>
      </c>
      <c r="FO114" s="203">
        <f t="shared" si="343"/>
        <v>10282607.43</v>
      </c>
      <c r="FP114" s="203">
        <f t="shared" si="343"/>
        <v>9554955.9299999997</v>
      </c>
      <c r="FQ114" s="203">
        <f t="shared" si="343"/>
        <v>8788247.0899999999</v>
      </c>
      <c r="FR114" s="203">
        <f t="shared" si="343"/>
        <v>7739045.9100000001</v>
      </c>
      <c r="FS114" s="203">
        <f t="shared" si="343"/>
        <v>6221622.8300000001</v>
      </c>
      <c r="FT114" s="203">
        <f t="shared" si="343"/>
        <v>-30801283.710000001</v>
      </c>
      <c r="FU114" s="203">
        <f t="shared" si="343"/>
        <v>-26110356.699999999</v>
      </c>
      <c r="FV114" s="203">
        <f t="shared" si="343"/>
        <v>-21663883.510000002</v>
      </c>
      <c r="FW114" s="203">
        <f t="shared" si="343"/>
        <v>-18214913.48</v>
      </c>
      <c r="FX114" s="203">
        <f t="shared" si="343"/>
        <v>-14862273.890000001</v>
      </c>
      <c r="FY114" s="203">
        <f t="shared" si="343"/>
        <v>-13014860.460000001</v>
      </c>
      <c r="FZ114" s="203">
        <f t="shared" si="343"/>
        <v>-11568933.68</v>
      </c>
      <c r="GA114" s="203">
        <f t="shared" si="343"/>
        <v>-10440344.279999999</v>
      </c>
      <c r="GB114" s="203">
        <f t="shared" si="343"/>
        <v>-9361904.75</v>
      </c>
      <c r="GC114" s="203">
        <f t="shared" si="343"/>
        <v>-8468762.6500000004</v>
      </c>
      <c r="GD114" s="203">
        <f t="shared" si="343"/>
        <v>-7298124.4299999997</v>
      </c>
      <c r="GE114" s="203">
        <f t="shared" si="343"/>
        <v>-5245649.45</v>
      </c>
      <c r="GF114" s="203">
        <f t="shared" si="343"/>
        <v>-14721121.26</v>
      </c>
      <c r="GG114" s="203">
        <f t="shared" si="343"/>
        <v>-12301313.109999999</v>
      </c>
      <c r="GH114" s="203">
        <f t="shared" si="343"/>
        <v>-9661395.8800000008</v>
      </c>
      <c r="GI114" s="203">
        <f t="shared" si="343"/>
        <v>-7566544.0999999996</v>
      </c>
      <c r="GJ114" s="203">
        <f t="shared" si="343"/>
        <v>-5696754.5099999998</v>
      </c>
      <c r="GK114" s="203">
        <f t="shared" si="343"/>
        <v>-4352651.4000000004</v>
      </c>
      <c r="GL114" s="203">
        <f t="shared" si="343"/>
        <v>-3446459.88</v>
      </c>
      <c r="GM114" s="203">
        <f t="shared" si="343"/>
        <v>-2863852.23</v>
      </c>
      <c r="GN114" s="203">
        <f t="shared" si="343"/>
        <v>-2375869.37</v>
      </c>
      <c r="GO114" s="203">
        <f t="shared" si="343"/>
        <v>-1943144.88</v>
      </c>
      <c r="GP114" s="203">
        <f t="shared" ref="GP114:JA114" si="344">ROUND(+GP67,2)</f>
        <v>-1399304.42</v>
      </c>
      <c r="GQ114" s="203">
        <f t="shared" si="344"/>
        <v>-239838.47</v>
      </c>
      <c r="GR114" s="203">
        <f t="shared" si="344"/>
        <v>-13815977.59</v>
      </c>
      <c r="GS114" s="203">
        <f t="shared" si="344"/>
        <v>-11542868.01</v>
      </c>
      <c r="GT114" s="203">
        <f t="shared" si="344"/>
        <v>-9516850.0800000001</v>
      </c>
      <c r="GU114" s="203">
        <f t="shared" si="344"/>
        <v>-7473563.96</v>
      </c>
      <c r="GV114" s="203">
        <f t="shared" si="344"/>
        <v>-5626654.4000000004</v>
      </c>
      <c r="GW114" s="203">
        <f t="shared" si="344"/>
        <v>-4372606.41</v>
      </c>
      <c r="GX114" s="203">
        <f t="shared" si="344"/>
        <v>-3709483.96</v>
      </c>
      <c r="GY114" s="203">
        <f t="shared" si="344"/>
        <v>-3061542.48</v>
      </c>
      <c r="GZ114" s="203">
        <f t="shared" si="344"/>
        <v>-2677559.9500000002</v>
      </c>
      <c r="HA114" s="203">
        <f t="shared" si="344"/>
        <v>-2202585.89</v>
      </c>
      <c r="HB114" s="203">
        <f t="shared" si="344"/>
        <v>-1670798.99</v>
      </c>
      <c r="HC114" s="203">
        <f t="shared" si="344"/>
        <v>-565204.44999999995</v>
      </c>
      <c r="HD114" s="203">
        <f t="shared" si="344"/>
        <v>-49919517.590000004</v>
      </c>
      <c r="HE114" s="203">
        <f t="shared" si="344"/>
        <v>-42678708.93</v>
      </c>
      <c r="HF114" s="203">
        <f t="shared" si="344"/>
        <v>-35706212.939999998</v>
      </c>
      <c r="HG114" s="203">
        <f t="shared" si="344"/>
        <v>-27413224.73</v>
      </c>
      <c r="HH114" s="203">
        <f t="shared" si="344"/>
        <v>-21188847.359999999</v>
      </c>
      <c r="HI114" s="203">
        <f t="shared" si="344"/>
        <v>-17220456.699999999</v>
      </c>
      <c r="HJ114" s="203">
        <f t="shared" si="344"/>
        <v>34681552.93</v>
      </c>
      <c r="HK114" s="203">
        <f t="shared" si="344"/>
        <v>34974949.060000002</v>
      </c>
      <c r="HL114" s="203">
        <f t="shared" si="344"/>
        <v>35257310.030000001</v>
      </c>
      <c r="HM114" s="203">
        <f t="shared" si="344"/>
        <v>35538164.219999999</v>
      </c>
      <c r="HN114" s="203">
        <f t="shared" si="344"/>
        <v>35844112.390000001</v>
      </c>
      <c r="HO114" s="203">
        <f t="shared" si="344"/>
        <v>36328156.780000001</v>
      </c>
      <c r="HP114" s="203">
        <f t="shared" si="344"/>
        <v>130951434.14</v>
      </c>
      <c r="HQ114" s="203">
        <f t="shared" si="344"/>
        <v>118886802.01000001</v>
      </c>
      <c r="HR114" s="203">
        <f t="shared" si="344"/>
        <v>106530267.92</v>
      </c>
      <c r="HS114" s="203">
        <f t="shared" si="344"/>
        <v>95134164.700000003</v>
      </c>
      <c r="HT114" s="203">
        <f t="shared" si="344"/>
        <v>84298532.980000004</v>
      </c>
      <c r="HU114" s="203">
        <f t="shared" si="344"/>
        <v>77898019.620000005</v>
      </c>
      <c r="HV114" s="203">
        <f t="shared" si="344"/>
        <v>76097874.370000005</v>
      </c>
      <c r="HW114" s="203">
        <f t="shared" si="344"/>
        <v>74688460.390000001</v>
      </c>
      <c r="HX114" s="203">
        <f t="shared" si="344"/>
        <v>73731922</v>
      </c>
      <c r="HY114" s="203">
        <f t="shared" si="344"/>
        <v>72823685.430000007</v>
      </c>
      <c r="HZ114" s="203">
        <f t="shared" si="344"/>
        <v>71735019.040000007</v>
      </c>
      <c r="IA114" s="203">
        <f t="shared" si="344"/>
        <v>71365725.819999993</v>
      </c>
      <c r="IB114" s="203">
        <f t="shared" si="344"/>
        <v>83046843.040000007</v>
      </c>
      <c r="IC114" s="203">
        <f t="shared" si="344"/>
        <v>77425215.489999995</v>
      </c>
      <c r="ID114" s="203">
        <f t="shared" si="344"/>
        <v>71707219.849999994</v>
      </c>
      <c r="IE114" s="203">
        <f t="shared" si="344"/>
        <v>65599117.549999997</v>
      </c>
      <c r="IF114" s="203">
        <f t="shared" si="344"/>
        <v>60319532.350000001</v>
      </c>
      <c r="IG114" s="203">
        <f t="shared" si="344"/>
        <v>57224936.109999999</v>
      </c>
      <c r="IH114" s="203">
        <f t="shared" si="344"/>
        <v>55030585.020000003</v>
      </c>
      <c r="II114" s="203">
        <f t="shared" si="344"/>
        <v>53663336.399999999</v>
      </c>
      <c r="IJ114" s="203">
        <f t="shared" si="344"/>
        <v>52677749.079999998</v>
      </c>
      <c r="IK114" s="203">
        <f t="shared" si="344"/>
        <v>51627440.990000002</v>
      </c>
      <c r="IL114" s="203">
        <f t="shared" si="344"/>
        <v>50128784.280000001</v>
      </c>
      <c r="IM114" s="203">
        <f t="shared" si="344"/>
        <v>46989869.350000001</v>
      </c>
      <c r="IN114" s="203">
        <f t="shared" si="344"/>
        <v>44463601.549999997</v>
      </c>
      <c r="IO114" s="203">
        <f t="shared" si="344"/>
        <v>40826566.780000001</v>
      </c>
      <c r="IP114" s="203">
        <f t="shared" si="344"/>
        <v>37155601.640000001</v>
      </c>
      <c r="IQ114" s="203">
        <f t="shared" si="344"/>
        <v>34147401.18</v>
      </c>
      <c r="IR114" s="203">
        <f t="shared" si="344"/>
        <v>31524492.789999999</v>
      </c>
      <c r="IS114" s="203">
        <f t="shared" si="344"/>
        <v>29262413.09</v>
      </c>
      <c r="IT114" s="203">
        <f t="shared" si="344"/>
        <v>27702396.989999998</v>
      </c>
      <c r="IU114" s="203">
        <f t="shared" si="344"/>
        <v>26742107.039999999</v>
      </c>
      <c r="IV114" s="203">
        <f t="shared" si="344"/>
        <v>26073974.440000001</v>
      </c>
      <c r="IW114" s="203">
        <f t="shared" si="344"/>
        <v>25557160.609999999</v>
      </c>
      <c r="IX114" s="203">
        <f t="shared" si="344"/>
        <v>24931142.260000002</v>
      </c>
      <c r="IY114" s="203">
        <f t="shared" si="344"/>
        <v>23745059.32</v>
      </c>
      <c r="IZ114" s="203">
        <f t="shared" si="344"/>
        <v>32673226.170000002</v>
      </c>
      <c r="JA114" s="203">
        <f t="shared" si="344"/>
        <v>26858563.120000001</v>
      </c>
      <c r="JB114" s="203">
        <f t="shared" ref="JB114:JU114" si="345">ROUND(+JB67,2)</f>
        <v>21739984.41</v>
      </c>
      <c r="JC114" s="203">
        <f t="shared" si="345"/>
        <v>16696457.109999999</v>
      </c>
      <c r="JD114" s="203">
        <f t="shared" si="345"/>
        <v>12053987.48</v>
      </c>
      <c r="JE114" s="203">
        <f t="shared" si="345"/>
        <v>8391342.8499999996</v>
      </c>
      <c r="JF114" s="203">
        <f t="shared" si="345"/>
        <v>6857354.4699999997</v>
      </c>
      <c r="JG114" s="203">
        <f t="shared" si="345"/>
        <v>5553638</v>
      </c>
      <c r="JH114" s="203">
        <f t="shared" si="345"/>
        <v>4608529.58</v>
      </c>
      <c r="JI114" s="203">
        <f t="shared" si="345"/>
        <v>3631432.92</v>
      </c>
      <c r="JJ114" s="190">
        <f t="shared" si="345"/>
        <v>2329759.8199999998</v>
      </c>
      <c r="JK114" s="190">
        <f t="shared" si="345"/>
        <v>1344512.51</v>
      </c>
      <c r="JL114" s="190">
        <f t="shared" si="345"/>
        <v>-151477440.96000001</v>
      </c>
      <c r="JM114" s="190">
        <f t="shared" si="345"/>
        <v>-129986582.58</v>
      </c>
      <c r="JN114" s="190">
        <f t="shared" si="345"/>
        <v>-102666238.29000001</v>
      </c>
      <c r="JO114" s="190">
        <f t="shared" si="345"/>
        <v>-81603867.769999996</v>
      </c>
      <c r="JP114" s="190">
        <f t="shared" si="345"/>
        <v>-61480516.789999999</v>
      </c>
      <c r="JQ114" s="190">
        <f t="shared" si="345"/>
        <v>-46230051.399999999</v>
      </c>
      <c r="JR114" s="190">
        <f t="shared" si="345"/>
        <v>-35800736.100000001</v>
      </c>
      <c r="JS114" s="190">
        <f t="shared" si="345"/>
        <v>-28571828.879999999</v>
      </c>
      <c r="JT114" s="190">
        <f t="shared" si="345"/>
        <v>-23359987.41</v>
      </c>
      <c r="JU114" s="190">
        <f t="shared" si="345"/>
        <v>-18832860.469999999</v>
      </c>
      <c r="JV114" s="632"/>
      <c r="JW114" s="414"/>
      <c r="JX114" s="414"/>
      <c r="JY114" s="414"/>
      <c r="JZ114" s="414"/>
      <c r="KA114" s="414"/>
      <c r="KB114" s="414"/>
      <c r="KC114" s="414"/>
      <c r="KD114" s="414"/>
      <c r="KE114" s="414"/>
      <c r="KF114" s="414"/>
      <c r="KG114" s="414"/>
      <c r="KH114" s="414"/>
      <c r="KI114" s="633"/>
    </row>
    <row r="115" spans="1:295" ht="12" thickBot="1" x14ac:dyDescent="0.25">
      <c r="A115" s="24" t="s">
        <v>140</v>
      </c>
      <c r="D115" s="204">
        <f t="shared" ref="D115:AA115" si="346">D113-D114</f>
        <v>66900768.420000009</v>
      </c>
      <c r="E115" s="204">
        <f t="shared" si="346"/>
        <v>-1350261.9300000072</v>
      </c>
      <c r="F115" s="204">
        <f t="shared" si="346"/>
        <v>-3145012.3939999938</v>
      </c>
      <c r="G115" s="204">
        <f t="shared" si="346"/>
        <v>-12446880.98625493</v>
      </c>
      <c r="H115" s="204">
        <f t="shared" si="346"/>
        <v>-23926967.27870819</v>
      </c>
      <c r="I115" s="204">
        <f t="shared" si="346"/>
        <v>-36421291.414117582</v>
      </c>
      <c r="J115" s="204">
        <f t="shared" si="346"/>
        <v>-49132879.079479516</v>
      </c>
      <c r="K115" s="204">
        <f t="shared" si="346"/>
        <v>-62661287.951286972</v>
      </c>
      <c r="L115" s="204">
        <f t="shared" si="346"/>
        <v>-75959365.433646306</v>
      </c>
      <c r="M115" s="204">
        <f t="shared" si="346"/>
        <v>-83939397.135664836</v>
      </c>
      <c r="N115" s="204">
        <f t="shared" si="346"/>
        <v>-90382806.64013274</v>
      </c>
      <c r="O115" s="204">
        <f t="shared" si="346"/>
        <v>-90515203.486911029</v>
      </c>
      <c r="P115" s="204">
        <f t="shared" si="346"/>
        <v>-91620800.297044456</v>
      </c>
      <c r="Q115" s="204">
        <f t="shared" si="346"/>
        <v>-95136712.321619019</v>
      </c>
      <c r="R115" s="204">
        <f t="shared" si="346"/>
        <v>-98180198.49570477</v>
      </c>
      <c r="S115" s="204">
        <f t="shared" si="346"/>
        <v>-101523126.5858403</v>
      </c>
      <c r="T115" s="204">
        <f t="shared" si="346"/>
        <v>-100253624.60224029</v>
      </c>
      <c r="U115" s="204">
        <f t="shared" si="346"/>
        <v>-100267530.23350155</v>
      </c>
      <c r="V115" s="204">
        <f t="shared" si="346"/>
        <v>8607809.7929145992</v>
      </c>
      <c r="W115" s="204">
        <f t="shared" si="346"/>
        <v>10042249.388115719</v>
      </c>
      <c r="X115" s="204">
        <f t="shared" si="346"/>
        <v>34394237.267755166</v>
      </c>
      <c r="Y115" s="204">
        <f t="shared" si="346"/>
        <v>-1672737.5876235366</v>
      </c>
      <c r="Z115" s="204">
        <f t="shared" si="346"/>
        <v>957004.82650369778</v>
      </c>
      <c r="AA115" s="204">
        <f t="shared" si="346"/>
        <v>5845074.7477233391</v>
      </c>
      <c r="AB115" s="204">
        <f>AB113-AB114</f>
        <v>8715170.4267233368</v>
      </c>
      <c r="AC115" s="204">
        <f>AC113-AC114</f>
        <v>5457322.7367233392</v>
      </c>
      <c r="AD115" s="204">
        <f>AD113-AD114</f>
        <v>9663898.416723337</v>
      </c>
      <c r="AE115" s="204">
        <f t="shared" ref="AE115:AP115" si="347">AE113-AE114</f>
        <v>2246981.4667233378</v>
      </c>
      <c r="AF115" s="204">
        <f t="shared" si="347"/>
        <v>-1730359.0532766618</v>
      </c>
      <c r="AG115" s="204">
        <f t="shared" si="347"/>
        <v>-5394723.8232766613</v>
      </c>
      <c r="AH115" s="204">
        <f t="shared" si="347"/>
        <v>-3753907.2232766617</v>
      </c>
      <c r="AI115" s="204">
        <f t="shared" si="347"/>
        <v>-337698.81327666249</v>
      </c>
      <c r="AJ115" s="204">
        <f t="shared" si="347"/>
        <v>1748655.2067233371</v>
      </c>
      <c r="AK115" s="204">
        <f t="shared" si="347"/>
        <v>3364608.1567233363</v>
      </c>
      <c r="AL115" s="204">
        <f t="shared" si="347"/>
        <v>7105750.046723336</v>
      </c>
      <c r="AM115" s="204">
        <f t="shared" si="347"/>
        <v>10841072.486723337</v>
      </c>
      <c r="AN115" s="204">
        <f t="shared" si="347"/>
        <v>12356453.886723338</v>
      </c>
      <c r="AO115" s="204">
        <f t="shared" si="347"/>
        <v>15466044.326723339</v>
      </c>
      <c r="AP115" s="204">
        <f t="shared" si="347"/>
        <v>18147497.486723334</v>
      </c>
      <c r="AQ115" s="204">
        <f>AQ113-AQ114</f>
        <v>4067075.2518433556</v>
      </c>
      <c r="AR115" s="204">
        <f>AR113-AR114</f>
        <v>11061438.451843355</v>
      </c>
      <c r="AS115" s="204">
        <f>AS113-AS114</f>
        <v>12585733.171843356</v>
      </c>
      <c r="AT115" s="204">
        <f t="shared" ref="AT115:BQ115" si="348">AT113-AT114</f>
        <v>9532125.6218433529</v>
      </c>
      <c r="AU115" s="204">
        <f t="shared" si="348"/>
        <v>15389193.961843355</v>
      </c>
      <c r="AV115" s="204">
        <f t="shared" si="348"/>
        <v>19227813.231843352</v>
      </c>
      <c r="AW115" s="204">
        <f t="shared" si="348"/>
        <v>23978170.541843351</v>
      </c>
      <c r="AX115" s="204">
        <f t="shared" si="348"/>
        <v>30820558.491843354</v>
      </c>
      <c r="AY115" s="204">
        <f t="shared" si="348"/>
        <v>30990231.691843349</v>
      </c>
      <c r="AZ115" s="204">
        <f t="shared" si="348"/>
        <v>35546611.121843353</v>
      </c>
      <c r="BA115" s="204">
        <f t="shared" si="348"/>
        <v>29397827.221843351</v>
      </c>
      <c r="BB115" s="204">
        <f t="shared" si="348"/>
        <v>36891732.251843348</v>
      </c>
      <c r="BC115" s="204">
        <f t="shared" si="348"/>
        <v>14411754.821843356</v>
      </c>
      <c r="BD115" s="204">
        <f t="shared" si="348"/>
        <v>30483761.991843358</v>
      </c>
      <c r="BE115" s="204">
        <f t="shared" si="348"/>
        <v>45553631.93184337</v>
      </c>
      <c r="BF115" s="204">
        <f t="shared" si="348"/>
        <v>58417456.771843359</v>
      </c>
      <c r="BG115" s="204">
        <f t="shared" si="348"/>
        <v>62271899.741843373</v>
      </c>
      <c r="BH115" s="204">
        <f t="shared" si="348"/>
        <v>63189098.561843351</v>
      </c>
      <c r="BI115" s="204">
        <f t="shared" si="348"/>
        <v>58496623.301843353</v>
      </c>
      <c r="BJ115" s="204">
        <f t="shared" si="348"/>
        <v>65442975.821843363</v>
      </c>
      <c r="BK115" s="204">
        <f t="shared" si="348"/>
        <v>69248919.711843356</v>
      </c>
      <c r="BL115" s="204">
        <f t="shared" si="348"/>
        <v>74757375.811843365</v>
      </c>
      <c r="BM115" s="204">
        <f t="shared" si="348"/>
        <v>79286123.001843348</v>
      </c>
      <c r="BN115" s="204">
        <f t="shared" si="348"/>
        <v>83074503.101843357</v>
      </c>
      <c r="BO115" s="204">
        <f t="shared" si="348"/>
        <v>-4139107.4781566262</v>
      </c>
      <c r="BP115" s="204">
        <f t="shared" si="348"/>
        <v>-11183342.058156632</v>
      </c>
      <c r="BQ115" s="204">
        <f t="shared" si="348"/>
        <v>-20832430.478156634</v>
      </c>
      <c r="BR115" s="204">
        <f>ROUND(BR113-BR114,2)</f>
        <v>-38948627.719999999</v>
      </c>
      <c r="BS115" s="204">
        <f t="shared" ref="BS115:ED115" si="349">ROUND(BS113-BS114,2)</f>
        <v>-44753305.460000001</v>
      </c>
      <c r="BT115" s="204">
        <f t="shared" si="349"/>
        <v>-50731102.18</v>
      </c>
      <c r="BU115" s="204">
        <f t="shared" si="349"/>
        <v>-66160895.93</v>
      </c>
      <c r="BV115" s="204">
        <f t="shared" si="349"/>
        <v>-75108831.980000004</v>
      </c>
      <c r="BW115" s="204">
        <f t="shared" si="349"/>
        <v>-82684473.049999997</v>
      </c>
      <c r="BX115" s="204">
        <f t="shared" si="349"/>
        <v>-85714659.200000003</v>
      </c>
      <c r="BY115" s="204">
        <f t="shared" si="349"/>
        <v>-88214920.439999998</v>
      </c>
      <c r="BZ115" s="204">
        <f t="shared" si="349"/>
        <v>-99126866.870000005</v>
      </c>
      <c r="CA115" s="204">
        <f t="shared" si="349"/>
        <v>-20352686.559999999</v>
      </c>
      <c r="CB115" s="204">
        <f t="shared" si="349"/>
        <v>-29725832.010000002</v>
      </c>
      <c r="CC115" s="204">
        <f t="shared" si="349"/>
        <v>-37220584.740000002</v>
      </c>
      <c r="CD115" s="204">
        <f t="shared" si="349"/>
        <v>-47863592.25</v>
      </c>
      <c r="CE115" s="204">
        <f t="shared" si="349"/>
        <v>-52023900.649999999</v>
      </c>
      <c r="CF115" s="204">
        <f t="shared" si="349"/>
        <v>-52335798.280000001</v>
      </c>
      <c r="CG115" s="204">
        <f t="shared" si="349"/>
        <v>-43088362.600000001</v>
      </c>
      <c r="CH115" s="204">
        <f t="shared" si="349"/>
        <v>-32756255.809999999</v>
      </c>
      <c r="CI115" s="204">
        <f t="shared" si="349"/>
        <v>-23223015.050000001</v>
      </c>
      <c r="CJ115" s="204">
        <f t="shared" si="349"/>
        <v>-15072491.27</v>
      </c>
      <c r="CK115" s="204">
        <f t="shared" si="349"/>
        <v>-19580781.030000001</v>
      </c>
      <c r="CL115" s="204">
        <f t="shared" si="349"/>
        <v>-19254274.539999999</v>
      </c>
      <c r="CM115" s="204">
        <f t="shared" si="349"/>
        <v>-11217295.140000001</v>
      </c>
      <c r="CN115" s="204">
        <f t="shared" si="349"/>
        <v>-2888783.56</v>
      </c>
      <c r="CO115" s="204">
        <f t="shared" si="349"/>
        <v>2336628.7599999998</v>
      </c>
      <c r="CP115" s="204">
        <f t="shared" si="349"/>
        <v>-2066051.19</v>
      </c>
      <c r="CQ115" s="204">
        <f t="shared" si="349"/>
        <v>-17483231.5</v>
      </c>
      <c r="CR115" s="204">
        <f t="shared" si="349"/>
        <v>-25647363.359999999</v>
      </c>
      <c r="CS115" s="204">
        <f t="shared" si="349"/>
        <v>-40605099.240000002</v>
      </c>
      <c r="CT115" s="204">
        <f t="shared" si="349"/>
        <v>-53977720.100000001</v>
      </c>
      <c r="CU115" s="204">
        <f t="shared" si="349"/>
        <v>-41086605.479999997</v>
      </c>
      <c r="CV115" s="204">
        <f t="shared" si="349"/>
        <v>-40990467.590000004</v>
      </c>
      <c r="CW115" s="204">
        <f t="shared" si="349"/>
        <v>-47972667.579999998</v>
      </c>
      <c r="CX115" s="204">
        <f t="shared" si="349"/>
        <v>-52072206.710000001</v>
      </c>
      <c r="CY115" s="204">
        <f t="shared" si="349"/>
        <v>-125714.31</v>
      </c>
      <c r="CZ115" s="204">
        <f t="shared" si="349"/>
        <v>2579528.2000000002</v>
      </c>
      <c r="DA115" s="204">
        <f t="shared" si="349"/>
        <v>4100720.1</v>
      </c>
      <c r="DB115" s="204">
        <f t="shared" si="349"/>
        <v>8739676.9399999995</v>
      </c>
      <c r="DC115" s="204">
        <f t="shared" si="349"/>
        <v>15508821.210000001</v>
      </c>
      <c r="DD115" s="204">
        <f t="shared" si="349"/>
        <v>19179513.789999999</v>
      </c>
      <c r="DE115" s="204">
        <f t="shared" si="349"/>
        <v>9032053.6300000008</v>
      </c>
      <c r="DF115" s="204">
        <f t="shared" si="349"/>
        <v>2323617.8199999998</v>
      </c>
      <c r="DG115" s="204">
        <f t="shared" si="349"/>
        <v>4170426.72</v>
      </c>
      <c r="DH115" s="204">
        <f t="shared" si="349"/>
        <v>6659578.6200000001</v>
      </c>
      <c r="DI115" s="204">
        <f t="shared" si="349"/>
        <v>6258571.5800000001</v>
      </c>
      <c r="DJ115" s="204">
        <f t="shared" si="349"/>
        <v>8359528.3300000001</v>
      </c>
      <c r="DK115" s="204">
        <f t="shared" si="349"/>
        <v>3340659.51</v>
      </c>
      <c r="DL115" s="204">
        <f t="shared" si="349"/>
        <v>16606207.08</v>
      </c>
      <c r="DM115" s="204">
        <f t="shared" si="349"/>
        <v>18658071.07</v>
      </c>
      <c r="DN115" s="204">
        <f t="shared" si="349"/>
        <v>18662702.91</v>
      </c>
      <c r="DO115" s="204">
        <f t="shared" si="349"/>
        <v>9444763.0999999996</v>
      </c>
      <c r="DP115" s="204">
        <f t="shared" si="349"/>
        <v>3300932.94</v>
      </c>
      <c r="DQ115" s="204">
        <f t="shared" si="349"/>
        <v>-8654249.1600000001</v>
      </c>
      <c r="DR115" s="204">
        <f t="shared" si="349"/>
        <v>-11148676.73</v>
      </c>
      <c r="DS115" s="204">
        <f t="shared" si="349"/>
        <v>-10332279.640000001</v>
      </c>
      <c r="DT115" s="204">
        <f t="shared" si="349"/>
        <v>-6365804.7400000002</v>
      </c>
      <c r="DU115" s="204">
        <f t="shared" si="349"/>
        <v>-8845712.0800000001</v>
      </c>
      <c r="DV115" s="204">
        <f t="shared" si="349"/>
        <v>-10540946.689999999</v>
      </c>
      <c r="DW115" s="204">
        <f t="shared" si="349"/>
        <v>-14532491.66</v>
      </c>
      <c r="DX115" s="204">
        <f t="shared" si="349"/>
        <v>-1661634.09</v>
      </c>
      <c r="DY115" s="204">
        <f t="shared" si="349"/>
        <v>-9667921.7799999993</v>
      </c>
      <c r="DZ115" s="204">
        <f t="shared" si="349"/>
        <v>-19315424.850000001</v>
      </c>
      <c r="EA115" s="204">
        <f t="shared" si="349"/>
        <v>-28635583.170000002</v>
      </c>
      <c r="EB115" s="204">
        <f t="shared" si="349"/>
        <v>-49393592.700000003</v>
      </c>
      <c r="EC115" s="204">
        <f t="shared" si="349"/>
        <v>-56219118.659999996</v>
      </c>
      <c r="ED115" s="204">
        <f t="shared" si="349"/>
        <v>-55187267.100000001</v>
      </c>
      <c r="EE115" s="204">
        <f t="shared" ref="EE115:GP115" si="350">ROUND(EE113-EE114,2)</f>
        <v>-46827030.829999998</v>
      </c>
      <c r="EF115" s="204">
        <f t="shared" si="350"/>
        <v>-43015592.399999999</v>
      </c>
      <c r="EG115" s="204">
        <f t="shared" si="350"/>
        <v>-36974214.939999998</v>
      </c>
      <c r="EH115" s="204">
        <f t="shared" si="350"/>
        <v>-37494931.57</v>
      </c>
      <c r="EI115" s="204">
        <f t="shared" si="350"/>
        <v>-41076250.979999997</v>
      </c>
      <c r="EJ115" s="204">
        <f t="shared" si="350"/>
        <v>-4271592.95</v>
      </c>
      <c r="EK115" s="204">
        <f t="shared" si="350"/>
        <v>-6355161.2199999997</v>
      </c>
      <c r="EL115" s="204">
        <f t="shared" si="350"/>
        <v>-13557203.74</v>
      </c>
      <c r="EM115" s="204">
        <f t="shared" si="350"/>
        <v>-16424320.82</v>
      </c>
      <c r="EN115" s="204">
        <f t="shared" si="350"/>
        <v>-14171968.82</v>
      </c>
      <c r="EO115" s="204">
        <f t="shared" si="350"/>
        <v>-14214507.93</v>
      </c>
      <c r="EP115" s="204">
        <f t="shared" si="350"/>
        <v>-12800704.49</v>
      </c>
      <c r="EQ115" s="204">
        <f t="shared" si="350"/>
        <v>-7486836.5899999999</v>
      </c>
      <c r="ER115" s="204">
        <f t="shared" si="350"/>
        <v>-4507099.96</v>
      </c>
      <c r="ES115" s="204">
        <f t="shared" si="350"/>
        <v>734679.28</v>
      </c>
      <c r="ET115" s="204">
        <f t="shared" si="350"/>
        <v>-872949.02</v>
      </c>
      <c r="EU115" s="204">
        <f t="shared" si="350"/>
        <v>-4041568.22</v>
      </c>
      <c r="EV115" s="204">
        <f t="shared" si="350"/>
        <v>6687890.0800000001</v>
      </c>
      <c r="EW115" s="204">
        <f t="shared" si="350"/>
        <v>1941548.32</v>
      </c>
      <c r="EX115" s="204">
        <f t="shared" si="350"/>
        <v>-1876251.02</v>
      </c>
      <c r="EY115" s="204">
        <f t="shared" si="350"/>
        <v>-622977.34</v>
      </c>
      <c r="EZ115" s="204">
        <f t="shared" si="350"/>
        <v>651741.72</v>
      </c>
      <c r="FA115" s="204">
        <f t="shared" si="350"/>
        <v>3091860.02</v>
      </c>
      <c r="FB115" s="204">
        <f t="shared" si="350"/>
        <v>5965600.3700000001</v>
      </c>
      <c r="FC115" s="204">
        <f t="shared" si="350"/>
        <v>14304048.91</v>
      </c>
      <c r="FD115" s="204">
        <f t="shared" si="350"/>
        <v>21916145.09</v>
      </c>
      <c r="FE115" s="204">
        <f t="shared" si="350"/>
        <v>27040172.699999999</v>
      </c>
      <c r="FF115" s="204">
        <f t="shared" si="350"/>
        <v>33178865.699999999</v>
      </c>
      <c r="FG115" s="204">
        <f t="shared" si="350"/>
        <v>36486677.560000002</v>
      </c>
      <c r="FH115" s="204">
        <f t="shared" si="350"/>
        <v>2747526.06</v>
      </c>
      <c r="FI115" s="204">
        <f t="shared" si="350"/>
        <v>-2339867.4900000002</v>
      </c>
      <c r="FJ115" s="204">
        <f t="shared" si="350"/>
        <v>-8852243.9299999997</v>
      </c>
      <c r="FK115" s="204">
        <f t="shared" si="350"/>
        <v>-14009528.779999999</v>
      </c>
      <c r="FL115" s="204">
        <f t="shared" si="350"/>
        <v>-20224944.43</v>
      </c>
      <c r="FM115" s="204">
        <f t="shared" si="350"/>
        <v>-28516320.469999999</v>
      </c>
      <c r="FN115" s="204">
        <f t="shared" si="350"/>
        <v>-29126617.960000001</v>
      </c>
      <c r="FO115" s="204">
        <f t="shared" si="350"/>
        <v>-25172275.27</v>
      </c>
      <c r="FP115" s="204">
        <f t="shared" si="350"/>
        <v>-21831948.440000001</v>
      </c>
      <c r="FQ115" s="204">
        <f t="shared" si="350"/>
        <v>-20600986.66</v>
      </c>
      <c r="FR115" s="204">
        <f t="shared" si="350"/>
        <v>-16085904.9</v>
      </c>
      <c r="FS115" s="204">
        <f t="shared" si="350"/>
        <v>-16927649.32</v>
      </c>
      <c r="FT115" s="204">
        <f t="shared" si="350"/>
        <v>20938166.43</v>
      </c>
      <c r="FU115" s="204">
        <f t="shared" si="350"/>
        <v>13520916.949999999</v>
      </c>
      <c r="FV115" s="204">
        <f t="shared" si="350"/>
        <v>7857072.6799999997</v>
      </c>
      <c r="FW115" s="204">
        <f t="shared" si="350"/>
        <v>5887728.3099999996</v>
      </c>
      <c r="FX115" s="204">
        <f t="shared" si="350"/>
        <v>383561.6</v>
      </c>
      <c r="FY115" s="204">
        <f t="shared" si="350"/>
        <v>-2192126.25</v>
      </c>
      <c r="FZ115" s="204">
        <f t="shared" si="350"/>
        <v>-2702460.59</v>
      </c>
      <c r="GA115" s="204">
        <f t="shared" si="350"/>
        <v>-1121261.1200000001</v>
      </c>
      <c r="GB115" s="204">
        <f t="shared" si="350"/>
        <v>616755.68000000005</v>
      </c>
      <c r="GC115" s="204">
        <f t="shared" si="350"/>
        <v>3653300.09</v>
      </c>
      <c r="GD115" s="204">
        <f t="shared" si="350"/>
        <v>5451660.0300000003</v>
      </c>
      <c r="GE115" s="204">
        <f t="shared" si="350"/>
        <v>4416125.97</v>
      </c>
      <c r="GF115" s="204">
        <f t="shared" si="350"/>
        <v>16622283.859999999</v>
      </c>
      <c r="GG115" s="204">
        <f t="shared" si="350"/>
        <v>15086078.49</v>
      </c>
      <c r="GH115" s="204">
        <f t="shared" si="350"/>
        <v>10954519.23</v>
      </c>
      <c r="GI115" s="204">
        <f t="shared" si="350"/>
        <v>2965055.68</v>
      </c>
      <c r="GJ115" s="204">
        <f t="shared" si="350"/>
        <v>-4893068.0199999996</v>
      </c>
      <c r="GK115" s="204">
        <f t="shared" si="350"/>
        <v>-9871548.2899999991</v>
      </c>
      <c r="GL115" s="204">
        <f t="shared" si="350"/>
        <v>-10963909.34</v>
      </c>
      <c r="GM115" s="204">
        <f t="shared" si="350"/>
        <v>-8116071.8600000003</v>
      </c>
      <c r="GN115" s="204">
        <f t="shared" si="350"/>
        <v>-6354929.9100000001</v>
      </c>
      <c r="GO115" s="204">
        <f t="shared" si="350"/>
        <v>-5362690.6100000003</v>
      </c>
      <c r="GP115" s="204">
        <f t="shared" si="350"/>
        <v>-4384834.99</v>
      </c>
      <c r="GQ115" s="204">
        <f t="shared" ref="GQ115:IX115" si="351">ROUND(GQ113-GQ114,2)</f>
        <v>-9764895.6400000006</v>
      </c>
      <c r="GR115" s="204">
        <f t="shared" si="351"/>
        <v>1089471.3500000001</v>
      </c>
      <c r="GS115" s="204">
        <f t="shared" si="351"/>
        <v>-4508095.38</v>
      </c>
      <c r="GT115" s="204">
        <f t="shared" si="351"/>
        <v>-12118965.640000001</v>
      </c>
      <c r="GU115" s="204">
        <f t="shared" si="351"/>
        <v>-19049629.890000001</v>
      </c>
      <c r="GV115" s="204">
        <f t="shared" si="351"/>
        <v>-28036262.010000002</v>
      </c>
      <c r="GW115" s="204">
        <f t="shared" si="351"/>
        <v>-34918315.07</v>
      </c>
      <c r="GX115" s="204">
        <f t="shared" si="351"/>
        <v>-35111342.689999998</v>
      </c>
      <c r="GY115" s="204">
        <f t="shared" si="351"/>
        <v>-35583674.850000001</v>
      </c>
      <c r="GZ115" s="204">
        <f t="shared" si="351"/>
        <v>-35105008.109999999</v>
      </c>
      <c r="HA115" s="204">
        <f t="shared" si="351"/>
        <v>-35532256.380000003</v>
      </c>
      <c r="HB115" s="204">
        <f t="shared" si="351"/>
        <v>-34290743.270000003</v>
      </c>
      <c r="HC115" s="204">
        <f t="shared" si="351"/>
        <v>-35838544.659999996</v>
      </c>
      <c r="HD115" s="204">
        <f t="shared" si="351"/>
        <v>39216312.039999999</v>
      </c>
      <c r="HE115" s="204">
        <f t="shared" si="351"/>
        <v>52600696.520000003</v>
      </c>
      <c r="HF115" s="204">
        <f t="shared" si="351"/>
        <v>56312037.530000001</v>
      </c>
      <c r="HG115" s="204">
        <f t="shared" si="351"/>
        <v>104068889.22</v>
      </c>
      <c r="HH115" s="204">
        <f t="shared" si="351"/>
        <v>158282167.78</v>
      </c>
      <c r="HI115" s="204">
        <f t="shared" si="351"/>
        <v>152817547.87</v>
      </c>
      <c r="HJ115" s="204">
        <f t="shared" si="351"/>
        <v>104640261.8</v>
      </c>
      <c r="HK115" s="204">
        <f t="shared" si="351"/>
        <v>109942508.45999999</v>
      </c>
      <c r="HL115" s="204">
        <f t="shared" si="351"/>
        <v>113753509.84</v>
      </c>
      <c r="HM115" s="204">
        <f t="shared" si="351"/>
        <v>117927569.68000001</v>
      </c>
      <c r="HN115" s="204">
        <f t="shared" si="351"/>
        <v>119866055.13</v>
      </c>
      <c r="HO115" s="204">
        <f t="shared" si="351"/>
        <v>118815548.79000001</v>
      </c>
      <c r="HP115" s="204">
        <f t="shared" si="351"/>
        <v>17896520.82</v>
      </c>
      <c r="HQ115" s="204">
        <f t="shared" si="351"/>
        <v>13879486.310000001</v>
      </c>
      <c r="HR115" s="204">
        <f t="shared" si="351"/>
        <v>11277059.57</v>
      </c>
      <c r="HS115" s="204">
        <f t="shared" si="351"/>
        <v>8948412.0600000005</v>
      </c>
      <c r="HT115" s="204">
        <f t="shared" si="351"/>
        <v>7039199.9900000002</v>
      </c>
      <c r="HU115" s="204">
        <f t="shared" si="351"/>
        <v>5471225.7199999997</v>
      </c>
      <c r="HV115" s="204">
        <f t="shared" si="351"/>
        <v>8918052.3699999992</v>
      </c>
      <c r="HW115" s="204">
        <f t="shared" si="351"/>
        <v>12243699.48</v>
      </c>
      <c r="HX115" s="204">
        <f t="shared" si="351"/>
        <v>18539934.710000001</v>
      </c>
      <c r="HY115" s="204">
        <f t="shared" si="351"/>
        <v>25254027.969999999</v>
      </c>
      <c r="HZ115" s="204">
        <f t="shared" si="351"/>
        <v>30171461.100000001</v>
      </c>
      <c r="IA115" s="204">
        <f t="shared" si="351"/>
        <v>32845307.48</v>
      </c>
      <c r="IB115" s="204">
        <f t="shared" si="351"/>
        <v>14597843.9</v>
      </c>
      <c r="IC115" s="204">
        <f t="shared" si="351"/>
        <v>10230177.880000001</v>
      </c>
      <c r="ID115" s="204">
        <f t="shared" si="351"/>
        <v>6824233.3200000003</v>
      </c>
      <c r="IE115" s="204">
        <f t="shared" si="351"/>
        <v>-10573259.25</v>
      </c>
      <c r="IF115" s="204">
        <f t="shared" si="351"/>
        <v>-13532852.4</v>
      </c>
      <c r="IG115" s="204">
        <f t="shared" si="351"/>
        <v>-13360446.92</v>
      </c>
      <c r="IH115" s="204">
        <f t="shared" si="351"/>
        <v>-8295836.6500000004</v>
      </c>
      <c r="II115" s="204">
        <f t="shared" si="351"/>
        <v>-4238682.3499999996</v>
      </c>
      <c r="IJ115" s="204">
        <f t="shared" si="351"/>
        <v>1310796.21</v>
      </c>
      <c r="IK115" s="204">
        <f t="shared" si="351"/>
        <v>4328911.9000000004</v>
      </c>
      <c r="IL115" s="204">
        <f t="shared" si="351"/>
        <v>6139489.8700000001</v>
      </c>
      <c r="IM115" s="204">
        <f t="shared" si="351"/>
        <v>11945821.75</v>
      </c>
      <c r="IN115" s="204">
        <f t="shared" si="351"/>
        <v>11963068.369999999</v>
      </c>
      <c r="IO115" s="204">
        <f t="shared" si="351"/>
        <v>17108310.73</v>
      </c>
      <c r="IP115" s="204">
        <f t="shared" si="351"/>
        <v>12587744.050000001</v>
      </c>
      <c r="IQ115" s="204">
        <f t="shared" si="351"/>
        <v>9882595.6500000004</v>
      </c>
      <c r="IR115" s="204">
        <f t="shared" si="351"/>
        <v>12494565.32</v>
      </c>
      <c r="IS115" s="204">
        <f t="shared" si="351"/>
        <v>13116815.810000001</v>
      </c>
      <c r="IT115" s="204">
        <f t="shared" si="351"/>
        <v>24763896.010000002</v>
      </c>
      <c r="IU115" s="204">
        <f t="shared" si="351"/>
        <v>27792631.949999999</v>
      </c>
      <c r="IV115" s="204">
        <f t="shared" si="351"/>
        <v>27601478.02</v>
      </c>
      <c r="IW115" s="204">
        <f t="shared" si="351"/>
        <v>25532138.440000001</v>
      </c>
      <c r="IX115" s="204">
        <f t="shared" si="351"/>
        <v>24495232.390000001</v>
      </c>
      <c r="IY115" s="204">
        <f t="shared" ref="IY115:JU115" si="352">ROUND(IY113-IY114,2)</f>
        <v>25511263.09</v>
      </c>
      <c r="IZ115" s="204">
        <f t="shared" si="352"/>
        <v>12746308.67</v>
      </c>
      <c r="JA115" s="204">
        <f t="shared" si="352"/>
        <v>-6179291.71</v>
      </c>
      <c r="JB115" s="204">
        <f t="shared" si="352"/>
        <v>-67629886.780000001</v>
      </c>
      <c r="JC115" s="204">
        <f t="shared" si="352"/>
        <v>-90014880.290000007</v>
      </c>
      <c r="JD115" s="204">
        <f t="shared" si="352"/>
        <v>-114967679.59</v>
      </c>
      <c r="JE115" s="204">
        <f t="shared" si="352"/>
        <v>-138181461.97</v>
      </c>
      <c r="JF115" s="204">
        <f t="shared" si="352"/>
        <v>-142543911.93000001</v>
      </c>
      <c r="JG115" s="204">
        <f t="shared" si="352"/>
        <v>-144549699.94999999</v>
      </c>
      <c r="JH115" s="204">
        <f t="shared" si="352"/>
        <v>-149762179.05000001</v>
      </c>
      <c r="JI115" s="204">
        <f t="shared" si="352"/>
        <v>-153893581.88</v>
      </c>
      <c r="JJ115" s="201">
        <f t="shared" si="352"/>
        <v>-156489290.72</v>
      </c>
      <c r="JK115" s="201">
        <f t="shared" si="352"/>
        <v>-168282441.08000001</v>
      </c>
      <c r="JL115" s="201">
        <f t="shared" si="352"/>
        <v>-3104329.39</v>
      </c>
      <c r="JM115" s="201">
        <f t="shared" si="352"/>
        <v>-2095586.97</v>
      </c>
      <c r="JN115" s="201">
        <f t="shared" si="352"/>
        <v>-10376970.869999999</v>
      </c>
      <c r="JO115" s="201">
        <f t="shared" si="352"/>
        <v>-16644522.33</v>
      </c>
      <c r="JP115" s="201">
        <f t="shared" si="352"/>
        <v>-29791172.629999999</v>
      </c>
      <c r="JQ115" s="201">
        <f t="shared" si="352"/>
        <v>-46252494.130000003</v>
      </c>
      <c r="JR115" s="201">
        <f t="shared" si="352"/>
        <v>-53206811.460000001</v>
      </c>
      <c r="JS115" s="201">
        <f t="shared" si="352"/>
        <v>-52788844.950000003</v>
      </c>
      <c r="JT115" s="201">
        <f t="shared" si="352"/>
        <v>-50429502.909999996</v>
      </c>
      <c r="JU115" s="201">
        <f t="shared" si="352"/>
        <v>-46799958.359999999</v>
      </c>
      <c r="JV115" s="632"/>
      <c r="JW115" s="414"/>
      <c r="JX115" s="414"/>
      <c r="JY115" s="414"/>
      <c r="JZ115" s="414"/>
      <c r="KA115" s="414"/>
      <c r="KB115" s="414"/>
      <c r="KC115" s="414"/>
      <c r="KD115" s="414"/>
      <c r="KE115" s="414"/>
      <c r="KF115" s="414"/>
      <c r="KG115" s="414"/>
      <c r="KH115" s="414"/>
      <c r="KI115" s="633"/>
    </row>
    <row r="116" spans="1:295" ht="12.75" thickTop="1" thickBot="1" x14ac:dyDescent="0.25">
      <c r="JI116" s="372"/>
      <c r="JJ116" s="371"/>
      <c r="JK116" s="371"/>
      <c r="JL116" s="371"/>
      <c r="JM116" s="371"/>
      <c r="JN116" s="371"/>
      <c r="JO116" s="371"/>
      <c r="JP116" s="371"/>
      <c r="JQ116" s="371"/>
      <c r="JR116" s="371"/>
      <c r="JS116" s="371"/>
      <c r="JT116" s="371"/>
      <c r="JU116" s="371"/>
      <c r="JV116" s="642"/>
      <c r="JW116" s="643"/>
      <c r="JX116" s="643"/>
      <c r="JY116" s="643"/>
      <c r="JZ116" s="643"/>
      <c r="KA116" s="643"/>
      <c r="KB116" s="643"/>
      <c r="KC116" s="643"/>
      <c r="KD116" s="643"/>
      <c r="KE116" s="643"/>
      <c r="KF116" s="643"/>
      <c r="KG116" s="643"/>
      <c r="KH116" s="643"/>
      <c r="KI116" s="644"/>
    </row>
    <row r="117" spans="1:295" x14ac:dyDescent="0.2">
      <c r="B117" s="121"/>
      <c r="C117" s="121"/>
      <c r="D117" s="121"/>
      <c r="E117" s="121"/>
      <c r="F117" s="121"/>
      <c r="G117" s="121"/>
      <c r="H117" s="121"/>
      <c r="I117" s="121"/>
      <c r="AD117" s="49"/>
      <c r="AE117" s="49"/>
      <c r="BY117" s="48"/>
      <c r="BZ117" s="49"/>
      <c r="CA117" s="49"/>
      <c r="IX117" s="173"/>
      <c r="IY117" s="173"/>
      <c r="IZ117" s="173"/>
      <c r="JA117" s="173"/>
      <c r="JB117" s="173"/>
      <c r="JC117" s="173"/>
      <c r="JD117" s="173"/>
      <c r="JE117" s="173"/>
      <c r="JF117" s="173"/>
      <c r="JG117" s="173"/>
      <c r="JH117" s="173"/>
      <c r="JI117" s="173"/>
      <c r="JJ117" s="173"/>
    </row>
    <row r="118" spans="1:295" x14ac:dyDescent="0.2">
      <c r="B118" s="121"/>
      <c r="C118" s="121"/>
      <c r="D118" s="205"/>
      <c r="E118" s="205"/>
      <c r="F118" s="205"/>
      <c r="G118" s="205"/>
      <c r="H118" s="205"/>
      <c r="I118" s="121"/>
      <c r="AD118" s="49"/>
      <c r="AE118" s="49"/>
      <c r="BY118" s="48"/>
      <c r="BZ118" s="49"/>
      <c r="CA118" s="49"/>
      <c r="IW118" s="173"/>
      <c r="IX118" s="173"/>
      <c r="IY118" s="173"/>
      <c r="IZ118" s="173"/>
      <c r="JA118" s="173"/>
      <c r="JB118" s="173"/>
      <c r="JC118" s="173"/>
      <c r="JD118" s="173"/>
      <c r="JE118" s="173"/>
      <c r="JF118" s="173"/>
      <c r="JG118" s="173"/>
      <c r="JH118" s="173"/>
      <c r="JI118" s="169"/>
      <c r="JJ118" s="173"/>
    </row>
    <row r="119" spans="1:295" x14ac:dyDescent="0.2">
      <c r="B119" s="121"/>
      <c r="C119" s="121"/>
      <c r="D119" s="188"/>
      <c r="E119" s="188"/>
      <c r="F119" s="188"/>
      <c r="G119" s="188"/>
      <c r="H119" s="188"/>
      <c r="I119" s="121"/>
      <c r="AD119" s="49"/>
      <c r="AE119" s="49"/>
      <c r="BY119" s="48"/>
      <c r="BZ119" s="49"/>
      <c r="CA119" s="49"/>
      <c r="IW119" s="173"/>
      <c r="IX119" s="173"/>
      <c r="IY119" s="173"/>
      <c r="IZ119" s="173"/>
      <c r="JA119" s="173"/>
      <c r="JB119" s="173"/>
      <c r="JC119" s="173"/>
      <c r="JD119" s="173"/>
      <c r="JE119" s="173"/>
      <c r="JF119" s="173"/>
      <c r="JG119" s="173"/>
      <c r="JH119" s="173"/>
      <c r="JI119" s="173"/>
      <c r="JJ119" s="173"/>
      <c r="JL119" s="141"/>
    </row>
    <row r="120" spans="1:295" x14ac:dyDescent="0.2">
      <c r="B120" s="121"/>
      <c r="C120" s="121"/>
      <c r="D120" s="188"/>
      <c r="E120" s="188"/>
      <c r="F120" s="188"/>
      <c r="G120" s="188"/>
      <c r="H120" s="188"/>
      <c r="I120" s="121"/>
      <c r="BY120" s="48"/>
      <c r="BZ120" s="49"/>
      <c r="CA120" s="49"/>
      <c r="IW120" s="173"/>
      <c r="IX120" s="173"/>
      <c r="IY120" s="173"/>
      <c r="IZ120" s="173"/>
      <c r="JA120" s="173"/>
      <c r="JB120" s="173"/>
      <c r="JC120" s="173"/>
      <c r="JD120" s="173"/>
      <c r="JE120" s="173"/>
      <c r="JF120" s="173"/>
      <c r="JG120" s="173"/>
      <c r="JH120" s="173"/>
      <c r="JI120" s="173"/>
      <c r="JJ120" s="24"/>
    </row>
    <row r="121" spans="1:295" x14ac:dyDescent="0.2">
      <c r="B121" s="121"/>
      <c r="C121" s="121"/>
      <c r="D121" s="188"/>
      <c r="E121" s="188"/>
      <c r="F121" s="188"/>
      <c r="G121" s="188"/>
      <c r="H121" s="188"/>
      <c r="I121" s="121"/>
      <c r="BZ121" s="49"/>
      <c r="CA121" s="49"/>
      <c r="IW121" s="173"/>
      <c r="IX121" s="173"/>
      <c r="IY121" s="173"/>
      <c r="IZ121" s="173"/>
      <c r="JA121" s="173"/>
      <c r="JB121" s="173"/>
      <c r="JC121" s="173"/>
      <c r="JD121" s="173"/>
      <c r="JE121" s="173"/>
      <c r="JF121" s="173"/>
      <c r="JG121" s="173"/>
      <c r="JH121" s="173"/>
      <c r="JI121" s="173"/>
      <c r="JJ121" s="173"/>
    </row>
    <row r="122" spans="1:295" x14ac:dyDescent="0.2">
      <c r="B122" s="121"/>
      <c r="C122" s="121"/>
      <c r="D122" s="188"/>
      <c r="E122" s="188"/>
      <c r="F122" s="188"/>
      <c r="G122" s="188"/>
      <c r="H122" s="188"/>
      <c r="I122" s="121"/>
      <c r="BZ122" s="49"/>
      <c r="CA122" s="49"/>
      <c r="IW122" s="173"/>
      <c r="IX122" s="173"/>
      <c r="IY122" s="173"/>
      <c r="IZ122" s="173"/>
      <c r="JA122" s="173"/>
      <c r="JB122" s="173"/>
      <c r="JC122" s="173"/>
      <c r="JD122" s="173"/>
      <c r="JE122" s="173"/>
      <c r="JF122" s="173"/>
      <c r="JG122" s="173"/>
      <c r="JH122" s="173"/>
      <c r="JI122" s="173"/>
      <c r="JJ122" s="173"/>
    </row>
    <row r="123" spans="1:295" x14ac:dyDescent="0.2">
      <c r="B123" s="121"/>
      <c r="C123" s="121"/>
      <c r="D123" s="121"/>
      <c r="E123" s="121"/>
      <c r="F123" s="121"/>
      <c r="G123" s="121"/>
      <c r="H123" s="121"/>
      <c r="I123" s="121"/>
      <c r="CA123" s="49"/>
    </row>
    <row r="124" spans="1:295" x14ac:dyDescent="0.2">
      <c r="B124" s="121"/>
      <c r="C124" s="121"/>
      <c r="D124" s="205"/>
      <c r="E124" s="205"/>
      <c r="F124" s="205"/>
      <c r="G124" s="205"/>
      <c r="H124" s="205"/>
      <c r="I124" s="121"/>
      <c r="CA124" s="49"/>
      <c r="JI124" s="173"/>
    </row>
    <row r="125" spans="1:295" x14ac:dyDescent="0.2">
      <c r="B125" s="121"/>
      <c r="C125" s="121"/>
      <c r="D125" s="188"/>
      <c r="E125" s="188"/>
      <c r="F125" s="188"/>
      <c r="G125" s="188"/>
      <c r="H125" s="188"/>
      <c r="I125" s="121"/>
    </row>
    <row r="126" spans="1:295" x14ac:dyDescent="0.2">
      <c r="B126" s="121"/>
      <c r="C126" s="121"/>
      <c r="D126" s="188"/>
      <c r="E126" s="188"/>
      <c r="F126" s="188"/>
      <c r="G126" s="188"/>
      <c r="H126" s="188"/>
      <c r="I126" s="121"/>
    </row>
    <row r="127" spans="1:295" x14ac:dyDescent="0.2">
      <c r="B127" s="121"/>
      <c r="C127" s="121"/>
      <c r="D127" s="188"/>
      <c r="E127" s="188"/>
      <c r="F127" s="188"/>
      <c r="G127" s="188"/>
      <c r="H127" s="188"/>
      <c r="I127" s="121"/>
    </row>
    <row r="128" spans="1:295" x14ac:dyDescent="0.2">
      <c r="B128" s="121"/>
      <c r="C128" s="121"/>
      <c r="D128" s="188"/>
      <c r="E128" s="188"/>
      <c r="F128" s="188"/>
      <c r="G128" s="188"/>
      <c r="H128" s="188"/>
      <c r="I128" s="121"/>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c r="GU128" s="24"/>
      <c r="GV128" s="24"/>
      <c r="GW128" s="24"/>
      <c r="GX128" s="24"/>
      <c r="GY128" s="24"/>
      <c r="GZ128" s="24"/>
      <c r="HA128" s="24"/>
      <c r="HB128" s="24"/>
      <c r="HC128" s="24"/>
      <c r="HD128" s="24"/>
      <c r="HE128" s="24"/>
      <c r="HF128" s="24"/>
      <c r="HG128" s="24"/>
      <c r="HH128" s="24"/>
      <c r="HI128" s="24"/>
      <c r="HJ128" s="24"/>
      <c r="HK128" s="24"/>
      <c r="HL128" s="24"/>
      <c r="HM128" s="24"/>
      <c r="HN128" s="24"/>
      <c r="HO128" s="24"/>
      <c r="HP128" s="24"/>
      <c r="HQ128" s="24"/>
      <c r="HR128" s="24"/>
      <c r="HS128" s="24"/>
      <c r="HT128" s="24"/>
      <c r="HU128" s="24"/>
      <c r="HV128" s="24"/>
      <c r="HW128" s="24"/>
      <c r="HX128" s="24"/>
      <c r="HY128" s="24"/>
      <c r="HZ128" s="24"/>
      <c r="IA128" s="24"/>
      <c r="IB128" s="24"/>
      <c r="IC128" s="24"/>
      <c r="ID128" s="24"/>
      <c r="IE128" s="24"/>
      <c r="IF128" s="24"/>
      <c r="IG128" s="24"/>
      <c r="IH128" s="24"/>
      <c r="II128" s="24"/>
      <c r="IJ128" s="24"/>
      <c r="IK128" s="24"/>
      <c r="IL128" s="24"/>
      <c r="IM128" s="24"/>
      <c r="IN128" s="24"/>
      <c r="IO128" s="24"/>
      <c r="IP128" s="24"/>
      <c r="IQ128" s="24"/>
      <c r="IR128" s="24"/>
      <c r="IS128" s="24"/>
      <c r="IT128" s="24"/>
      <c r="IU128" s="24"/>
      <c r="IV128" s="24"/>
      <c r="IW128" s="24"/>
      <c r="IX128" s="24"/>
      <c r="IY128" s="24"/>
      <c r="IZ128" s="24"/>
      <c r="JA128" s="24"/>
      <c r="JB128" s="24"/>
      <c r="JC128" s="24"/>
      <c r="JD128" s="24"/>
      <c r="JE128" s="24"/>
      <c r="JF128" s="24"/>
      <c r="JG128" s="24"/>
      <c r="JH128" s="24"/>
      <c r="JI128" s="24"/>
      <c r="JJ128" s="24"/>
      <c r="JK128" s="24"/>
    </row>
    <row r="129" spans="2:271" x14ac:dyDescent="0.2">
      <c r="B129" s="121"/>
      <c r="C129" s="121"/>
      <c r="D129" s="188"/>
      <c r="E129" s="188"/>
      <c r="F129" s="188"/>
      <c r="G129" s="188"/>
      <c r="H129" s="188"/>
      <c r="I129" s="121"/>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c r="GG129" s="24"/>
      <c r="GH129" s="24"/>
      <c r="GI129" s="24"/>
      <c r="GJ129" s="24"/>
      <c r="GK129" s="24"/>
      <c r="GL129" s="24"/>
      <c r="GM129" s="24"/>
      <c r="GN129" s="24"/>
      <c r="GO129" s="24"/>
      <c r="GP129" s="24"/>
      <c r="GQ129" s="24"/>
      <c r="GR129" s="24"/>
      <c r="GS129" s="24"/>
      <c r="GT129" s="24"/>
      <c r="GU129" s="24"/>
      <c r="GV129" s="24"/>
      <c r="GW129" s="24"/>
      <c r="GX129" s="24"/>
      <c r="GY129" s="24"/>
      <c r="GZ129" s="24"/>
      <c r="HA129" s="24"/>
      <c r="HB129" s="24"/>
      <c r="HC129" s="24"/>
      <c r="HD129" s="24"/>
      <c r="HE129" s="24"/>
      <c r="HF129" s="24"/>
      <c r="HG129" s="24"/>
      <c r="HH129" s="24"/>
      <c r="HI129" s="24"/>
      <c r="HJ129" s="24"/>
      <c r="HK129" s="24"/>
      <c r="HL129" s="24"/>
      <c r="HM129" s="24"/>
      <c r="HN129" s="24"/>
      <c r="HO129" s="24"/>
      <c r="HP129" s="24"/>
      <c r="HQ129" s="24"/>
      <c r="HR129" s="24"/>
      <c r="HS129" s="24"/>
      <c r="HT129" s="24"/>
      <c r="HU129" s="24"/>
      <c r="HV129" s="24"/>
      <c r="HW129" s="24"/>
      <c r="HX129" s="24"/>
      <c r="HY129" s="24"/>
      <c r="HZ129" s="24"/>
      <c r="IA129" s="24"/>
      <c r="IB129" s="24"/>
      <c r="IC129" s="24"/>
      <c r="ID129" s="24"/>
      <c r="IE129" s="24"/>
      <c r="IF129" s="24"/>
      <c r="IG129" s="24"/>
      <c r="IH129" s="24"/>
      <c r="II129" s="24"/>
      <c r="IJ129" s="24"/>
      <c r="IK129" s="24"/>
      <c r="IL129" s="24"/>
      <c r="IM129" s="24"/>
      <c r="IN129" s="24"/>
      <c r="IO129" s="24"/>
      <c r="IP129" s="24"/>
      <c r="IQ129" s="24"/>
      <c r="IR129" s="24"/>
      <c r="IS129" s="24"/>
      <c r="IT129" s="24"/>
      <c r="IU129" s="24"/>
      <c r="IV129" s="24"/>
      <c r="IW129" s="24"/>
      <c r="IX129" s="24"/>
      <c r="IY129" s="24"/>
      <c r="IZ129" s="24"/>
      <c r="JA129" s="24"/>
      <c r="JB129" s="24"/>
      <c r="JC129" s="24"/>
      <c r="JD129" s="24"/>
      <c r="JE129" s="24"/>
      <c r="JF129" s="24"/>
      <c r="JG129" s="24"/>
      <c r="JH129" s="24"/>
      <c r="JI129" s="24"/>
      <c r="JJ129" s="24"/>
      <c r="JK129" s="24"/>
    </row>
    <row r="130" spans="2:271" x14ac:dyDescent="0.2">
      <c r="B130" s="121"/>
      <c r="C130" s="121"/>
      <c r="D130" s="121"/>
      <c r="E130" s="121"/>
      <c r="F130" s="121"/>
      <c r="G130" s="121"/>
      <c r="H130" s="121"/>
      <c r="I130" s="121"/>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c r="GU130" s="24"/>
      <c r="GV130" s="24"/>
      <c r="GW130" s="24"/>
      <c r="GX130" s="24"/>
      <c r="GY130" s="24"/>
      <c r="GZ130" s="24"/>
      <c r="HA130" s="24"/>
      <c r="HB130" s="24"/>
      <c r="HC130" s="24"/>
      <c r="HD130" s="24"/>
      <c r="HE130" s="24"/>
      <c r="HF130" s="24"/>
      <c r="HG130" s="24"/>
      <c r="HH130" s="24"/>
      <c r="HI130" s="24"/>
      <c r="HJ130" s="24"/>
      <c r="HK130" s="24"/>
      <c r="HL130" s="24"/>
      <c r="HM130" s="24"/>
      <c r="HN130" s="24"/>
      <c r="HO130" s="24"/>
      <c r="HP130" s="24"/>
      <c r="HQ130" s="24"/>
      <c r="HR130" s="24"/>
      <c r="HS130" s="24"/>
      <c r="HT130" s="24"/>
      <c r="HU130" s="24"/>
      <c r="HV130" s="24"/>
      <c r="HW130" s="24"/>
      <c r="HX130" s="24"/>
      <c r="HY130" s="24"/>
      <c r="HZ130" s="24"/>
      <c r="IA130" s="24"/>
      <c r="IB130" s="24"/>
      <c r="IC130" s="24"/>
      <c r="ID130" s="24"/>
      <c r="IE130" s="24"/>
      <c r="IF130" s="24"/>
      <c r="IG130" s="24"/>
      <c r="IH130" s="24"/>
      <c r="II130" s="24"/>
      <c r="IJ130" s="24"/>
      <c r="IK130" s="24"/>
      <c r="IL130" s="24"/>
      <c r="IM130" s="24"/>
      <c r="IN130" s="24"/>
      <c r="IO130" s="24"/>
      <c r="IP130" s="24"/>
      <c r="IQ130" s="24"/>
      <c r="IR130" s="24"/>
      <c r="IS130" s="24"/>
      <c r="IT130" s="24"/>
      <c r="IU130" s="24"/>
      <c r="IV130" s="24"/>
      <c r="IW130" s="24"/>
      <c r="IX130" s="24"/>
      <c r="IY130" s="24"/>
      <c r="IZ130" s="24"/>
      <c r="JA130" s="24"/>
      <c r="JB130" s="24"/>
      <c r="JC130" s="24"/>
      <c r="JD130" s="24"/>
      <c r="JE130" s="24"/>
      <c r="JF130" s="24"/>
      <c r="JG130" s="24"/>
      <c r="JH130" s="24"/>
      <c r="JI130" s="24"/>
      <c r="JJ130" s="24"/>
      <c r="JK130" s="24"/>
    </row>
    <row r="131" spans="2:271" x14ac:dyDescent="0.2">
      <c r="B131" s="121"/>
      <c r="C131" s="121"/>
      <c r="D131" s="121"/>
      <c r="E131" s="121"/>
      <c r="F131" s="121"/>
      <c r="G131" s="121"/>
      <c r="H131" s="121"/>
      <c r="I131" s="121"/>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c r="GU131" s="24"/>
      <c r="GV131" s="24"/>
      <c r="GW131" s="24"/>
      <c r="GX131" s="24"/>
      <c r="GY131" s="24"/>
      <c r="GZ131" s="24"/>
      <c r="HA131" s="24"/>
      <c r="HB131" s="24"/>
      <c r="HC131" s="24"/>
      <c r="HD131" s="24"/>
      <c r="HE131" s="24"/>
      <c r="HF131" s="24"/>
      <c r="HG131" s="24"/>
      <c r="HH131" s="24"/>
      <c r="HI131" s="24"/>
      <c r="HJ131" s="24"/>
      <c r="HK131" s="24"/>
      <c r="HL131" s="24"/>
      <c r="HM131" s="24"/>
      <c r="HN131" s="24"/>
      <c r="HO131" s="24"/>
      <c r="HP131" s="24"/>
      <c r="HQ131" s="24"/>
      <c r="HR131" s="24"/>
      <c r="HS131" s="24"/>
      <c r="HT131" s="24"/>
      <c r="HU131" s="24"/>
      <c r="HV131" s="24"/>
      <c r="HW131" s="24"/>
      <c r="HX131" s="24"/>
      <c r="HY131" s="24"/>
      <c r="HZ131" s="24"/>
      <c r="IA131" s="24"/>
      <c r="IB131" s="24"/>
      <c r="IC131" s="24"/>
      <c r="ID131" s="24"/>
      <c r="IE131" s="24"/>
      <c r="IF131" s="24"/>
      <c r="IG131" s="24"/>
      <c r="IH131" s="24"/>
      <c r="II131" s="24"/>
      <c r="IJ131" s="24"/>
      <c r="IK131" s="24"/>
      <c r="IL131" s="24"/>
      <c r="IM131" s="24"/>
      <c r="IN131" s="24"/>
      <c r="IO131" s="24"/>
      <c r="IP131" s="24"/>
      <c r="IQ131" s="24"/>
      <c r="IR131" s="24"/>
      <c r="IS131" s="24"/>
      <c r="IT131" s="24"/>
      <c r="IU131" s="24"/>
      <c r="IV131" s="24"/>
      <c r="IW131" s="24"/>
      <c r="IX131" s="24"/>
      <c r="IY131" s="24"/>
      <c r="IZ131" s="24"/>
      <c r="JA131" s="24"/>
      <c r="JB131" s="24"/>
      <c r="JC131" s="24"/>
      <c r="JD131" s="24"/>
      <c r="JE131" s="24"/>
      <c r="JF131" s="24"/>
      <c r="JG131" s="24"/>
      <c r="JH131" s="24"/>
      <c r="JI131" s="24"/>
      <c r="JJ131" s="24"/>
      <c r="JK131" s="24"/>
    </row>
    <row r="132" spans="2:271" x14ac:dyDescent="0.2">
      <c r="B132" s="121"/>
      <c r="C132" s="121"/>
      <c r="D132" s="205"/>
      <c r="E132" s="205"/>
      <c r="F132" s="205"/>
      <c r="G132" s="205"/>
      <c r="H132" s="205"/>
      <c r="I132" s="121"/>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c r="GG132" s="24"/>
      <c r="GH132" s="24"/>
      <c r="GI132" s="24"/>
      <c r="GJ132" s="24"/>
      <c r="GK132" s="24"/>
      <c r="GL132" s="24"/>
      <c r="GM132" s="24"/>
      <c r="GN132" s="24"/>
      <c r="GO132" s="24"/>
      <c r="GP132" s="24"/>
      <c r="GQ132" s="24"/>
      <c r="GR132" s="24"/>
      <c r="GS132" s="24"/>
      <c r="GT132" s="24"/>
      <c r="GU132" s="24"/>
      <c r="GV132" s="24"/>
      <c r="GW132" s="24"/>
      <c r="GX132" s="24"/>
      <c r="GY132" s="24"/>
      <c r="GZ132" s="24"/>
      <c r="HA132" s="24"/>
      <c r="HB132" s="24"/>
      <c r="HC132" s="24"/>
      <c r="HD132" s="24"/>
      <c r="HE132" s="24"/>
      <c r="HF132" s="24"/>
      <c r="HG132" s="24"/>
      <c r="HH132" s="24"/>
      <c r="HI132" s="24"/>
      <c r="HJ132" s="24"/>
      <c r="HK132" s="24"/>
      <c r="HL132" s="24"/>
      <c r="HM132" s="24"/>
      <c r="HN132" s="24"/>
      <c r="HO132" s="24"/>
      <c r="HP132" s="24"/>
      <c r="HQ132" s="24"/>
      <c r="HR132" s="24"/>
      <c r="HS132" s="24"/>
      <c r="HT132" s="24"/>
      <c r="HU132" s="24"/>
      <c r="HV132" s="24"/>
      <c r="HW132" s="24"/>
      <c r="HX132" s="24"/>
      <c r="HY132" s="24"/>
      <c r="HZ132" s="24"/>
      <c r="IA132" s="24"/>
      <c r="IB132" s="24"/>
      <c r="IC132" s="24"/>
      <c r="ID132" s="24"/>
      <c r="IE132" s="24"/>
      <c r="IF132" s="24"/>
      <c r="IG132" s="24"/>
      <c r="IH132" s="24"/>
      <c r="II132" s="24"/>
      <c r="IJ132" s="24"/>
      <c r="IK132" s="24"/>
      <c r="IL132" s="24"/>
      <c r="IM132" s="24"/>
      <c r="IN132" s="24"/>
      <c r="IO132" s="24"/>
      <c r="IP132" s="24"/>
      <c r="IQ132" s="24"/>
      <c r="IR132" s="24"/>
      <c r="IS132" s="24"/>
      <c r="IT132" s="24"/>
      <c r="IU132" s="24"/>
      <c r="IV132" s="24"/>
      <c r="IW132" s="24"/>
      <c r="IX132" s="24"/>
      <c r="IY132" s="24"/>
      <c r="IZ132" s="24"/>
      <c r="JA132" s="24"/>
      <c r="JB132" s="24"/>
      <c r="JC132" s="24"/>
      <c r="JD132" s="24"/>
      <c r="JE132" s="24"/>
      <c r="JF132" s="24"/>
      <c r="JG132" s="24"/>
      <c r="JH132" s="24"/>
      <c r="JI132" s="24"/>
      <c r="JJ132" s="24"/>
      <c r="JK132" s="24"/>
    </row>
    <row r="133" spans="2:271" x14ac:dyDescent="0.2">
      <c r="B133" s="121"/>
      <c r="C133" s="121"/>
      <c r="D133" s="206"/>
      <c r="E133" s="206"/>
      <c r="F133" s="206"/>
      <c r="G133" s="206"/>
      <c r="H133" s="206"/>
      <c r="I133" s="121"/>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c r="IG133" s="24"/>
      <c r="IH133" s="24"/>
      <c r="II133" s="24"/>
      <c r="IJ133" s="24"/>
      <c r="IK133" s="24"/>
      <c r="IL133" s="24"/>
      <c r="IM133" s="24"/>
      <c r="IN133" s="24"/>
      <c r="IO133" s="24"/>
      <c r="IP133" s="24"/>
      <c r="IQ133" s="24"/>
      <c r="IR133" s="24"/>
      <c r="IS133" s="24"/>
      <c r="IT133" s="24"/>
      <c r="IU133" s="24"/>
      <c r="IV133" s="24"/>
      <c r="IW133" s="24"/>
      <c r="IX133" s="24"/>
      <c r="IY133" s="24"/>
      <c r="IZ133" s="24"/>
      <c r="JA133" s="24"/>
      <c r="JB133" s="24"/>
      <c r="JC133" s="24"/>
      <c r="JD133" s="24"/>
      <c r="JE133" s="24"/>
      <c r="JF133" s="24"/>
      <c r="JG133" s="24"/>
      <c r="JH133" s="24"/>
      <c r="JI133" s="24"/>
      <c r="JJ133" s="24"/>
      <c r="JK133" s="24"/>
    </row>
    <row r="134" spans="2:271" x14ac:dyDescent="0.2">
      <c r="B134" s="121"/>
      <c r="C134" s="121"/>
      <c r="D134" s="206"/>
      <c r="E134" s="206"/>
      <c r="F134" s="206"/>
      <c r="G134" s="206"/>
      <c r="H134" s="206"/>
      <c r="I134" s="121"/>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c r="HK134" s="24"/>
      <c r="HL134" s="24"/>
      <c r="HM134" s="24"/>
      <c r="HN134" s="24"/>
      <c r="HO134" s="24"/>
      <c r="HP134" s="24"/>
      <c r="HQ134" s="24"/>
      <c r="HR134" s="24"/>
      <c r="HS134" s="24"/>
      <c r="HT134" s="24"/>
      <c r="HU134" s="24"/>
      <c r="HV134" s="24"/>
      <c r="HW134" s="24"/>
      <c r="HX134" s="24"/>
      <c r="HY134" s="24"/>
      <c r="HZ134" s="24"/>
      <c r="IA134" s="24"/>
      <c r="IB134" s="24"/>
      <c r="IC134" s="24"/>
      <c r="ID134" s="24"/>
      <c r="IE134" s="24"/>
      <c r="IF134" s="24"/>
      <c r="IG134" s="24"/>
      <c r="IH134" s="24"/>
      <c r="II134" s="24"/>
      <c r="IJ134" s="24"/>
      <c r="IK134" s="24"/>
      <c r="IL134" s="24"/>
      <c r="IM134" s="24"/>
      <c r="IN134" s="24"/>
      <c r="IO134" s="24"/>
      <c r="IP134" s="24"/>
      <c r="IQ134" s="24"/>
      <c r="IR134" s="24"/>
      <c r="IS134" s="24"/>
      <c r="IT134" s="24"/>
      <c r="IU134" s="24"/>
      <c r="IV134" s="24"/>
      <c r="IW134" s="24"/>
      <c r="IX134" s="24"/>
      <c r="IY134" s="24"/>
      <c r="IZ134" s="24"/>
      <c r="JA134" s="24"/>
      <c r="JB134" s="24"/>
      <c r="JC134" s="24"/>
      <c r="JD134" s="24"/>
      <c r="JE134" s="24"/>
      <c r="JF134" s="24"/>
      <c r="JG134" s="24"/>
      <c r="JH134" s="24"/>
      <c r="JI134" s="24"/>
      <c r="JJ134" s="24"/>
      <c r="JK134" s="24"/>
    </row>
    <row r="135" spans="2:271" x14ac:dyDescent="0.2">
      <c r="B135" s="121"/>
      <c r="C135" s="121"/>
      <c r="D135" s="206"/>
      <c r="E135" s="206"/>
      <c r="F135" s="206"/>
      <c r="G135" s="206"/>
      <c r="H135" s="206"/>
      <c r="I135" s="121"/>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c r="GG135" s="24"/>
      <c r="GH135" s="24"/>
      <c r="GI135" s="24"/>
      <c r="GJ135" s="24"/>
      <c r="GK135" s="24"/>
      <c r="GL135" s="24"/>
      <c r="GM135" s="24"/>
      <c r="GN135" s="24"/>
      <c r="GO135" s="24"/>
      <c r="GP135" s="24"/>
      <c r="GQ135" s="24"/>
      <c r="GR135" s="24"/>
      <c r="GS135" s="24"/>
      <c r="GT135" s="24"/>
      <c r="GU135" s="24"/>
      <c r="GV135" s="24"/>
      <c r="GW135" s="24"/>
      <c r="GX135" s="24"/>
      <c r="GY135" s="24"/>
      <c r="GZ135" s="24"/>
      <c r="HA135" s="24"/>
      <c r="HB135" s="24"/>
      <c r="HC135" s="24"/>
      <c r="HD135" s="24"/>
      <c r="HE135" s="24"/>
      <c r="HF135" s="24"/>
      <c r="HG135" s="24"/>
      <c r="HH135" s="24"/>
      <c r="HI135" s="24"/>
      <c r="HJ135" s="24"/>
      <c r="HK135" s="24"/>
      <c r="HL135" s="24"/>
      <c r="HM135" s="24"/>
      <c r="HN135" s="24"/>
      <c r="HO135" s="24"/>
      <c r="HP135" s="24"/>
      <c r="HQ135" s="24"/>
      <c r="HR135" s="24"/>
      <c r="HS135" s="24"/>
      <c r="HT135" s="24"/>
      <c r="HU135" s="24"/>
      <c r="HV135" s="24"/>
      <c r="HW135" s="24"/>
      <c r="HX135" s="24"/>
      <c r="HY135" s="24"/>
      <c r="HZ135" s="24"/>
      <c r="IA135" s="24"/>
      <c r="IB135" s="24"/>
      <c r="IC135" s="24"/>
      <c r="ID135" s="24"/>
      <c r="IE135" s="24"/>
      <c r="IF135" s="24"/>
      <c r="IG135" s="24"/>
      <c r="IH135" s="24"/>
      <c r="II135" s="24"/>
      <c r="IJ135" s="24"/>
      <c r="IK135" s="24"/>
      <c r="IL135" s="24"/>
      <c r="IM135" s="24"/>
      <c r="IN135" s="24"/>
      <c r="IO135" s="24"/>
      <c r="IP135" s="24"/>
      <c r="IQ135" s="24"/>
      <c r="IR135" s="24"/>
      <c r="IS135" s="24"/>
      <c r="IT135" s="24"/>
      <c r="IU135" s="24"/>
      <c r="IV135" s="24"/>
      <c r="IW135" s="24"/>
      <c r="IX135" s="24"/>
      <c r="IY135" s="24"/>
      <c r="IZ135" s="24"/>
      <c r="JA135" s="24"/>
      <c r="JB135" s="24"/>
      <c r="JC135" s="24"/>
      <c r="JD135" s="24"/>
      <c r="JE135" s="24"/>
      <c r="JF135" s="24"/>
      <c r="JG135" s="24"/>
      <c r="JH135" s="24"/>
      <c r="JI135" s="24"/>
      <c r="JJ135" s="24"/>
      <c r="JK135" s="24"/>
    </row>
    <row r="136" spans="2:271" x14ac:dyDescent="0.2">
      <c r="B136" s="121"/>
      <c r="C136" s="121"/>
      <c r="D136" s="206"/>
      <c r="E136" s="206"/>
      <c r="F136" s="206"/>
      <c r="G136" s="206"/>
      <c r="H136" s="206"/>
      <c r="I136" s="121"/>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c r="HP136" s="24"/>
      <c r="HQ136" s="24"/>
      <c r="HR136" s="24"/>
      <c r="HS136" s="24"/>
      <c r="HT136" s="24"/>
      <c r="HU136" s="24"/>
      <c r="HV136" s="24"/>
      <c r="HW136" s="24"/>
      <c r="HX136" s="24"/>
      <c r="HY136" s="24"/>
      <c r="HZ136" s="24"/>
      <c r="IA136" s="24"/>
      <c r="IB136" s="24"/>
      <c r="IC136" s="24"/>
      <c r="ID136" s="24"/>
      <c r="IE136" s="24"/>
      <c r="IF136" s="24"/>
      <c r="IG136" s="24"/>
      <c r="IH136" s="24"/>
      <c r="II136" s="24"/>
      <c r="IJ136" s="24"/>
      <c r="IK136" s="24"/>
      <c r="IL136" s="24"/>
      <c r="IM136" s="24"/>
      <c r="IN136" s="24"/>
      <c r="IO136" s="24"/>
      <c r="IP136" s="24"/>
      <c r="IQ136" s="24"/>
      <c r="IR136" s="24"/>
      <c r="IS136" s="24"/>
      <c r="IT136" s="24"/>
      <c r="IU136" s="24"/>
      <c r="IV136" s="24"/>
      <c r="IW136" s="24"/>
      <c r="IX136" s="24"/>
      <c r="IY136" s="24"/>
      <c r="IZ136" s="24"/>
      <c r="JA136" s="24"/>
      <c r="JB136" s="24"/>
      <c r="JC136" s="24"/>
      <c r="JD136" s="24"/>
      <c r="JE136" s="24"/>
      <c r="JF136" s="24"/>
      <c r="JG136" s="24"/>
      <c r="JH136" s="24"/>
      <c r="JI136" s="24"/>
      <c r="JJ136" s="24"/>
      <c r="JK136" s="24"/>
    </row>
    <row r="137" spans="2:271" x14ac:dyDescent="0.2">
      <c r="B137" s="121"/>
      <c r="C137" s="121"/>
      <c r="D137" s="188"/>
      <c r="E137" s="188"/>
      <c r="F137" s="188"/>
      <c r="G137" s="188"/>
      <c r="H137" s="188"/>
      <c r="I137" s="121"/>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c r="GG137" s="24"/>
      <c r="GH137" s="24"/>
      <c r="GI137" s="24"/>
      <c r="GJ137" s="24"/>
      <c r="GK137" s="24"/>
      <c r="GL137" s="24"/>
      <c r="GM137" s="24"/>
      <c r="GN137" s="24"/>
      <c r="GO137" s="24"/>
      <c r="GP137" s="24"/>
      <c r="GQ137" s="24"/>
      <c r="GR137" s="24"/>
      <c r="GS137" s="24"/>
      <c r="GT137" s="24"/>
      <c r="GU137" s="24"/>
      <c r="GV137" s="24"/>
      <c r="GW137" s="24"/>
      <c r="GX137" s="24"/>
      <c r="GY137" s="24"/>
      <c r="GZ137" s="24"/>
      <c r="HA137" s="24"/>
      <c r="HB137" s="24"/>
      <c r="HC137" s="24"/>
      <c r="HD137" s="24"/>
      <c r="HE137" s="24"/>
      <c r="HF137" s="24"/>
      <c r="HG137" s="24"/>
      <c r="HH137" s="24"/>
      <c r="HI137" s="24"/>
      <c r="HJ137" s="24"/>
      <c r="HK137" s="24"/>
      <c r="HL137" s="24"/>
      <c r="HM137" s="24"/>
      <c r="HN137" s="24"/>
      <c r="HO137" s="24"/>
      <c r="HP137" s="24"/>
      <c r="HQ137" s="24"/>
      <c r="HR137" s="24"/>
      <c r="HS137" s="24"/>
      <c r="HT137" s="24"/>
      <c r="HU137" s="24"/>
      <c r="HV137" s="24"/>
      <c r="HW137" s="24"/>
      <c r="HX137" s="24"/>
      <c r="HY137" s="24"/>
      <c r="HZ137" s="24"/>
      <c r="IA137" s="24"/>
      <c r="IB137" s="24"/>
      <c r="IC137" s="24"/>
      <c r="ID137" s="24"/>
      <c r="IE137" s="24"/>
      <c r="IF137" s="24"/>
      <c r="IG137" s="24"/>
      <c r="IH137" s="24"/>
      <c r="II137" s="24"/>
      <c r="IJ137" s="24"/>
      <c r="IK137" s="24"/>
      <c r="IL137" s="24"/>
      <c r="IM137" s="24"/>
      <c r="IN137" s="24"/>
      <c r="IO137" s="24"/>
      <c r="IP137" s="24"/>
      <c r="IQ137" s="24"/>
      <c r="IR137" s="24"/>
      <c r="IS137" s="24"/>
      <c r="IT137" s="24"/>
      <c r="IU137" s="24"/>
      <c r="IV137" s="24"/>
      <c r="IW137" s="24"/>
      <c r="IX137" s="24"/>
      <c r="IY137" s="24"/>
      <c r="IZ137" s="24"/>
      <c r="JA137" s="24"/>
      <c r="JB137" s="24"/>
      <c r="JC137" s="24"/>
      <c r="JD137" s="24"/>
      <c r="JE137" s="24"/>
      <c r="JF137" s="24"/>
      <c r="JG137" s="24"/>
      <c r="JH137" s="24"/>
      <c r="JI137" s="24"/>
      <c r="JJ137" s="24"/>
      <c r="JK137" s="24"/>
    </row>
    <row r="138" spans="2:271" x14ac:dyDescent="0.2">
      <c r="B138" s="121"/>
      <c r="C138" s="121"/>
      <c r="D138" s="121"/>
      <c r="E138" s="121"/>
      <c r="F138" s="121"/>
      <c r="G138" s="121"/>
      <c r="H138" s="121"/>
      <c r="I138" s="121"/>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c r="FO138" s="24"/>
      <c r="FP138" s="24"/>
      <c r="FQ138" s="24"/>
      <c r="FR138" s="24"/>
      <c r="FS138" s="24"/>
      <c r="FT138" s="24"/>
      <c r="FU138" s="24"/>
      <c r="FV138" s="24"/>
      <c r="FW138" s="24"/>
      <c r="FX138" s="24"/>
      <c r="FY138" s="24"/>
      <c r="FZ138" s="24"/>
      <c r="GA138" s="24"/>
      <c r="GB138" s="24"/>
      <c r="GC138" s="24"/>
      <c r="GD138" s="24"/>
      <c r="GE138" s="24"/>
      <c r="GF138" s="24"/>
      <c r="GG138" s="24"/>
      <c r="GH138" s="24"/>
      <c r="GI138" s="24"/>
      <c r="GJ138" s="24"/>
      <c r="GK138" s="24"/>
      <c r="GL138" s="24"/>
      <c r="GM138" s="24"/>
      <c r="GN138" s="24"/>
      <c r="GO138" s="24"/>
      <c r="GP138" s="24"/>
      <c r="GQ138" s="24"/>
      <c r="GR138" s="24"/>
      <c r="GS138" s="24"/>
      <c r="GT138" s="24"/>
      <c r="GU138" s="24"/>
      <c r="GV138" s="24"/>
      <c r="GW138" s="24"/>
      <c r="GX138" s="24"/>
      <c r="GY138" s="24"/>
      <c r="GZ138" s="24"/>
      <c r="HA138" s="24"/>
      <c r="HB138" s="24"/>
      <c r="HC138" s="24"/>
      <c r="HD138" s="24"/>
      <c r="HE138" s="24"/>
      <c r="HF138" s="24"/>
      <c r="HG138" s="24"/>
      <c r="HH138" s="24"/>
      <c r="HI138" s="24"/>
      <c r="HJ138" s="24"/>
      <c r="HK138" s="24"/>
      <c r="HL138" s="24"/>
      <c r="HM138" s="24"/>
      <c r="HN138" s="24"/>
      <c r="HO138" s="24"/>
      <c r="HP138" s="24"/>
      <c r="HQ138" s="24"/>
      <c r="HR138" s="24"/>
      <c r="HS138" s="24"/>
      <c r="HT138" s="24"/>
      <c r="HU138" s="24"/>
      <c r="HV138" s="24"/>
      <c r="HW138" s="24"/>
      <c r="HX138" s="24"/>
      <c r="HY138" s="24"/>
      <c r="HZ138" s="24"/>
      <c r="IA138" s="24"/>
      <c r="IB138" s="24"/>
      <c r="IC138" s="24"/>
      <c r="ID138" s="24"/>
      <c r="IE138" s="24"/>
      <c r="IF138" s="24"/>
      <c r="IG138" s="24"/>
      <c r="IH138" s="24"/>
      <c r="II138" s="24"/>
      <c r="IJ138" s="24"/>
      <c r="IK138" s="24"/>
      <c r="IL138" s="24"/>
      <c r="IM138" s="24"/>
      <c r="IN138" s="24"/>
      <c r="IO138" s="24"/>
      <c r="IP138" s="24"/>
      <c r="IQ138" s="24"/>
      <c r="IR138" s="24"/>
      <c r="IS138" s="24"/>
      <c r="IT138" s="24"/>
      <c r="IU138" s="24"/>
      <c r="IV138" s="24"/>
      <c r="IW138" s="24"/>
      <c r="IX138" s="24"/>
      <c r="IY138" s="24"/>
      <c r="IZ138" s="24"/>
      <c r="JA138" s="24"/>
      <c r="JB138" s="24"/>
      <c r="JC138" s="24"/>
      <c r="JD138" s="24"/>
      <c r="JE138" s="24"/>
      <c r="JF138" s="24"/>
      <c r="JG138" s="24"/>
      <c r="JH138" s="24"/>
      <c r="JI138" s="24"/>
      <c r="JJ138" s="24"/>
      <c r="JK138" s="24"/>
    </row>
    <row r="139" spans="2:271" x14ac:dyDescent="0.2">
      <c r="B139" s="121"/>
      <c r="C139" s="121"/>
      <c r="D139" s="173"/>
      <c r="E139" s="173"/>
      <c r="F139" s="173"/>
      <c r="G139" s="173"/>
      <c r="H139" s="173"/>
      <c r="I139" s="121"/>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c r="FO139" s="24"/>
      <c r="FP139" s="24"/>
      <c r="FQ139" s="24"/>
      <c r="FR139" s="24"/>
      <c r="FS139" s="24"/>
      <c r="FT139" s="24"/>
      <c r="FU139" s="24"/>
      <c r="FV139" s="24"/>
      <c r="FW139" s="24"/>
      <c r="FX139" s="24"/>
      <c r="FY139" s="24"/>
      <c r="FZ139" s="24"/>
      <c r="GA139" s="24"/>
      <c r="GB139" s="24"/>
      <c r="GC139" s="24"/>
      <c r="GD139" s="24"/>
      <c r="GE139" s="24"/>
      <c r="GF139" s="24"/>
      <c r="GG139" s="24"/>
      <c r="GH139" s="24"/>
      <c r="GI139" s="24"/>
      <c r="GJ139" s="24"/>
      <c r="GK139" s="24"/>
      <c r="GL139" s="24"/>
      <c r="GM139" s="24"/>
      <c r="GN139" s="24"/>
      <c r="GO139" s="24"/>
      <c r="GP139" s="24"/>
      <c r="GQ139" s="24"/>
      <c r="GR139" s="24"/>
      <c r="GS139" s="24"/>
      <c r="GT139" s="24"/>
      <c r="GU139" s="24"/>
      <c r="GV139" s="24"/>
      <c r="GW139" s="24"/>
      <c r="GX139" s="24"/>
      <c r="GY139" s="24"/>
      <c r="GZ139" s="24"/>
      <c r="HA139" s="24"/>
      <c r="HB139" s="24"/>
      <c r="HC139" s="24"/>
      <c r="HD139" s="24"/>
      <c r="HE139" s="24"/>
      <c r="HF139" s="24"/>
      <c r="HG139" s="24"/>
      <c r="HH139" s="24"/>
      <c r="HI139" s="24"/>
      <c r="HJ139" s="24"/>
      <c r="HK139" s="24"/>
      <c r="HL139" s="24"/>
      <c r="HM139" s="24"/>
      <c r="HN139" s="24"/>
      <c r="HO139" s="24"/>
      <c r="HP139" s="24"/>
      <c r="HQ139" s="24"/>
      <c r="HR139" s="24"/>
      <c r="HS139" s="24"/>
      <c r="HT139" s="24"/>
      <c r="HU139" s="24"/>
      <c r="HV139" s="24"/>
      <c r="HW139" s="24"/>
      <c r="HX139" s="24"/>
      <c r="HY139" s="24"/>
      <c r="HZ139" s="24"/>
      <c r="IA139" s="24"/>
      <c r="IB139" s="24"/>
      <c r="IC139" s="24"/>
      <c r="ID139" s="24"/>
      <c r="IE139" s="24"/>
      <c r="IF139" s="24"/>
      <c r="IG139" s="24"/>
      <c r="IH139" s="24"/>
      <c r="II139" s="24"/>
      <c r="IJ139" s="24"/>
      <c r="IK139" s="24"/>
      <c r="IL139" s="24"/>
      <c r="IM139" s="24"/>
      <c r="IN139" s="24"/>
      <c r="IO139" s="24"/>
      <c r="IP139" s="24"/>
      <c r="IQ139" s="24"/>
      <c r="IR139" s="24"/>
      <c r="IS139" s="24"/>
      <c r="IT139" s="24"/>
      <c r="IU139" s="24"/>
      <c r="IV139" s="24"/>
      <c r="IW139" s="24"/>
      <c r="IX139" s="24"/>
      <c r="IY139" s="24"/>
      <c r="IZ139" s="24"/>
      <c r="JA139" s="24"/>
      <c r="JB139" s="24"/>
      <c r="JC139" s="24"/>
      <c r="JD139" s="24"/>
      <c r="JE139" s="24"/>
      <c r="JF139" s="24"/>
      <c r="JG139" s="24"/>
      <c r="JH139" s="24"/>
      <c r="JI139" s="24"/>
      <c r="JJ139" s="24"/>
      <c r="JK139" s="24"/>
    </row>
    <row r="140" spans="2:271" x14ac:dyDescent="0.2">
      <c r="B140" s="188"/>
      <c r="C140" s="121"/>
      <c r="D140" s="207"/>
      <c r="E140" s="207"/>
      <c r="F140" s="207"/>
      <c r="G140" s="207"/>
      <c r="H140" s="207"/>
      <c r="I140" s="121"/>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c r="FO140" s="24"/>
      <c r="FP140" s="24"/>
      <c r="FQ140" s="24"/>
      <c r="FR140" s="24"/>
      <c r="FS140" s="24"/>
      <c r="FT140" s="24"/>
      <c r="FU140" s="24"/>
      <c r="FV140" s="24"/>
      <c r="FW140" s="24"/>
      <c r="FX140" s="24"/>
      <c r="FY140" s="24"/>
      <c r="FZ140" s="24"/>
      <c r="GA140" s="24"/>
      <c r="GB140" s="24"/>
      <c r="GC140" s="24"/>
      <c r="GD140" s="24"/>
      <c r="GE140" s="24"/>
      <c r="GF140" s="24"/>
      <c r="GG140" s="24"/>
      <c r="GH140" s="24"/>
      <c r="GI140" s="24"/>
      <c r="GJ140" s="24"/>
      <c r="GK140" s="24"/>
      <c r="GL140" s="24"/>
      <c r="GM140" s="24"/>
      <c r="GN140" s="24"/>
      <c r="GO140" s="24"/>
      <c r="GP140" s="24"/>
      <c r="GQ140" s="24"/>
      <c r="GR140" s="24"/>
      <c r="GS140" s="24"/>
      <c r="GT140" s="24"/>
      <c r="GU140" s="24"/>
      <c r="GV140" s="24"/>
      <c r="GW140" s="24"/>
      <c r="GX140" s="24"/>
      <c r="GY140" s="24"/>
      <c r="GZ140" s="24"/>
      <c r="HA140" s="24"/>
      <c r="HB140" s="24"/>
      <c r="HC140" s="24"/>
      <c r="HD140" s="24"/>
      <c r="HE140" s="24"/>
      <c r="HF140" s="24"/>
      <c r="HG140" s="24"/>
      <c r="HH140" s="24"/>
      <c r="HI140" s="24"/>
      <c r="HJ140" s="24"/>
      <c r="HK140" s="24"/>
      <c r="HL140" s="24"/>
      <c r="HM140" s="24"/>
      <c r="HN140" s="24"/>
      <c r="HO140" s="24"/>
      <c r="HP140" s="24"/>
      <c r="HQ140" s="24"/>
      <c r="HR140" s="24"/>
      <c r="HS140" s="24"/>
      <c r="HT140" s="24"/>
      <c r="HU140" s="24"/>
      <c r="HV140" s="24"/>
      <c r="HW140" s="24"/>
      <c r="HX140" s="24"/>
      <c r="HY140" s="24"/>
      <c r="HZ140" s="24"/>
      <c r="IA140" s="24"/>
      <c r="IB140" s="24"/>
      <c r="IC140" s="24"/>
      <c r="ID140" s="24"/>
      <c r="IE140" s="24"/>
      <c r="IF140" s="24"/>
      <c r="IG140" s="24"/>
      <c r="IH140" s="24"/>
      <c r="II140" s="24"/>
      <c r="IJ140" s="24"/>
      <c r="IK140" s="24"/>
      <c r="IL140" s="24"/>
      <c r="IM140" s="24"/>
      <c r="IN140" s="24"/>
      <c r="IO140" s="24"/>
      <c r="IP140" s="24"/>
      <c r="IQ140" s="24"/>
      <c r="IR140" s="24"/>
      <c r="IS140" s="24"/>
      <c r="IT140" s="24"/>
      <c r="IU140" s="24"/>
      <c r="IV140" s="24"/>
      <c r="IW140" s="24"/>
      <c r="IX140" s="24"/>
      <c r="IY140" s="24"/>
      <c r="IZ140" s="24"/>
      <c r="JA140" s="24"/>
      <c r="JB140" s="24"/>
      <c r="JC140" s="24"/>
      <c r="JD140" s="24"/>
      <c r="JE140" s="24"/>
      <c r="JF140" s="24"/>
      <c r="JG140" s="24"/>
      <c r="JH140" s="24"/>
      <c r="JI140" s="24"/>
      <c r="JJ140" s="24"/>
      <c r="JK140" s="24"/>
    </row>
    <row r="141" spans="2:271" x14ac:dyDescent="0.2">
      <c r="B141" s="206"/>
      <c r="C141" s="121"/>
      <c r="D141" s="121"/>
      <c r="E141" s="121"/>
      <c r="F141" s="121"/>
      <c r="G141" s="121"/>
      <c r="H141" s="121"/>
      <c r="I141" s="121"/>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c r="FO141" s="24"/>
      <c r="FP141" s="24"/>
      <c r="FQ141" s="24"/>
      <c r="FR141" s="24"/>
      <c r="FS141" s="24"/>
      <c r="FT141" s="24"/>
      <c r="FU141" s="24"/>
      <c r="FV141" s="24"/>
      <c r="FW141" s="24"/>
      <c r="FX141" s="24"/>
      <c r="FY141" s="24"/>
      <c r="FZ141" s="24"/>
      <c r="GA141" s="24"/>
      <c r="GB141" s="24"/>
      <c r="GC141" s="24"/>
      <c r="GD141" s="24"/>
      <c r="GE141" s="24"/>
      <c r="GF141" s="24"/>
      <c r="GG141" s="24"/>
      <c r="GH141" s="24"/>
      <c r="GI141" s="24"/>
      <c r="GJ141" s="24"/>
      <c r="GK141" s="24"/>
      <c r="GL141" s="24"/>
      <c r="GM141" s="24"/>
      <c r="GN141" s="24"/>
      <c r="GO141" s="24"/>
      <c r="GP141" s="24"/>
      <c r="GQ141" s="24"/>
      <c r="GR141" s="24"/>
      <c r="GS141" s="24"/>
      <c r="GT141" s="24"/>
      <c r="GU141" s="24"/>
      <c r="GV141" s="24"/>
      <c r="GW141" s="24"/>
      <c r="GX141" s="24"/>
      <c r="GY141" s="24"/>
      <c r="GZ141" s="24"/>
      <c r="HA141" s="24"/>
      <c r="HB141" s="24"/>
      <c r="HC141" s="24"/>
      <c r="HD141" s="24"/>
      <c r="HE141" s="24"/>
      <c r="HF141" s="24"/>
      <c r="HG141" s="24"/>
      <c r="HH141" s="24"/>
      <c r="HI141" s="24"/>
      <c r="HJ141" s="24"/>
      <c r="HK141" s="24"/>
      <c r="HL141" s="24"/>
      <c r="HM141" s="24"/>
      <c r="HN141" s="24"/>
      <c r="HO141" s="24"/>
      <c r="HP141" s="24"/>
      <c r="HQ141" s="24"/>
      <c r="HR141" s="24"/>
      <c r="HS141" s="24"/>
      <c r="HT141" s="24"/>
      <c r="HU141" s="24"/>
      <c r="HV141" s="24"/>
      <c r="HW141" s="24"/>
      <c r="HX141" s="24"/>
      <c r="HY141" s="24"/>
      <c r="HZ141" s="24"/>
      <c r="IA141" s="24"/>
      <c r="IB141" s="24"/>
      <c r="IC141" s="24"/>
      <c r="ID141" s="24"/>
      <c r="IE141" s="24"/>
      <c r="IF141" s="24"/>
      <c r="IG141" s="24"/>
      <c r="IH141" s="24"/>
      <c r="II141" s="24"/>
      <c r="IJ141" s="24"/>
      <c r="IK141" s="24"/>
      <c r="IL141" s="24"/>
      <c r="IM141" s="24"/>
      <c r="IN141" s="24"/>
      <c r="IO141" s="24"/>
      <c r="IP141" s="24"/>
      <c r="IQ141" s="24"/>
      <c r="IR141" s="24"/>
      <c r="IS141" s="24"/>
      <c r="IT141" s="24"/>
      <c r="IU141" s="24"/>
      <c r="IV141" s="24"/>
      <c r="IW141" s="24"/>
      <c r="IX141" s="24"/>
      <c r="IY141" s="24"/>
      <c r="IZ141" s="24"/>
      <c r="JA141" s="24"/>
      <c r="JB141" s="24"/>
      <c r="JC141" s="24"/>
      <c r="JD141" s="24"/>
      <c r="JE141" s="24"/>
      <c r="JF141" s="24"/>
      <c r="JG141" s="24"/>
      <c r="JH141" s="24"/>
      <c r="JI141" s="24"/>
      <c r="JJ141" s="24"/>
      <c r="JK141" s="24"/>
    </row>
    <row r="142" spans="2:271" x14ac:dyDescent="0.2">
      <c r="B142" s="206"/>
      <c r="C142" s="121"/>
      <c r="D142" s="173"/>
      <c r="E142" s="173"/>
      <c r="F142" s="173"/>
      <c r="G142" s="173"/>
      <c r="H142" s="173"/>
      <c r="I142" s="121"/>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c r="FO142" s="24"/>
      <c r="FP142" s="24"/>
      <c r="FQ142" s="24"/>
      <c r="FR142" s="24"/>
      <c r="FS142" s="24"/>
      <c r="FT142" s="24"/>
      <c r="FU142" s="24"/>
      <c r="FV142" s="24"/>
      <c r="FW142" s="24"/>
      <c r="FX142" s="24"/>
      <c r="FY142" s="24"/>
      <c r="FZ142" s="24"/>
      <c r="GA142" s="24"/>
      <c r="GB142" s="24"/>
      <c r="GC142" s="24"/>
      <c r="GD142" s="24"/>
      <c r="GE142" s="24"/>
      <c r="GF142" s="24"/>
      <c r="GG142" s="24"/>
      <c r="GH142" s="24"/>
      <c r="GI142" s="24"/>
      <c r="GJ142" s="24"/>
      <c r="GK142" s="24"/>
      <c r="GL142" s="24"/>
      <c r="GM142" s="24"/>
      <c r="GN142" s="24"/>
      <c r="GO142" s="24"/>
      <c r="GP142" s="24"/>
      <c r="GQ142" s="24"/>
      <c r="GR142" s="24"/>
      <c r="GS142" s="24"/>
      <c r="GT142" s="24"/>
      <c r="GU142" s="24"/>
      <c r="GV142" s="24"/>
      <c r="GW142" s="24"/>
      <c r="GX142" s="24"/>
      <c r="GY142" s="24"/>
      <c r="GZ142" s="24"/>
      <c r="HA142" s="24"/>
      <c r="HB142" s="24"/>
      <c r="HC142" s="24"/>
      <c r="HD142" s="24"/>
      <c r="HE142" s="24"/>
      <c r="HF142" s="24"/>
      <c r="HG142" s="24"/>
      <c r="HH142" s="24"/>
      <c r="HI142" s="24"/>
      <c r="HJ142" s="24"/>
      <c r="HK142" s="24"/>
      <c r="HL142" s="24"/>
      <c r="HM142" s="24"/>
      <c r="HN142" s="24"/>
      <c r="HO142" s="24"/>
      <c r="HP142" s="24"/>
      <c r="HQ142" s="24"/>
      <c r="HR142" s="24"/>
      <c r="HS142" s="24"/>
      <c r="HT142" s="24"/>
      <c r="HU142" s="24"/>
      <c r="HV142" s="24"/>
      <c r="HW142" s="24"/>
      <c r="HX142" s="24"/>
      <c r="HY142" s="24"/>
      <c r="HZ142" s="24"/>
      <c r="IA142" s="24"/>
      <c r="IB142" s="24"/>
      <c r="IC142" s="24"/>
      <c r="ID142" s="24"/>
      <c r="IE142" s="24"/>
      <c r="IF142" s="24"/>
      <c r="IG142" s="24"/>
      <c r="IH142" s="24"/>
      <c r="II142" s="24"/>
      <c r="IJ142" s="24"/>
      <c r="IK142" s="24"/>
      <c r="IL142" s="24"/>
      <c r="IM142" s="24"/>
      <c r="IN142" s="24"/>
      <c r="IO142" s="24"/>
      <c r="IP142" s="24"/>
      <c r="IQ142" s="24"/>
      <c r="IR142" s="24"/>
      <c r="IS142" s="24"/>
      <c r="IT142" s="24"/>
      <c r="IU142" s="24"/>
      <c r="IV142" s="24"/>
      <c r="IW142" s="24"/>
      <c r="IX142" s="24"/>
      <c r="IY142" s="24"/>
      <c r="IZ142" s="24"/>
      <c r="JA142" s="24"/>
      <c r="JB142" s="24"/>
      <c r="JC142" s="24"/>
      <c r="JD142" s="24"/>
      <c r="JE142" s="24"/>
      <c r="JF142" s="24"/>
      <c r="JG142" s="24"/>
      <c r="JH142" s="24"/>
      <c r="JI142" s="24"/>
      <c r="JJ142" s="24"/>
      <c r="JK142" s="24"/>
    </row>
  </sheetData>
  <pageMargins left="0.5" right="0.5" top="1" bottom="1" header="0.5" footer="0.5"/>
  <pageSetup scale="56" fitToWidth="4" orientation="portrait" r:id="rId1"/>
  <headerFooter alignWithMargins="0">
    <oddHeader>&amp;C&amp;"Arial,Bold"Puget Sound Energy
Actual and Projected 191 Accounts</oddHeader>
    <oddFooter>&amp;L&amp;F
&amp;A&amp;RPage &amp;P of &amp;N</oddFooter>
  </headerFooter>
  <colBreaks count="5" manualBreakCount="5">
    <brk id="251" min="1" max="103" man="1"/>
    <brk id="263" min="1" max="114" man="1"/>
    <brk id="275" min="1" max="114" man="1"/>
    <brk id="281" min="1" max="114" man="1"/>
    <brk id="288" min="1" max="114" man="1"/>
  </colBreaks>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41"/>
  <sheetViews>
    <sheetView zoomScaleNormal="100" workbookViewId="0">
      <pane xSplit="1" ySplit="9" topLeftCell="B10" activePane="bottomRight" state="frozen"/>
      <selection activeCell="A2" sqref="A2"/>
      <selection pane="topRight" activeCell="A2" sqref="A2"/>
      <selection pane="bottomLeft" activeCell="A2" sqref="A2"/>
      <selection pane="bottomRight" activeCell="O41" sqref="O41"/>
    </sheetView>
  </sheetViews>
  <sheetFormatPr defaultColWidth="9.140625" defaultRowHeight="11.25" x14ac:dyDescent="0.2"/>
  <cols>
    <col min="1" max="1" width="25.28515625" style="73" customWidth="1"/>
    <col min="2" max="15" width="10.7109375" style="73" bestFit="1" customWidth="1"/>
    <col min="16" max="16" width="16.28515625" style="73" bestFit="1" customWidth="1"/>
    <col min="17" max="17" width="13.5703125" style="73" bestFit="1" customWidth="1"/>
    <col min="18" max="18" width="14.5703125" style="73" bestFit="1" customWidth="1"/>
    <col min="19" max="16384" width="9.140625" style="73"/>
  </cols>
  <sheetData>
    <row r="1" spans="1:18" x14ac:dyDescent="0.2">
      <c r="A1" s="656" t="s">
        <v>1</v>
      </c>
      <c r="B1" s="657"/>
      <c r="C1" s="657"/>
      <c r="D1" s="657"/>
      <c r="E1" s="657"/>
      <c r="F1" s="657"/>
      <c r="G1" s="657"/>
      <c r="H1" s="657"/>
      <c r="I1" s="657"/>
      <c r="J1" s="657"/>
      <c r="K1" s="657"/>
      <c r="L1" s="657"/>
      <c r="M1" s="657"/>
      <c r="N1" s="657"/>
      <c r="O1" s="657"/>
      <c r="P1" s="657"/>
    </row>
    <row r="2" spans="1:18" ht="12.95" customHeight="1" x14ac:dyDescent="0.2">
      <c r="A2" s="656" t="s">
        <v>246</v>
      </c>
      <c r="B2" s="657"/>
      <c r="C2" s="657"/>
      <c r="D2" s="657"/>
      <c r="E2" s="657"/>
      <c r="F2" s="657"/>
      <c r="G2" s="657"/>
      <c r="H2" s="657"/>
      <c r="I2" s="657"/>
      <c r="J2" s="657"/>
      <c r="K2" s="657"/>
      <c r="L2" s="657"/>
      <c r="M2" s="657"/>
      <c r="N2" s="657"/>
      <c r="O2" s="657"/>
      <c r="P2" s="657"/>
    </row>
    <row r="3" spans="1:18" s="24" customFormat="1" ht="12.95" customHeight="1" x14ac:dyDescent="0.2">
      <c r="A3" s="656" t="s">
        <v>141</v>
      </c>
      <c r="B3" s="657"/>
      <c r="C3" s="657"/>
      <c r="D3" s="657"/>
      <c r="E3" s="657"/>
      <c r="F3" s="657"/>
      <c r="G3" s="657"/>
      <c r="H3" s="657"/>
      <c r="I3" s="657"/>
      <c r="J3" s="657"/>
      <c r="K3" s="657"/>
      <c r="L3" s="657"/>
      <c r="M3" s="657"/>
      <c r="N3" s="657"/>
      <c r="O3" s="657"/>
      <c r="P3" s="657"/>
    </row>
    <row r="4" spans="1:18" x14ac:dyDescent="0.2">
      <c r="A4" s="656" t="s">
        <v>267</v>
      </c>
      <c r="B4" s="657"/>
      <c r="C4" s="657"/>
      <c r="D4" s="657"/>
      <c r="E4" s="657"/>
      <c r="F4" s="657"/>
      <c r="G4" s="657"/>
      <c r="H4" s="657"/>
      <c r="I4" s="657"/>
      <c r="J4" s="657"/>
      <c r="K4" s="657"/>
      <c r="L4" s="657"/>
      <c r="M4" s="657"/>
      <c r="N4" s="657"/>
      <c r="O4" s="657"/>
      <c r="P4" s="657"/>
    </row>
    <row r="5" spans="1:18" x14ac:dyDescent="0.2">
      <c r="A5" s="529"/>
      <c r="B5" s="529"/>
      <c r="C5" s="530"/>
      <c r="D5" s="530"/>
      <c r="E5" s="530"/>
      <c r="F5" s="530"/>
      <c r="G5" s="530"/>
      <c r="H5" s="530"/>
      <c r="I5" s="530"/>
      <c r="J5" s="530"/>
      <c r="K5" s="530"/>
      <c r="L5" s="530"/>
      <c r="M5" s="530"/>
      <c r="N5" s="530"/>
      <c r="O5" s="530"/>
      <c r="P5" s="530"/>
    </row>
    <row r="6" spans="1:18" ht="12.95" customHeight="1" x14ac:dyDescent="0.2">
      <c r="A6" s="531"/>
      <c r="B6" s="658" t="s">
        <v>0</v>
      </c>
      <c r="C6" s="658"/>
      <c r="D6" s="658"/>
      <c r="E6" s="658"/>
      <c r="F6" s="658"/>
      <c r="G6" s="658"/>
      <c r="H6" s="658"/>
      <c r="I6" s="658"/>
      <c r="J6" s="658"/>
      <c r="K6" s="658"/>
      <c r="L6" s="658"/>
      <c r="M6" s="658"/>
      <c r="N6" s="658"/>
      <c r="O6" s="658"/>
    </row>
    <row r="7" spans="1:18" x14ac:dyDescent="0.2">
      <c r="A7" s="531"/>
      <c r="B7" s="532"/>
      <c r="P7" s="165"/>
    </row>
    <row r="8" spans="1:18" x14ac:dyDescent="0.2">
      <c r="B8" s="532">
        <v>45536</v>
      </c>
      <c r="C8" s="532">
        <f>EDATE(B8,1)</f>
        <v>45566</v>
      </c>
      <c r="D8" s="532">
        <f t="shared" ref="D8:O8" si="0">EDATE(C8,1)</f>
        <v>45597</v>
      </c>
      <c r="E8" s="532">
        <f t="shared" si="0"/>
        <v>45627</v>
      </c>
      <c r="F8" s="532">
        <f t="shared" si="0"/>
        <v>45658</v>
      </c>
      <c r="G8" s="532">
        <f t="shared" si="0"/>
        <v>45689</v>
      </c>
      <c r="H8" s="532">
        <f t="shared" si="0"/>
        <v>45717</v>
      </c>
      <c r="I8" s="532">
        <f t="shared" si="0"/>
        <v>45748</v>
      </c>
      <c r="J8" s="532">
        <f t="shared" si="0"/>
        <v>45778</v>
      </c>
      <c r="K8" s="532">
        <f t="shared" si="0"/>
        <v>45809</v>
      </c>
      <c r="L8" s="532">
        <f t="shared" si="0"/>
        <v>45839</v>
      </c>
      <c r="M8" s="532">
        <f t="shared" si="0"/>
        <v>45870</v>
      </c>
      <c r="N8" s="532">
        <f t="shared" si="0"/>
        <v>45901</v>
      </c>
      <c r="O8" s="532">
        <f t="shared" si="0"/>
        <v>45931</v>
      </c>
      <c r="P8" s="533" t="str">
        <f>TEXT(D8,"MMM. YYYY - ")&amp;TEXT(O8,"MMM. YYYY")</f>
        <v>Nov. 2024 - Oct. 2025</v>
      </c>
      <c r="Q8" s="534"/>
    </row>
    <row r="9" spans="1:18" ht="12" thickBot="1" x14ac:dyDescent="0.25">
      <c r="A9" s="531" t="s">
        <v>142</v>
      </c>
      <c r="B9" s="535"/>
      <c r="C9" s="535"/>
      <c r="D9" s="535"/>
      <c r="E9" s="535"/>
      <c r="F9" s="535"/>
      <c r="G9" s="535"/>
      <c r="H9" s="535"/>
      <c r="I9" s="535"/>
      <c r="J9" s="535"/>
      <c r="K9" s="535"/>
      <c r="L9" s="535"/>
      <c r="M9" s="535"/>
      <c r="N9" s="535"/>
      <c r="O9" s="535"/>
      <c r="Q9" s="536"/>
    </row>
    <row r="10" spans="1:18" ht="12" thickTop="1" x14ac:dyDescent="0.2">
      <c r="A10" s="537" t="s">
        <v>143</v>
      </c>
      <c r="B10" s="620"/>
      <c r="C10" s="621"/>
      <c r="D10" s="621"/>
      <c r="E10" s="621"/>
      <c r="F10" s="621"/>
      <c r="G10" s="621"/>
      <c r="H10" s="621"/>
      <c r="I10" s="621"/>
      <c r="J10" s="621"/>
      <c r="K10" s="621"/>
      <c r="L10" s="621"/>
      <c r="M10" s="621"/>
      <c r="N10" s="621"/>
      <c r="O10" s="622"/>
      <c r="P10" s="453">
        <v>119683321.37787144</v>
      </c>
      <c r="Q10" s="539"/>
      <c r="R10" s="540"/>
    </row>
    <row r="11" spans="1:18" x14ac:dyDescent="0.2">
      <c r="A11" s="537" t="s">
        <v>144</v>
      </c>
      <c r="B11" s="623"/>
      <c r="C11" s="624"/>
      <c r="D11" s="624"/>
      <c r="E11" s="624"/>
      <c r="F11" s="624"/>
      <c r="G11" s="624"/>
      <c r="H11" s="624"/>
      <c r="I11" s="624"/>
      <c r="J11" s="624"/>
      <c r="K11" s="624"/>
      <c r="L11" s="624"/>
      <c r="M11" s="624"/>
      <c r="N11" s="624"/>
      <c r="O11" s="625"/>
      <c r="P11" s="619">
        <v>348253096.72485775</v>
      </c>
      <c r="Q11" s="539"/>
      <c r="R11" s="540"/>
    </row>
    <row r="12" spans="1:18" ht="12" thickBot="1" x14ac:dyDescent="0.25">
      <c r="A12" s="537" t="s">
        <v>145</v>
      </c>
      <c r="B12" s="541"/>
      <c r="C12" s="541"/>
      <c r="D12" s="541"/>
      <c r="E12" s="541"/>
      <c r="F12" s="541"/>
      <c r="G12" s="541"/>
      <c r="H12" s="541"/>
      <c r="I12" s="541"/>
      <c r="J12" s="541"/>
      <c r="K12" s="541"/>
      <c r="L12" s="541"/>
      <c r="M12" s="541"/>
      <c r="N12" s="541"/>
      <c r="O12" s="542"/>
      <c r="P12" s="538">
        <f>SUM(P10:P11)</f>
        <v>467936418.1027292</v>
      </c>
      <c r="Q12" s="539"/>
    </row>
    <row r="13" spans="1:18" ht="12" thickTop="1" x14ac:dyDescent="0.2">
      <c r="A13" s="543"/>
      <c r="B13" s="543"/>
      <c r="C13" s="544"/>
      <c r="D13" s="538"/>
      <c r="E13" s="538"/>
      <c r="F13" s="538"/>
      <c r="G13" s="538"/>
      <c r="H13" s="538"/>
      <c r="I13" s="538"/>
      <c r="J13" s="538"/>
      <c r="K13" s="538"/>
      <c r="L13" s="538"/>
      <c r="M13" s="538"/>
      <c r="N13" s="538"/>
      <c r="O13" s="538"/>
      <c r="P13" s="165"/>
    </row>
    <row r="14" spans="1:18" x14ac:dyDescent="0.2">
      <c r="C14" s="545"/>
      <c r="D14" s="545"/>
      <c r="E14" s="545"/>
      <c r="F14" s="545"/>
      <c r="G14" s="545"/>
      <c r="H14" s="545"/>
      <c r="I14" s="545"/>
      <c r="J14" s="545"/>
      <c r="K14" s="545"/>
      <c r="L14" s="545"/>
      <c r="M14" s="545"/>
      <c r="N14" s="545"/>
      <c r="O14" s="545"/>
      <c r="P14" s="534"/>
    </row>
    <row r="15" spans="1:18" x14ac:dyDescent="0.2">
      <c r="A15" s="546" t="s">
        <v>54</v>
      </c>
      <c r="B15" s="546"/>
      <c r="C15" s="547"/>
      <c r="D15" s="545"/>
      <c r="E15" s="545"/>
      <c r="F15" s="545"/>
      <c r="G15" s="545"/>
      <c r="H15" s="548"/>
      <c r="I15" s="548"/>
      <c r="J15" s="548"/>
      <c r="K15" s="548"/>
      <c r="L15" s="548"/>
      <c r="M15" s="548"/>
      <c r="N15" s="548"/>
      <c r="O15" s="548"/>
      <c r="P15" s="534"/>
      <c r="Q15" s="548"/>
    </row>
    <row r="16" spans="1:18" x14ac:dyDescent="0.2">
      <c r="A16" s="549" t="str">
        <f>TEXT(B8,"MMMM YYYY - ")&amp;TEXT(O8,"MMMM YYYY")&amp;" estimates are based on 3 month average prices ending August 31, "&amp;TEXT(C8,"YYYY.")</f>
        <v>September 2024 - October 2025 estimates are based on 3 month average prices ending August 31, 2024.</v>
      </c>
      <c r="B16" s="549"/>
      <c r="C16" s="545"/>
      <c r="D16" s="545"/>
      <c r="E16" s="545"/>
      <c r="G16" s="550"/>
      <c r="H16" s="545"/>
      <c r="I16" s="545"/>
      <c r="J16" s="545"/>
      <c r="K16" s="545"/>
      <c r="L16" s="545"/>
      <c r="M16" s="545"/>
      <c r="N16" s="545"/>
      <c r="O16" s="545"/>
      <c r="P16" s="534"/>
    </row>
    <row r="17" spans="1:18" x14ac:dyDescent="0.2">
      <c r="C17" s="551"/>
      <c r="D17" s="551"/>
      <c r="E17" s="551"/>
      <c r="F17" s="551"/>
      <c r="G17" s="114"/>
      <c r="H17" s="551"/>
      <c r="I17" s="551"/>
      <c r="J17" s="551"/>
      <c r="K17" s="551"/>
      <c r="L17" s="551"/>
      <c r="M17" s="551"/>
      <c r="N17" s="551"/>
      <c r="O17" s="551"/>
      <c r="P17" s="538"/>
    </row>
    <row r="18" spans="1:18" x14ac:dyDescent="0.2">
      <c r="C18" s="114"/>
      <c r="D18" s="114"/>
      <c r="E18" s="114"/>
      <c r="F18" s="114"/>
      <c r="G18" s="114"/>
      <c r="H18" s="551"/>
      <c r="I18" s="551"/>
      <c r="J18" s="551"/>
      <c r="K18" s="551"/>
      <c r="L18" s="551"/>
      <c r="M18" s="551"/>
      <c r="N18" s="551"/>
      <c r="O18" s="551"/>
      <c r="P18" s="538"/>
    </row>
    <row r="19" spans="1:18" s="165" customFormat="1" x14ac:dyDescent="0.2">
      <c r="A19" s="552"/>
      <c r="B19" s="552"/>
      <c r="E19" s="544"/>
      <c r="F19" s="544"/>
      <c r="G19" s="127"/>
      <c r="H19" s="544"/>
      <c r="I19" s="544"/>
      <c r="J19" s="544"/>
      <c r="K19" s="544"/>
      <c r="L19" s="544"/>
      <c r="M19" s="544"/>
      <c r="N19" s="544"/>
      <c r="O19" s="544"/>
      <c r="P19" s="544"/>
      <c r="Q19" s="544"/>
    </row>
    <row r="20" spans="1:18" s="165" customFormat="1" x14ac:dyDescent="0.2">
      <c r="A20" s="553"/>
      <c r="B20" s="553"/>
      <c r="C20" s="205"/>
      <c r="D20" s="205"/>
      <c r="E20" s="205"/>
      <c r="F20" s="205"/>
      <c r="G20" s="205"/>
      <c r="H20" s="205"/>
      <c r="I20" s="205"/>
      <c r="J20" s="205"/>
      <c r="K20" s="205"/>
      <c r="L20" s="205"/>
      <c r="M20" s="205"/>
      <c r="N20" s="205"/>
      <c r="O20" s="205"/>
      <c r="P20" s="554"/>
      <c r="Q20" s="544"/>
      <c r="R20" s="146"/>
    </row>
    <row r="21" spans="1:18" s="165" customFormat="1" x14ac:dyDescent="0.2">
      <c r="K21" s="146"/>
      <c r="Q21" s="544"/>
      <c r="R21" s="146"/>
    </row>
    <row r="22" spans="1:18" s="165" customFormat="1" x14ac:dyDescent="0.2">
      <c r="C22" s="555"/>
      <c r="D22" s="146"/>
      <c r="E22" s="146"/>
      <c r="F22" s="146"/>
      <c r="G22" s="146"/>
      <c r="H22" s="146"/>
      <c r="I22" s="146"/>
      <c r="J22" s="146"/>
      <c r="K22" s="146"/>
      <c r="L22" s="146"/>
      <c r="M22" s="146"/>
      <c r="N22" s="146"/>
      <c r="O22" s="146"/>
      <c r="P22" s="544"/>
      <c r="Q22" s="544"/>
      <c r="R22" s="146"/>
    </row>
    <row r="23" spans="1:18" s="165" customFormat="1" x14ac:dyDescent="0.2">
      <c r="C23" s="555"/>
      <c r="D23" s="146"/>
      <c r="E23" s="146"/>
      <c r="F23" s="146"/>
      <c r="G23" s="146"/>
      <c r="H23" s="146"/>
      <c r="I23" s="146"/>
      <c r="J23" s="146"/>
      <c r="K23" s="146"/>
      <c r="L23" s="146"/>
      <c r="M23" s="146"/>
      <c r="N23" s="146"/>
      <c r="O23" s="146"/>
      <c r="P23" s="544"/>
      <c r="Q23" s="544"/>
      <c r="R23" s="146"/>
    </row>
    <row r="24" spans="1:18" s="165" customFormat="1" x14ac:dyDescent="0.2">
      <c r="C24" s="127"/>
      <c r="D24" s="544"/>
      <c r="E24" s="544"/>
      <c r="F24" s="544"/>
      <c r="G24" s="544"/>
      <c r="H24" s="544"/>
      <c r="I24" s="544"/>
      <c r="J24" s="544"/>
      <c r="K24" s="544"/>
      <c r="L24" s="544"/>
      <c r="M24" s="544"/>
      <c r="N24" s="544"/>
      <c r="O24" s="544"/>
      <c r="P24" s="544"/>
      <c r="Q24" s="544"/>
      <c r="R24" s="146"/>
    </row>
    <row r="25" spans="1:18" s="165" customFormat="1" x14ac:dyDescent="0.2">
      <c r="A25" s="546"/>
      <c r="B25" s="546"/>
      <c r="C25" s="544"/>
      <c r="D25" s="544"/>
      <c r="E25" s="544"/>
      <c r="F25" s="544"/>
      <c r="G25" s="544"/>
      <c r="H25" s="544"/>
      <c r="I25" s="544"/>
      <c r="J25" s="544"/>
      <c r="K25" s="544"/>
      <c r="L25" s="544"/>
      <c r="M25" s="544"/>
      <c r="N25" s="544"/>
      <c r="O25" s="544"/>
      <c r="Q25" s="544"/>
      <c r="R25" s="146"/>
    </row>
    <row r="26" spans="1:18" s="165" customFormat="1" x14ac:dyDescent="0.2">
      <c r="A26" s="546"/>
      <c r="B26" s="546"/>
      <c r="E26" s="544"/>
      <c r="F26" s="544"/>
      <c r="G26" s="544"/>
      <c r="H26" s="544"/>
      <c r="I26" s="544"/>
      <c r="J26" s="544"/>
      <c r="K26" s="544"/>
      <c r="L26" s="544"/>
      <c r="M26" s="544"/>
      <c r="N26" s="544"/>
      <c r="O26" s="544"/>
      <c r="P26" s="544"/>
      <c r="Q26" s="544"/>
    </row>
    <row r="27" spans="1:18" s="165" customFormat="1" x14ac:dyDescent="0.2">
      <c r="A27" s="546"/>
      <c r="B27" s="546"/>
      <c r="C27" s="205"/>
      <c r="G27" s="556"/>
      <c r="H27" s="556"/>
      <c r="I27" s="556"/>
      <c r="J27" s="556"/>
      <c r="K27" s="556"/>
      <c r="L27" s="556"/>
      <c r="M27" s="556"/>
      <c r="N27" s="556"/>
      <c r="O27" s="556"/>
      <c r="Q27" s="557"/>
    </row>
    <row r="28" spans="1:18" s="165" customFormat="1" x14ac:dyDescent="0.2">
      <c r="G28" s="558"/>
      <c r="H28" s="558"/>
      <c r="I28" s="558"/>
      <c r="J28" s="558"/>
      <c r="K28" s="558"/>
      <c r="L28" s="558"/>
      <c r="M28" s="558"/>
      <c r="N28" s="558"/>
      <c r="O28" s="558"/>
    </row>
    <row r="29" spans="1:18" s="165" customFormat="1" x14ac:dyDescent="0.2">
      <c r="A29" s="546"/>
      <c r="B29" s="546"/>
      <c r="C29" s="555"/>
      <c r="G29" s="559"/>
      <c r="H29" s="559"/>
      <c r="I29" s="559"/>
      <c r="J29" s="559"/>
      <c r="K29" s="559"/>
      <c r="L29" s="559"/>
      <c r="M29" s="559"/>
      <c r="N29" s="559"/>
      <c r="O29" s="559"/>
    </row>
    <row r="30" spans="1:18" s="165" customFormat="1" x14ac:dyDescent="0.2">
      <c r="C30" s="555"/>
    </row>
    <row r="31" spans="1:18" s="165" customFormat="1" x14ac:dyDescent="0.2">
      <c r="C31" s="127"/>
      <c r="H31" s="558"/>
      <c r="I31" s="558"/>
      <c r="J31" s="558"/>
      <c r="K31" s="558"/>
      <c r="L31" s="558"/>
      <c r="M31" s="558"/>
      <c r="N31" s="558"/>
      <c r="O31" s="558"/>
      <c r="Q31" s="558"/>
    </row>
    <row r="32" spans="1:18" s="165" customFormat="1" x14ac:dyDescent="0.2"/>
    <row r="33" s="165" customFormat="1" x14ac:dyDescent="0.2"/>
    <row r="34" s="165" customFormat="1" x14ac:dyDescent="0.2"/>
    <row r="35" s="165" customFormat="1" x14ac:dyDescent="0.2"/>
    <row r="36" s="165" customFormat="1" x14ac:dyDescent="0.2"/>
    <row r="37" s="165" customFormat="1" x14ac:dyDescent="0.2"/>
    <row r="38" s="165" customFormat="1" x14ac:dyDescent="0.2"/>
    <row r="39" s="165" customFormat="1" x14ac:dyDescent="0.2"/>
    <row r="40" s="165" customFormat="1" x14ac:dyDescent="0.2"/>
    <row r="41" s="165" customFormat="1" x14ac:dyDescent="0.2"/>
  </sheetData>
  <mergeCells count="5">
    <mergeCell ref="A1:P1"/>
    <mergeCell ref="A2:P2"/>
    <mergeCell ref="A3:P3"/>
    <mergeCell ref="A4:P4"/>
    <mergeCell ref="B6:O6"/>
  </mergeCells>
  <printOptions horizontalCentered="1"/>
  <pageMargins left="0" right="0" top="1" bottom="1" header="0.5" footer="0.5"/>
  <pageSetup scale="73" orientation="landscape" r:id="rId1"/>
  <headerFooter alignWithMargins="0">
    <oddFooter>&amp;L&amp;F
&amp;A&amp;RPage &amp;P of &amp;N</oddFooter>
  </headerFooter>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171"/>
  <sheetViews>
    <sheetView zoomScaleNormal="100" workbookViewId="0">
      <pane xSplit="2" ySplit="3" topLeftCell="C4" activePane="bottomRight" state="frozen"/>
      <selection activeCell="S41" sqref="S41"/>
      <selection pane="topRight" activeCell="S41" sqref="S41"/>
      <selection pane="bottomLeft" activeCell="S41" sqref="S41"/>
      <selection pane="bottomRight" activeCell="C134" sqref="C134"/>
    </sheetView>
  </sheetViews>
  <sheetFormatPr defaultColWidth="9.140625" defaultRowHeight="11.25" x14ac:dyDescent="0.2"/>
  <cols>
    <col min="1" max="1" width="4.42578125" style="24" customWidth="1"/>
    <col min="2" max="2" width="36.28515625" style="24" bestFit="1" customWidth="1"/>
    <col min="3" max="3" width="10.7109375" style="24" bestFit="1" customWidth="1"/>
    <col min="4" max="4" width="11.28515625" style="24" bestFit="1" customWidth="1"/>
    <col min="5" max="16" width="10.7109375" style="24" bestFit="1" customWidth="1"/>
    <col min="17" max="21" width="12.85546875" style="121" bestFit="1" customWidth="1"/>
    <col min="22" max="22" width="11.85546875" style="121" bestFit="1" customWidth="1"/>
    <col min="23" max="16384" width="9.140625" style="24"/>
  </cols>
  <sheetData>
    <row r="1" spans="1:22" x14ac:dyDescent="0.2">
      <c r="A1" s="23" t="s">
        <v>1</v>
      </c>
    </row>
    <row r="2" spans="1:22" ht="12" thickBot="1" x14ac:dyDescent="0.25">
      <c r="A2" s="23" t="s">
        <v>146</v>
      </c>
    </row>
    <row r="3" spans="1:22" x14ac:dyDescent="0.2">
      <c r="C3" s="417">
        <f>'Therm Forecast'!B7</f>
        <v>45536</v>
      </c>
      <c r="D3" s="208">
        <f>EDATE(C3,1)</f>
        <v>45566</v>
      </c>
      <c r="E3" s="209">
        <f t="shared" ref="E3:P3" si="0">EDATE(D3,1)</f>
        <v>45597</v>
      </c>
      <c r="F3" s="210">
        <f t="shared" si="0"/>
        <v>45627</v>
      </c>
      <c r="G3" s="210">
        <f t="shared" si="0"/>
        <v>45658</v>
      </c>
      <c r="H3" s="210">
        <f t="shared" si="0"/>
        <v>45689</v>
      </c>
      <c r="I3" s="210">
        <f t="shared" si="0"/>
        <v>45717</v>
      </c>
      <c r="J3" s="210">
        <f t="shared" si="0"/>
        <v>45748</v>
      </c>
      <c r="K3" s="210">
        <f t="shared" si="0"/>
        <v>45778</v>
      </c>
      <c r="L3" s="210">
        <f t="shared" si="0"/>
        <v>45809</v>
      </c>
      <c r="M3" s="210">
        <f t="shared" si="0"/>
        <v>45839</v>
      </c>
      <c r="N3" s="210">
        <f t="shared" si="0"/>
        <v>45870</v>
      </c>
      <c r="O3" s="210">
        <f t="shared" si="0"/>
        <v>45901</v>
      </c>
      <c r="P3" s="211">
        <f t="shared" si="0"/>
        <v>45931</v>
      </c>
      <c r="Q3" s="130"/>
      <c r="R3" s="130"/>
      <c r="S3" s="130"/>
      <c r="T3" s="130"/>
      <c r="U3" s="130"/>
      <c r="V3" s="130"/>
    </row>
    <row r="4" spans="1:22" x14ac:dyDescent="0.2">
      <c r="A4" s="23" t="s">
        <v>147</v>
      </c>
      <c r="E4" s="212"/>
      <c r="F4" s="121"/>
      <c r="G4" s="121"/>
      <c r="H4" s="121"/>
      <c r="I4" s="121"/>
      <c r="J4" s="121"/>
      <c r="K4" s="121"/>
      <c r="L4" s="121"/>
      <c r="M4" s="121"/>
      <c r="N4" s="121"/>
      <c r="O4" s="121"/>
      <c r="P4" s="213"/>
    </row>
    <row r="5" spans="1:22" x14ac:dyDescent="0.2">
      <c r="B5" s="24" t="s">
        <v>148</v>
      </c>
      <c r="C5" s="418">
        <f>'Therm Forecast'!B8</f>
        <v>20168264</v>
      </c>
      <c r="D5" s="418">
        <f>'Therm Forecast'!C8</f>
        <v>42822302</v>
      </c>
      <c r="E5" s="419">
        <f>'Therm Forecast'!D8</f>
        <v>68561565</v>
      </c>
      <c r="F5" s="214">
        <f>'Therm Forecast'!E8</f>
        <v>88045090</v>
      </c>
      <c r="G5" s="214">
        <f>'Therm Forecast'!F8</f>
        <v>84091990</v>
      </c>
      <c r="H5" s="214">
        <f>'Therm Forecast'!G8</f>
        <v>72855060</v>
      </c>
      <c r="I5" s="214">
        <f>'Therm Forecast'!H8</f>
        <v>65707108</v>
      </c>
      <c r="J5" s="214">
        <f>'Therm Forecast'!I8</f>
        <v>45647376</v>
      </c>
      <c r="K5" s="214">
        <f>'Therm Forecast'!J8</f>
        <v>27871265</v>
      </c>
      <c r="L5" s="214">
        <f>'Therm Forecast'!K8</f>
        <v>19273637</v>
      </c>
      <c r="M5" s="214">
        <f>'Therm Forecast'!L8</f>
        <v>14492879</v>
      </c>
      <c r="N5" s="214">
        <f>'Therm Forecast'!M8</f>
        <v>14574848</v>
      </c>
      <c r="O5" s="214">
        <f>'Therm Forecast'!N8</f>
        <v>19979616</v>
      </c>
      <c r="P5" s="420">
        <f>'Therm Forecast'!O8</f>
        <v>42276981</v>
      </c>
      <c r="Q5" s="214"/>
      <c r="R5" s="214"/>
      <c r="S5" s="214"/>
      <c r="T5" s="214"/>
      <c r="U5" s="214"/>
      <c r="V5" s="214"/>
    </row>
    <row r="6" spans="1:22" x14ac:dyDescent="0.2">
      <c r="B6" s="24" t="s">
        <v>149</v>
      </c>
      <c r="C6" s="418">
        <f>'Therm Forecast'!B9</f>
        <v>513</v>
      </c>
      <c r="D6" s="418">
        <f>'Therm Forecast'!C9</f>
        <v>513</v>
      </c>
      <c r="E6" s="419">
        <f>'Therm Forecast'!D9</f>
        <v>513</v>
      </c>
      <c r="F6" s="214">
        <f>'Therm Forecast'!E9</f>
        <v>513</v>
      </c>
      <c r="G6" s="214">
        <f>'Therm Forecast'!F9</f>
        <v>513</v>
      </c>
      <c r="H6" s="214">
        <f>'Therm Forecast'!G9</f>
        <v>513</v>
      </c>
      <c r="I6" s="214">
        <f>'Therm Forecast'!H9</f>
        <v>513</v>
      </c>
      <c r="J6" s="214">
        <f>'Therm Forecast'!I9</f>
        <v>513</v>
      </c>
      <c r="K6" s="214">
        <f>'Therm Forecast'!J9</f>
        <v>513</v>
      </c>
      <c r="L6" s="214">
        <f>'Therm Forecast'!K9</f>
        <v>513</v>
      </c>
      <c r="M6" s="214">
        <f>'Therm Forecast'!L9</f>
        <v>513</v>
      </c>
      <c r="N6" s="214">
        <f>'Therm Forecast'!M9</f>
        <v>513</v>
      </c>
      <c r="O6" s="214">
        <f>'Therm Forecast'!N9</f>
        <v>513</v>
      </c>
      <c r="P6" s="420">
        <f>'Therm Forecast'!O9</f>
        <v>513</v>
      </c>
      <c r="Q6" s="214"/>
      <c r="R6" s="214"/>
      <c r="S6" s="214"/>
      <c r="T6" s="214"/>
      <c r="U6" s="214"/>
      <c r="V6" s="214"/>
    </row>
    <row r="7" spans="1:22" x14ac:dyDescent="0.2">
      <c r="B7" s="24" t="s">
        <v>150</v>
      </c>
      <c r="C7" s="418">
        <f>'Therm Forecast'!B10</f>
        <v>11480160</v>
      </c>
      <c r="D7" s="418">
        <f>'Therm Forecast'!C10</f>
        <v>19335828</v>
      </c>
      <c r="E7" s="419">
        <f>'Therm Forecast'!D10</f>
        <v>28059624</v>
      </c>
      <c r="F7" s="214">
        <f>'Therm Forecast'!E10</f>
        <v>34226937</v>
      </c>
      <c r="G7" s="214">
        <f>'Therm Forecast'!F10</f>
        <v>29692885</v>
      </c>
      <c r="H7" s="214">
        <f>'Therm Forecast'!G10</f>
        <v>26316395</v>
      </c>
      <c r="I7" s="214">
        <f>'Therm Forecast'!H10</f>
        <v>23569963</v>
      </c>
      <c r="J7" s="214">
        <f>'Therm Forecast'!I10</f>
        <v>16996414</v>
      </c>
      <c r="K7" s="214">
        <f>'Therm Forecast'!J10</f>
        <v>12050268</v>
      </c>
      <c r="L7" s="214">
        <f>'Therm Forecast'!K10</f>
        <v>9905036</v>
      </c>
      <c r="M7" s="214">
        <f>'Therm Forecast'!L10</f>
        <v>8713537</v>
      </c>
      <c r="N7" s="214">
        <f>'Therm Forecast'!M10</f>
        <v>9689232</v>
      </c>
      <c r="O7" s="214">
        <f>'Therm Forecast'!N10</f>
        <v>11580729</v>
      </c>
      <c r="P7" s="420">
        <f>'Therm Forecast'!O10</f>
        <v>19315268</v>
      </c>
      <c r="Q7" s="214"/>
      <c r="R7" s="214"/>
      <c r="S7" s="214"/>
      <c r="T7" s="214"/>
      <c r="U7" s="214"/>
      <c r="V7" s="214"/>
    </row>
    <row r="8" spans="1:22" x14ac:dyDescent="0.2">
      <c r="B8" s="24" t="s">
        <v>151</v>
      </c>
      <c r="C8" s="418">
        <f>'Therm Forecast'!B11</f>
        <v>3725436</v>
      </c>
      <c r="D8" s="418">
        <f>'Therm Forecast'!C11</f>
        <v>5759243</v>
      </c>
      <c r="E8" s="419">
        <f>'Therm Forecast'!D11</f>
        <v>7645788</v>
      </c>
      <c r="F8" s="214">
        <f>'Therm Forecast'!E11</f>
        <v>8339839</v>
      </c>
      <c r="G8" s="214">
        <f>'Therm Forecast'!F11</f>
        <v>7128146</v>
      </c>
      <c r="H8" s="214">
        <f>'Therm Forecast'!G11</f>
        <v>6663689</v>
      </c>
      <c r="I8" s="214">
        <f>'Therm Forecast'!H11</f>
        <v>6195978</v>
      </c>
      <c r="J8" s="214">
        <f>'Therm Forecast'!I11</f>
        <v>4825720</v>
      </c>
      <c r="K8" s="214">
        <f>'Therm Forecast'!J11</f>
        <v>3787419</v>
      </c>
      <c r="L8" s="214">
        <f>'Therm Forecast'!K11</f>
        <v>3273804</v>
      </c>
      <c r="M8" s="214">
        <f>'Therm Forecast'!L11</f>
        <v>2790751</v>
      </c>
      <c r="N8" s="214">
        <f>'Therm Forecast'!M11</f>
        <v>3064107</v>
      </c>
      <c r="O8" s="214">
        <f>'Therm Forecast'!N11</f>
        <v>3691483</v>
      </c>
      <c r="P8" s="420">
        <f>'Therm Forecast'!O11</f>
        <v>5652301</v>
      </c>
      <c r="Q8" s="214"/>
      <c r="R8" s="214"/>
      <c r="S8" s="214"/>
      <c r="T8" s="214"/>
      <c r="U8" s="214"/>
      <c r="V8" s="214"/>
    </row>
    <row r="9" spans="1:22" x14ac:dyDescent="0.2">
      <c r="B9" s="24" t="s">
        <v>152</v>
      </c>
      <c r="C9" s="418">
        <f>'Therm Forecast'!B12</f>
        <v>1050615</v>
      </c>
      <c r="D9" s="418">
        <f>'Therm Forecast'!C12</f>
        <v>1529560</v>
      </c>
      <c r="E9" s="419">
        <f>'Therm Forecast'!D12</f>
        <v>1521921</v>
      </c>
      <c r="F9" s="214">
        <f>'Therm Forecast'!E12</f>
        <v>1894548</v>
      </c>
      <c r="G9" s="214">
        <f>'Therm Forecast'!F12</f>
        <v>1910561</v>
      </c>
      <c r="H9" s="214">
        <f>'Therm Forecast'!G12</f>
        <v>1650567</v>
      </c>
      <c r="I9" s="214">
        <f>'Therm Forecast'!H12</f>
        <v>1719109</v>
      </c>
      <c r="J9" s="214">
        <f>'Therm Forecast'!I12</f>
        <v>1552464</v>
      </c>
      <c r="K9" s="214">
        <f>'Therm Forecast'!J12</f>
        <v>1422984</v>
      </c>
      <c r="L9" s="214">
        <f>'Therm Forecast'!K12</f>
        <v>1209166</v>
      </c>
      <c r="M9" s="214">
        <f>'Therm Forecast'!L12</f>
        <v>1112660</v>
      </c>
      <c r="N9" s="214">
        <f>'Therm Forecast'!M12</f>
        <v>1070071</v>
      </c>
      <c r="O9" s="214">
        <f>'Therm Forecast'!N12</f>
        <v>1005779</v>
      </c>
      <c r="P9" s="420">
        <f>'Therm Forecast'!O12</f>
        <v>1463922</v>
      </c>
      <c r="Q9" s="214"/>
      <c r="R9" s="214"/>
      <c r="S9" s="214"/>
      <c r="T9" s="214"/>
      <c r="U9" s="214"/>
      <c r="V9" s="214"/>
    </row>
    <row r="10" spans="1:22" x14ac:dyDescent="0.2">
      <c r="B10" s="24" t="s">
        <v>153</v>
      </c>
      <c r="C10" s="418">
        <f>'Therm Forecast'!B13</f>
        <v>18421</v>
      </c>
      <c r="D10" s="418">
        <f>'Therm Forecast'!C13</f>
        <v>252428</v>
      </c>
      <c r="E10" s="419">
        <f>'Therm Forecast'!D13</f>
        <v>470457</v>
      </c>
      <c r="F10" s="214">
        <f>'Therm Forecast'!E13</f>
        <v>751774</v>
      </c>
      <c r="G10" s="214">
        <f>'Therm Forecast'!F13</f>
        <v>800487</v>
      </c>
      <c r="H10" s="214">
        <f>'Therm Forecast'!G13</f>
        <v>670382</v>
      </c>
      <c r="I10" s="214">
        <f>'Therm Forecast'!H13</f>
        <v>676505</v>
      </c>
      <c r="J10" s="214">
        <f>'Therm Forecast'!I13</f>
        <v>514139</v>
      </c>
      <c r="K10" s="214">
        <f>'Therm Forecast'!J13</f>
        <v>381780</v>
      </c>
      <c r="L10" s="214">
        <f>'Therm Forecast'!K13</f>
        <v>224267</v>
      </c>
      <c r="M10" s="214">
        <f>'Therm Forecast'!L13</f>
        <v>109878</v>
      </c>
      <c r="N10" s="214">
        <f>'Therm Forecast'!M13</f>
        <v>44384</v>
      </c>
      <c r="O10" s="214">
        <f>'Therm Forecast'!N13</f>
        <v>69259</v>
      </c>
      <c r="P10" s="420">
        <f>'Therm Forecast'!O13</f>
        <v>294326</v>
      </c>
      <c r="Q10" s="214"/>
      <c r="R10" s="214"/>
      <c r="S10" s="214"/>
      <c r="T10" s="214"/>
      <c r="U10" s="214"/>
      <c r="V10" s="214"/>
    </row>
    <row r="11" spans="1:22" x14ac:dyDescent="0.2">
      <c r="B11" s="24" t="s">
        <v>154</v>
      </c>
      <c r="C11" s="418">
        <f>'Therm Forecast'!B14</f>
        <v>1087875</v>
      </c>
      <c r="D11" s="418">
        <f>'Therm Forecast'!C14</f>
        <v>1911160</v>
      </c>
      <c r="E11" s="419">
        <f>'Therm Forecast'!D14</f>
        <v>1765043</v>
      </c>
      <c r="F11" s="421">
        <f>'Therm Forecast'!E14</f>
        <v>2187646</v>
      </c>
      <c r="G11" s="214">
        <f>'Therm Forecast'!F14</f>
        <v>2060563</v>
      </c>
      <c r="H11" s="214">
        <f>'Therm Forecast'!G14</f>
        <v>1710298</v>
      </c>
      <c r="I11" s="214">
        <f>'Therm Forecast'!H14</f>
        <v>1713137</v>
      </c>
      <c r="J11" s="214">
        <f>'Therm Forecast'!I14</f>
        <v>1452440</v>
      </c>
      <c r="K11" s="214">
        <f>'Therm Forecast'!J14</f>
        <v>1346088</v>
      </c>
      <c r="L11" s="214">
        <f>'Therm Forecast'!K14</f>
        <v>1193038</v>
      </c>
      <c r="M11" s="214">
        <f>'Therm Forecast'!L14</f>
        <v>1170945</v>
      </c>
      <c r="N11" s="214">
        <f>'Therm Forecast'!M14</f>
        <v>1098169</v>
      </c>
      <c r="O11" s="214">
        <f>'Therm Forecast'!N14</f>
        <v>1005515</v>
      </c>
      <c r="P11" s="420">
        <f>'Therm Forecast'!O14</f>
        <v>1783820</v>
      </c>
      <c r="Q11" s="214"/>
      <c r="R11" s="214"/>
      <c r="S11" s="214"/>
      <c r="T11" s="214"/>
      <c r="U11" s="214"/>
      <c r="V11" s="214"/>
    </row>
    <row r="12" spans="1:22" ht="13.5" customHeight="1" x14ac:dyDescent="0.2">
      <c r="B12" s="24" t="s">
        <v>155</v>
      </c>
      <c r="C12" s="215">
        <f>SUM(C5:C11)</f>
        <v>37531284</v>
      </c>
      <c r="D12" s="215">
        <f t="shared" ref="D12:P12" si="1">SUM(D5:D11)</f>
        <v>71611034</v>
      </c>
      <c r="E12" s="216">
        <f t="shared" si="1"/>
        <v>108024911</v>
      </c>
      <c r="F12" s="215">
        <f t="shared" si="1"/>
        <v>135446347</v>
      </c>
      <c r="G12" s="215">
        <f t="shared" si="1"/>
        <v>125685145</v>
      </c>
      <c r="H12" s="215">
        <f t="shared" si="1"/>
        <v>109866904</v>
      </c>
      <c r="I12" s="215">
        <f t="shared" si="1"/>
        <v>99582313</v>
      </c>
      <c r="J12" s="215">
        <f t="shared" si="1"/>
        <v>70989066</v>
      </c>
      <c r="K12" s="215">
        <f t="shared" si="1"/>
        <v>46860317</v>
      </c>
      <c r="L12" s="215">
        <f t="shared" si="1"/>
        <v>35079461</v>
      </c>
      <c r="M12" s="215">
        <f t="shared" si="1"/>
        <v>28391163</v>
      </c>
      <c r="N12" s="215">
        <f t="shared" si="1"/>
        <v>29541324</v>
      </c>
      <c r="O12" s="215">
        <f t="shared" si="1"/>
        <v>37332894</v>
      </c>
      <c r="P12" s="217">
        <f t="shared" si="1"/>
        <v>70787131</v>
      </c>
      <c r="Q12" s="169"/>
      <c r="R12" s="169"/>
      <c r="S12" s="169"/>
      <c r="T12" s="169"/>
      <c r="U12" s="169"/>
      <c r="V12" s="169"/>
    </row>
    <row r="13" spans="1:22" x14ac:dyDescent="0.2">
      <c r="B13" s="24" t="s">
        <v>156</v>
      </c>
      <c r="C13" s="418">
        <f>'Therm Forecast'!B16</f>
        <v>17725040</v>
      </c>
      <c r="D13" s="418">
        <f>'Therm Forecast'!C16</f>
        <v>15515256</v>
      </c>
      <c r="E13" s="422">
        <f>'Therm Forecast'!D16</f>
        <v>15790970</v>
      </c>
      <c r="F13" s="423">
        <f>'Therm Forecast'!E16</f>
        <v>15834352</v>
      </c>
      <c r="G13" s="423">
        <f>'Therm Forecast'!F16</f>
        <v>14343644</v>
      </c>
      <c r="H13" s="423">
        <f>'Therm Forecast'!G16</f>
        <v>16972478</v>
      </c>
      <c r="I13" s="423">
        <f>'Therm Forecast'!H16</f>
        <v>14661441</v>
      </c>
      <c r="J13" s="423">
        <f>'Therm Forecast'!I16</f>
        <v>15942609</v>
      </c>
      <c r="K13" s="423">
        <f>'Therm Forecast'!J16</f>
        <v>15258759</v>
      </c>
      <c r="L13" s="423">
        <f>'Therm Forecast'!K16</f>
        <v>15594339</v>
      </c>
      <c r="M13" s="423">
        <f>'Therm Forecast'!L16</f>
        <v>15288476</v>
      </c>
      <c r="N13" s="423">
        <f>'Therm Forecast'!M16</f>
        <v>14934270</v>
      </c>
      <c r="O13" s="423">
        <f>'Therm Forecast'!N16</f>
        <v>15769742</v>
      </c>
      <c r="P13" s="424">
        <f>'Therm Forecast'!O16</f>
        <v>14846942</v>
      </c>
      <c r="Q13" s="214"/>
      <c r="R13" s="214"/>
      <c r="S13" s="214"/>
      <c r="T13" s="214"/>
      <c r="U13" s="214"/>
      <c r="V13" s="214"/>
    </row>
    <row r="14" spans="1:22" x14ac:dyDescent="0.2">
      <c r="C14" s="218"/>
      <c r="D14" s="218"/>
      <c r="E14" s="219"/>
      <c r="F14" s="220"/>
      <c r="G14" s="220"/>
      <c r="H14" s="220"/>
      <c r="I14" s="220"/>
      <c r="J14" s="220"/>
      <c r="K14" s="220"/>
      <c r="L14" s="220"/>
      <c r="M14" s="220"/>
      <c r="N14" s="220"/>
      <c r="O14" s="220"/>
      <c r="P14" s="221"/>
    </row>
    <row r="15" spans="1:22" x14ac:dyDescent="0.2">
      <c r="E15" s="212"/>
      <c r="F15" s="121"/>
      <c r="G15" s="121"/>
      <c r="H15" s="121"/>
      <c r="I15" s="121"/>
      <c r="J15" s="121"/>
      <c r="K15" s="121"/>
      <c r="L15" s="121"/>
      <c r="M15" s="121"/>
      <c r="N15" s="121"/>
      <c r="O15" s="121"/>
      <c r="P15" s="213"/>
    </row>
    <row r="16" spans="1:22" x14ac:dyDescent="0.2">
      <c r="B16" s="24" t="s">
        <v>157</v>
      </c>
      <c r="C16" s="425">
        <f>'Therm Forecast'!B25</f>
        <v>434244</v>
      </c>
      <c r="D16" s="426">
        <f>'Therm Forecast'!C25</f>
        <v>434244</v>
      </c>
      <c r="E16" s="427">
        <f>'Therm Forecast'!D25</f>
        <v>434244</v>
      </c>
      <c r="F16" s="428">
        <f>'Therm Forecast'!E25</f>
        <v>434244</v>
      </c>
      <c r="G16" s="428">
        <f>'Therm Forecast'!F25</f>
        <v>434244</v>
      </c>
      <c r="H16" s="428">
        <f>'Therm Forecast'!G25</f>
        <v>434244</v>
      </c>
      <c r="I16" s="428">
        <f>'Therm Forecast'!H25</f>
        <v>434244</v>
      </c>
      <c r="J16" s="428">
        <f>'Therm Forecast'!I25</f>
        <v>434244</v>
      </c>
      <c r="K16" s="428">
        <f>'Therm Forecast'!J25</f>
        <v>434244</v>
      </c>
      <c r="L16" s="428">
        <f>'Therm Forecast'!K25</f>
        <v>434244</v>
      </c>
      <c r="M16" s="428">
        <f>'Therm Forecast'!L25</f>
        <v>434244</v>
      </c>
      <c r="N16" s="428">
        <f>'Therm Forecast'!M25</f>
        <v>434244</v>
      </c>
      <c r="O16" s="428">
        <f>'Therm Forecast'!N25</f>
        <v>434244</v>
      </c>
      <c r="P16" s="429">
        <f>'Therm Forecast'!O25</f>
        <v>434244</v>
      </c>
    </row>
    <row r="17" spans="1:16" x14ac:dyDescent="0.2">
      <c r="B17" s="24" t="s">
        <v>158</v>
      </c>
      <c r="C17" s="425">
        <f>'Therm Forecast'!B26</f>
        <v>11785</v>
      </c>
      <c r="D17" s="426">
        <f>'Therm Forecast'!C26</f>
        <v>11785</v>
      </c>
      <c r="E17" s="427">
        <f>'Therm Forecast'!D26</f>
        <v>11785</v>
      </c>
      <c r="F17" s="428">
        <f>'Therm Forecast'!E26</f>
        <v>11785</v>
      </c>
      <c r="G17" s="428">
        <f>'Therm Forecast'!F26</f>
        <v>11785</v>
      </c>
      <c r="H17" s="428">
        <f>'Therm Forecast'!G26</f>
        <v>11785</v>
      </c>
      <c r="I17" s="428">
        <f>'Therm Forecast'!H26</f>
        <v>11785</v>
      </c>
      <c r="J17" s="428">
        <f>'Therm Forecast'!I26</f>
        <v>11785</v>
      </c>
      <c r="K17" s="428">
        <f>'Therm Forecast'!J26</f>
        <v>11785</v>
      </c>
      <c r="L17" s="428">
        <f>'Therm Forecast'!K26</f>
        <v>11785</v>
      </c>
      <c r="M17" s="428">
        <f>'Therm Forecast'!L26</f>
        <v>11785</v>
      </c>
      <c r="N17" s="428">
        <f>'Therm Forecast'!M26</f>
        <v>11785</v>
      </c>
      <c r="O17" s="428">
        <f>'Therm Forecast'!N26</f>
        <v>11785</v>
      </c>
      <c r="P17" s="429">
        <f>'Therm Forecast'!O26</f>
        <v>11785</v>
      </c>
    </row>
    <row r="18" spans="1:16" x14ac:dyDescent="0.2">
      <c r="B18" s="24" t="s">
        <v>159</v>
      </c>
      <c r="C18" s="425">
        <f>'Therm Forecast'!B27</f>
        <v>2657</v>
      </c>
      <c r="D18" s="426">
        <f>'Therm Forecast'!C27</f>
        <v>2657</v>
      </c>
      <c r="E18" s="427">
        <f>'Therm Forecast'!D27</f>
        <v>2657</v>
      </c>
      <c r="F18" s="428">
        <f>'Therm Forecast'!E27</f>
        <v>2657</v>
      </c>
      <c r="G18" s="428">
        <f>'Therm Forecast'!F27</f>
        <v>2657</v>
      </c>
      <c r="H18" s="428">
        <f>'Therm Forecast'!G27</f>
        <v>2657</v>
      </c>
      <c r="I18" s="428">
        <f>'Therm Forecast'!H27</f>
        <v>2657</v>
      </c>
      <c r="J18" s="428">
        <f>'Therm Forecast'!I27</f>
        <v>2657</v>
      </c>
      <c r="K18" s="428">
        <f>'Therm Forecast'!J27</f>
        <v>2657</v>
      </c>
      <c r="L18" s="428">
        <f>'Therm Forecast'!K27</f>
        <v>2657</v>
      </c>
      <c r="M18" s="428">
        <f>'Therm Forecast'!L27</f>
        <v>2657</v>
      </c>
      <c r="N18" s="428">
        <f>'Therm Forecast'!M27</f>
        <v>2657</v>
      </c>
      <c r="O18" s="428">
        <f>'Therm Forecast'!N27</f>
        <v>2657</v>
      </c>
      <c r="P18" s="429">
        <f>'Therm Forecast'!O27</f>
        <v>2657</v>
      </c>
    </row>
    <row r="19" spans="1:16" x14ac:dyDescent="0.2">
      <c r="B19" s="24" t="s">
        <v>160</v>
      </c>
      <c r="C19" s="430">
        <f>'Therm Forecast'!B28</f>
        <v>0</v>
      </c>
      <c r="D19" s="426">
        <f>'Therm Forecast'!C28</f>
        <v>0</v>
      </c>
      <c r="E19" s="427">
        <f>'Therm Forecast'!D28</f>
        <v>0</v>
      </c>
      <c r="F19" s="428">
        <f>'Therm Forecast'!E28</f>
        <v>0</v>
      </c>
      <c r="G19" s="428">
        <f>'Therm Forecast'!F28</f>
        <v>0</v>
      </c>
      <c r="H19" s="428">
        <f>'Therm Forecast'!G28</f>
        <v>0</v>
      </c>
      <c r="I19" s="428">
        <f>'Therm Forecast'!H28</f>
        <v>0</v>
      </c>
      <c r="J19" s="428">
        <f>'Therm Forecast'!I28</f>
        <v>0</v>
      </c>
      <c r="K19" s="428">
        <f>'Therm Forecast'!J28</f>
        <v>0</v>
      </c>
      <c r="L19" s="428">
        <f>'Therm Forecast'!K28</f>
        <v>0</v>
      </c>
      <c r="M19" s="428">
        <f>'Therm Forecast'!L28</f>
        <v>0</v>
      </c>
      <c r="N19" s="428">
        <f>'Therm Forecast'!M28</f>
        <v>0</v>
      </c>
      <c r="O19" s="428">
        <f>'Therm Forecast'!N28</f>
        <v>0</v>
      </c>
      <c r="P19" s="429">
        <f>'Therm Forecast'!O28</f>
        <v>0</v>
      </c>
    </row>
    <row r="20" spans="1:16" x14ac:dyDescent="0.2">
      <c r="B20" s="24" t="s">
        <v>10</v>
      </c>
      <c r="C20" s="222">
        <f t="shared" ref="C20:P20" si="2">SUM(C16:C19)</f>
        <v>448686</v>
      </c>
      <c r="D20" s="222">
        <f t="shared" si="2"/>
        <v>448686</v>
      </c>
      <c r="E20" s="223">
        <f t="shared" si="2"/>
        <v>448686</v>
      </c>
      <c r="F20" s="222">
        <f t="shared" si="2"/>
        <v>448686</v>
      </c>
      <c r="G20" s="222">
        <f t="shared" si="2"/>
        <v>448686</v>
      </c>
      <c r="H20" s="222">
        <f t="shared" si="2"/>
        <v>448686</v>
      </c>
      <c r="I20" s="222">
        <f t="shared" si="2"/>
        <v>448686</v>
      </c>
      <c r="J20" s="222">
        <f t="shared" si="2"/>
        <v>448686</v>
      </c>
      <c r="K20" s="222">
        <f t="shared" si="2"/>
        <v>448686</v>
      </c>
      <c r="L20" s="222">
        <f t="shared" si="2"/>
        <v>448686</v>
      </c>
      <c r="M20" s="222">
        <f t="shared" si="2"/>
        <v>448686</v>
      </c>
      <c r="N20" s="222">
        <f t="shared" si="2"/>
        <v>448686</v>
      </c>
      <c r="O20" s="222">
        <f t="shared" si="2"/>
        <v>448686</v>
      </c>
      <c r="P20" s="224">
        <f t="shared" si="2"/>
        <v>448686</v>
      </c>
    </row>
    <row r="21" spans="1:16" x14ac:dyDescent="0.2">
      <c r="E21" s="212"/>
      <c r="F21" s="121"/>
      <c r="G21" s="121"/>
      <c r="H21" s="121"/>
      <c r="I21" s="121"/>
      <c r="J21" s="121"/>
      <c r="K21" s="121"/>
      <c r="L21" s="121"/>
      <c r="M21" s="121"/>
      <c r="N21" s="121"/>
      <c r="O21" s="121"/>
      <c r="P21" s="213"/>
    </row>
    <row r="22" spans="1:16" x14ac:dyDescent="0.2">
      <c r="A22" s="23" t="s">
        <v>161</v>
      </c>
      <c r="E22" s="212"/>
      <c r="F22" s="121"/>
      <c r="G22" s="121"/>
      <c r="H22" s="121"/>
      <c r="I22" s="121"/>
      <c r="J22" s="121"/>
      <c r="K22" s="121"/>
      <c r="L22" s="121"/>
      <c r="M22" s="121"/>
      <c r="N22" s="121"/>
      <c r="O22" s="121"/>
      <c r="P22" s="213"/>
    </row>
    <row r="23" spans="1:16" x14ac:dyDescent="0.2">
      <c r="A23" s="225" t="s">
        <v>162</v>
      </c>
      <c r="E23" s="212"/>
      <c r="F23" s="121"/>
      <c r="G23" s="121"/>
      <c r="H23" s="121"/>
      <c r="I23" s="121"/>
      <c r="J23" s="121"/>
      <c r="K23" s="121"/>
      <c r="L23" s="121"/>
      <c r="M23" s="121"/>
      <c r="N23" s="121"/>
      <c r="O23" s="121"/>
      <c r="P23" s="213"/>
    </row>
    <row r="24" spans="1:16" x14ac:dyDescent="0.2">
      <c r="B24" s="24" t="s">
        <v>148</v>
      </c>
      <c r="C24" s="569">
        <v>0.14152000000000001</v>
      </c>
      <c r="D24" s="60">
        <f>C24</f>
        <v>0.14152000000000001</v>
      </c>
      <c r="E24" s="573">
        <v>0.13902</v>
      </c>
      <c r="F24" s="226">
        <f>E24</f>
        <v>0.13902</v>
      </c>
      <c r="G24" s="226">
        <f t="shared" ref="G24:P24" si="3">F24</f>
        <v>0.13902</v>
      </c>
      <c r="H24" s="226">
        <f t="shared" si="3"/>
        <v>0.13902</v>
      </c>
      <c r="I24" s="226">
        <f t="shared" si="3"/>
        <v>0.13902</v>
      </c>
      <c r="J24" s="226">
        <f t="shared" si="3"/>
        <v>0.13902</v>
      </c>
      <c r="K24" s="226">
        <f t="shared" si="3"/>
        <v>0.13902</v>
      </c>
      <c r="L24" s="226">
        <f t="shared" si="3"/>
        <v>0.13902</v>
      </c>
      <c r="M24" s="226">
        <f t="shared" si="3"/>
        <v>0.13902</v>
      </c>
      <c r="N24" s="226">
        <f t="shared" si="3"/>
        <v>0.13902</v>
      </c>
      <c r="O24" s="226">
        <f t="shared" si="3"/>
        <v>0.13902</v>
      </c>
      <c r="P24" s="227">
        <f t="shared" si="3"/>
        <v>0.13902</v>
      </c>
    </row>
    <row r="25" spans="1:16" x14ac:dyDescent="0.2">
      <c r="B25" s="24" t="s">
        <v>149</v>
      </c>
      <c r="C25" s="570">
        <v>0.14152000000000001</v>
      </c>
      <c r="D25" s="60">
        <f t="shared" ref="D25:D33" si="4">C25</f>
        <v>0.14152000000000001</v>
      </c>
      <c r="E25" s="574">
        <v>0.13902</v>
      </c>
      <c r="F25" s="226">
        <f t="shared" ref="F25:P33" si="5">E25</f>
        <v>0.13902</v>
      </c>
      <c r="G25" s="226">
        <f t="shared" si="5"/>
        <v>0.13902</v>
      </c>
      <c r="H25" s="226">
        <f t="shared" si="5"/>
        <v>0.13902</v>
      </c>
      <c r="I25" s="226">
        <f t="shared" si="5"/>
        <v>0.13902</v>
      </c>
      <c r="J25" s="226">
        <f t="shared" si="5"/>
        <v>0.13902</v>
      </c>
      <c r="K25" s="226">
        <f t="shared" si="5"/>
        <v>0.13902</v>
      </c>
      <c r="L25" s="226">
        <f t="shared" si="5"/>
        <v>0.13902</v>
      </c>
      <c r="M25" s="226">
        <f t="shared" si="5"/>
        <v>0.13902</v>
      </c>
      <c r="N25" s="226">
        <f t="shared" si="5"/>
        <v>0.13902</v>
      </c>
      <c r="O25" s="226">
        <f t="shared" si="5"/>
        <v>0.13902</v>
      </c>
      <c r="P25" s="227">
        <f t="shared" si="5"/>
        <v>0.13902</v>
      </c>
    </row>
    <row r="26" spans="1:16" x14ac:dyDescent="0.2">
      <c r="B26" s="24" t="s">
        <v>150</v>
      </c>
      <c r="C26" s="570">
        <v>0.13528999999999999</v>
      </c>
      <c r="D26" s="60">
        <f t="shared" si="4"/>
        <v>0.13528999999999999</v>
      </c>
      <c r="E26" s="574">
        <v>0.13289999999999999</v>
      </c>
      <c r="F26" s="226">
        <f t="shared" si="5"/>
        <v>0.13289999999999999</v>
      </c>
      <c r="G26" s="226">
        <f t="shared" si="5"/>
        <v>0.13289999999999999</v>
      </c>
      <c r="H26" s="226">
        <f t="shared" si="5"/>
        <v>0.13289999999999999</v>
      </c>
      <c r="I26" s="226">
        <f t="shared" si="5"/>
        <v>0.13289999999999999</v>
      </c>
      <c r="J26" s="226">
        <f t="shared" si="5"/>
        <v>0.13289999999999999</v>
      </c>
      <c r="K26" s="226">
        <f t="shared" si="5"/>
        <v>0.13289999999999999</v>
      </c>
      <c r="L26" s="226">
        <f t="shared" si="5"/>
        <v>0.13289999999999999</v>
      </c>
      <c r="M26" s="226">
        <f t="shared" si="5"/>
        <v>0.13289999999999999</v>
      </c>
      <c r="N26" s="226">
        <f t="shared" si="5"/>
        <v>0.13289999999999999</v>
      </c>
      <c r="O26" s="226">
        <f t="shared" si="5"/>
        <v>0.13289999999999999</v>
      </c>
      <c r="P26" s="227">
        <f t="shared" si="5"/>
        <v>0.13289999999999999</v>
      </c>
    </row>
    <row r="27" spans="1:16" x14ac:dyDescent="0.2">
      <c r="B27" s="24" t="s">
        <v>151</v>
      </c>
      <c r="C27" s="570">
        <v>3.9149999999999997E-2</v>
      </c>
      <c r="D27" s="60">
        <f t="shared" si="4"/>
        <v>3.9149999999999997E-2</v>
      </c>
      <c r="E27" s="574">
        <v>3.4200000000000001E-2</v>
      </c>
      <c r="F27" s="226">
        <f t="shared" si="5"/>
        <v>3.4200000000000001E-2</v>
      </c>
      <c r="G27" s="226">
        <f t="shared" si="5"/>
        <v>3.4200000000000001E-2</v>
      </c>
      <c r="H27" s="226">
        <f t="shared" si="5"/>
        <v>3.4200000000000001E-2</v>
      </c>
      <c r="I27" s="226">
        <f t="shared" si="5"/>
        <v>3.4200000000000001E-2</v>
      </c>
      <c r="J27" s="226">
        <f t="shared" si="5"/>
        <v>3.4200000000000001E-2</v>
      </c>
      <c r="K27" s="226">
        <f t="shared" si="5"/>
        <v>3.4200000000000001E-2</v>
      </c>
      <c r="L27" s="226">
        <f t="shared" si="5"/>
        <v>3.4200000000000001E-2</v>
      </c>
      <c r="M27" s="226">
        <f t="shared" si="5"/>
        <v>3.4200000000000001E-2</v>
      </c>
      <c r="N27" s="226">
        <f t="shared" si="5"/>
        <v>3.4200000000000001E-2</v>
      </c>
      <c r="O27" s="226">
        <f t="shared" si="5"/>
        <v>3.4200000000000001E-2</v>
      </c>
      <c r="P27" s="227">
        <f t="shared" si="5"/>
        <v>3.4200000000000001E-2</v>
      </c>
    </row>
    <row r="28" spans="1:16" x14ac:dyDescent="0.2">
      <c r="B28" s="24" t="s">
        <v>152</v>
      </c>
      <c r="C28" s="570">
        <v>7.8619999999999995E-2</v>
      </c>
      <c r="D28" s="60">
        <f t="shared" si="4"/>
        <v>7.8619999999999995E-2</v>
      </c>
      <c r="E28" s="574">
        <v>7.6679999999999998E-2</v>
      </c>
      <c r="F28" s="226">
        <f t="shared" si="5"/>
        <v>7.6679999999999998E-2</v>
      </c>
      <c r="G28" s="226">
        <f t="shared" si="5"/>
        <v>7.6679999999999998E-2</v>
      </c>
      <c r="H28" s="226">
        <f t="shared" si="5"/>
        <v>7.6679999999999998E-2</v>
      </c>
      <c r="I28" s="226">
        <f t="shared" si="5"/>
        <v>7.6679999999999998E-2</v>
      </c>
      <c r="J28" s="226">
        <f t="shared" si="5"/>
        <v>7.6679999999999998E-2</v>
      </c>
      <c r="K28" s="226">
        <f t="shared" si="5"/>
        <v>7.6679999999999998E-2</v>
      </c>
      <c r="L28" s="226">
        <f t="shared" si="5"/>
        <v>7.6679999999999998E-2</v>
      </c>
      <c r="M28" s="226">
        <f t="shared" si="5"/>
        <v>7.6679999999999998E-2</v>
      </c>
      <c r="N28" s="226">
        <f t="shared" si="5"/>
        <v>7.6679999999999998E-2</v>
      </c>
      <c r="O28" s="226">
        <f t="shared" si="5"/>
        <v>7.6679999999999998E-2</v>
      </c>
      <c r="P28" s="227">
        <f t="shared" si="5"/>
        <v>7.6679999999999998E-2</v>
      </c>
    </row>
    <row r="29" spans="1:16" x14ac:dyDescent="0.2">
      <c r="B29" s="24" t="s">
        <v>153</v>
      </c>
      <c r="C29" s="570">
        <v>8.6540000000000006E-2</v>
      </c>
      <c r="D29" s="60">
        <f t="shared" si="4"/>
        <v>8.6540000000000006E-2</v>
      </c>
      <c r="E29" s="574">
        <v>8.5470000000000004E-2</v>
      </c>
      <c r="F29" s="226">
        <f t="shared" si="5"/>
        <v>8.5470000000000004E-2</v>
      </c>
      <c r="G29" s="226">
        <f t="shared" si="5"/>
        <v>8.5470000000000004E-2</v>
      </c>
      <c r="H29" s="226">
        <f t="shared" si="5"/>
        <v>8.5470000000000004E-2</v>
      </c>
      <c r="I29" s="226">
        <f t="shared" si="5"/>
        <v>8.5470000000000004E-2</v>
      </c>
      <c r="J29" s="226">
        <f t="shared" si="5"/>
        <v>8.5470000000000004E-2</v>
      </c>
      <c r="K29" s="226">
        <f t="shared" si="5"/>
        <v>8.5470000000000004E-2</v>
      </c>
      <c r="L29" s="226">
        <f t="shared" si="5"/>
        <v>8.5470000000000004E-2</v>
      </c>
      <c r="M29" s="226">
        <f t="shared" si="5"/>
        <v>8.5470000000000004E-2</v>
      </c>
      <c r="N29" s="226">
        <f t="shared" si="5"/>
        <v>8.5470000000000004E-2</v>
      </c>
      <c r="O29" s="226">
        <f t="shared" si="5"/>
        <v>8.5470000000000004E-2</v>
      </c>
      <c r="P29" s="227">
        <f t="shared" si="5"/>
        <v>8.5470000000000004E-2</v>
      </c>
    </row>
    <row r="30" spans="1:16" x14ac:dyDescent="0.2">
      <c r="B30" s="24" t="s">
        <v>154</v>
      </c>
      <c r="C30" s="570">
        <v>8.072E-2</v>
      </c>
      <c r="D30" s="60">
        <f t="shared" si="4"/>
        <v>8.072E-2</v>
      </c>
      <c r="E30" s="574">
        <v>7.9289999999999999E-2</v>
      </c>
      <c r="F30" s="226">
        <f t="shared" si="5"/>
        <v>7.9289999999999999E-2</v>
      </c>
      <c r="G30" s="226">
        <f t="shared" si="5"/>
        <v>7.9289999999999999E-2</v>
      </c>
      <c r="H30" s="226">
        <f t="shared" si="5"/>
        <v>7.9289999999999999E-2</v>
      </c>
      <c r="I30" s="226">
        <f t="shared" si="5"/>
        <v>7.9289999999999999E-2</v>
      </c>
      <c r="J30" s="226">
        <f t="shared" si="5"/>
        <v>7.9289999999999999E-2</v>
      </c>
      <c r="K30" s="226">
        <f t="shared" si="5"/>
        <v>7.9289999999999999E-2</v>
      </c>
      <c r="L30" s="226">
        <f t="shared" si="5"/>
        <v>7.9289999999999999E-2</v>
      </c>
      <c r="M30" s="226">
        <f t="shared" si="5"/>
        <v>7.9289999999999999E-2</v>
      </c>
      <c r="N30" s="226">
        <f t="shared" si="5"/>
        <v>7.9289999999999999E-2</v>
      </c>
      <c r="O30" s="226">
        <f t="shared" si="5"/>
        <v>7.9289999999999999E-2</v>
      </c>
      <c r="P30" s="227">
        <f t="shared" si="5"/>
        <v>7.9289999999999999E-2</v>
      </c>
    </row>
    <row r="31" spans="1:16" x14ac:dyDescent="0.2">
      <c r="B31" s="24" t="s">
        <v>157</v>
      </c>
      <c r="C31" s="571">
        <v>1</v>
      </c>
      <c r="D31" s="83">
        <f t="shared" si="4"/>
        <v>1</v>
      </c>
      <c r="E31" s="575">
        <v>1</v>
      </c>
      <c r="F31" s="228">
        <f t="shared" si="5"/>
        <v>1</v>
      </c>
      <c r="G31" s="228">
        <f t="shared" si="5"/>
        <v>1</v>
      </c>
      <c r="H31" s="228">
        <f t="shared" si="5"/>
        <v>1</v>
      </c>
      <c r="I31" s="228">
        <f t="shared" si="5"/>
        <v>1</v>
      </c>
      <c r="J31" s="228">
        <f t="shared" si="5"/>
        <v>1</v>
      </c>
      <c r="K31" s="228">
        <f t="shared" si="5"/>
        <v>1</v>
      </c>
      <c r="L31" s="228">
        <f t="shared" si="5"/>
        <v>1</v>
      </c>
      <c r="M31" s="228">
        <f t="shared" si="5"/>
        <v>1</v>
      </c>
      <c r="N31" s="228">
        <f t="shared" si="5"/>
        <v>1</v>
      </c>
      <c r="O31" s="228">
        <f t="shared" si="5"/>
        <v>1</v>
      </c>
      <c r="P31" s="229">
        <f t="shared" si="5"/>
        <v>1</v>
      </c>
    </row>
    <row r="32" spans="1:16" x14ac:dyDescent="0.2">
      <c r="B32" s="24" t="s">
        <v>163</v>
      </c>
      <c r="C32" s="571">
        <v>1</v>
      </c>
      <c r="D32" s="83">
        <f t="shared" si="4"/>
        <v>1</v>
      </c>
      <c r="E32" s="575">
        <v>1</v>
      </c>
      <c r="F32" s="228">
        <f t="shared" si="5"/>
        <v>1</v>
      </c>
      <c r="G32" s="228">
        <f t="shared" si="5"/>
        <v>1</v>
      </c>
      <c r="H32" s="228">
        <f t="shared" si="5"/>
        <v>1</v>
      </c>
      <c r="I32" s="228">
        <f t="shared" si="5"/>
        <v>1</v>
      </c>
      <c r="J32" s="228">
        <f t="shared" si="5"/>
        <v>1</v>
      </c>
      <c r="K32" s="228">
        <f t="shared" si="5"/>
        <v>1</v>
      </c>
      <c r="L32" s="228">
        <f t="shared" si="5"/>
        <v>1</v>
      </c>
      <c r="M32" s="228">
        <f t="shared" si="5"/>
        <v>1</v>
      </c>
      <c r="N32" s="228">
        <f t="shared" si="5"/>
        <v>1</v>
      </c>
      <c r="O32" s="228">
        <f t="shared" si="5"/>
        <v>1</v>
      </c>
      <c r="P32" s="229">
        <f t="shared" si="5"/>
        <v>1</v>
      </c>
    </row>
    <row r="33" spans="1:16" x14ac:dyDescent="0.2">
      <c r="B33" s="24" t="s">
        <v>164</v>
      </c>
      <c r="C33" s="572">
        <v>1.1800000000000001E-3</v>
      </c>
      <c r="D33" s="60">
        <f t="shared" si="4"/>
        <v>1.1800000000000001E-3</v>
      </c>
      <c r="E33" s="431">
        <v>1.1800000000000001E-3</v>
      </c>
      <c r="F33" s="226">
        <f t="shared" si="5"/>
        <v>1.1800000000000001E-3</v>
      </c>
      <c r="G33" s="226">
        <f t="shared" si="5"/>
        <v>1.1800000000000001E-3</v>
      </c>
      <c r="H33" s="226">
        <f t="shared" si="5"/>
        <v>1.1800000000000001E-3</v>
      </c>
      <c r="I33" s="226">
        <f t="shared" si="5"/>
        <v>1.1800000000000001E-3</v>
      </c>
      <c r="J33" s="226">
        <f t="shared" si="5"/>
        <v>1.1800000000000001E-3</v>
      </c>
      <c r="K33" s="226">
        <f t="shared" si="5"/>
        <v>1.1800000000000001E-3</v>
      </c>
      <c r="L33" s="226">
        <f t="shared" si="5"/>
        <v>1.1800000000000001E-3</v>
      </c>
      <c r="M33" s="226">
        <f t="shared" si="5"/>
        <v>1.1800000000000001E-3</v>
      </c>
      <c r="N33" s="226">
        <f t="shared" si="5"/>
        <v>1.1800000000000001E-3</v>
      </c>
      <c r="O33" s="226">
        <f t="shared" si="5"/>
        <v>1.1800000000000001E-3</v>
      </c>
      <c r="P33" s="227">
        <f t="shared" si="5"/>
        <v>1.1800000000000001E-3</v>
      </c>
    </row>
    <row r="34" spans="1:16" x14ac:dyDescent="0.2">
      <c r="E34" s="212"/>
      <c r="F34" s="121"/>
      <c r="G34" s="121"/>
      <c r="H34" s="121"/>
      <c r="I34" s="121"/>
      <c r="J34" s="121"/>
      <c r="K34" s="121"/>
      <c r="L34" s="121"/>
      <c r="M34" s="121"/>
      <c r="N34" s="121"/>
      <c r="O34" s="121"/>
      <c r="P34" s="213"/>
    </row>
    <row r="35" spans="1:16" x14ac:dyDescent="0.2">
      <c r="A35" s="225" t="s">
        <v>165</v>
      </c>
      <c r="E35" s="212"/>
      <c r="F35" s="121"/>
      <c r="G35" s="121"/>
      <c r="H35" s="121"/>
      <c r="I35" s="121"/>
      <c r="J35" s="121"/>
      <c r="K35" s="121"/>
      <c r="L35" s="121"/>
      <c r="M35" s="121"/>
      <c r="N35" s="121"/>
      <c r="O35" s="121"/>
      <c r="P35" s="213"/>
    </row>
    <row r="36" spans="1:16" x14ac:dyDescent="0.2">
      <c r="B36" s="24" t="s">
        <v>148</v>
      </c>
      <c r="C36" s="48">
        <f t="shared" ref="C36:P42" si="6">+C5*C24</f>
        <v>2854212.7212800002</v>
      </c>
      <c r="D36" s="48">
        <f t="shared" si="6"/>
        <v>6060212.1790399998</v>
      </c>
      <c r="E36" s="230">
        <f t="shared" si="6"/>
        <v>9531428.7663000003</v>
      </c>
      <c r="F36" s="188">
        <f t="shared" si="6"/>
        <v>12240028.411800001</v>
      </c>
      <c r="G36" s="188">
        <f t="shared" si="6"/>
        <v>11690468.4498</v>
      </c>
      <c r="H36" s="188">
        <f t="shared" si="6"/>
        <v>10128310.441200001</v>
      </c>
      <c r="I36" s="188">
        <f t="shared" si="6"/>
        <v>9134602.1541600004</v>
      </c>
      <c r="J36" s="188">
        <f t="shared" si="6"/>
        <v>6345898.2115200004</v>
      </c>
      <c r="K36" s="188">
        <f t="shared" si="6"/>
        <v>3874663.2603000002</v>
      </c>
      <c r="L36" s="188">
        <f t="shared" si="6"/>
        <v>2679421.0157400002</v>
      </c>
      <c r="M36" s="188">
        <f t="shared" si="6"/>
        <v>2014800.0385800002</v>
      </c>
      <c r="N36" s="188">
        <f t="shared" si="6"/>
        <v>2026195.3689600001</v>
      </c>
      <c r="O36" s="188">
        <f t="shared" si="6"/>
        <v>2777566.2163200001</v>
      </c>
      <c r="P36" s="231">
        <f t="shared" si="6"/>
        <v>5877345.8986200001</v>
      </c>
    </row>
    <row r="37" spans="1:16" x14ac:dyDescent="0.2">
      <c r="B37" s="24" t="s">
        <v>149</v>
      </c>
      <c r="C37" s="48">
        <f t="shared" si="6"/>
        <v>72.599760000000003</v>
      </c>
      <c r="D37" s="48">
        <f t="shared" si="6"/>
        <v>72.599760000000003</v>
      </c>
      <c r="E37" s="230">
        <f t="shared" si="6"/>
        <v>71.317260000000005</v>
      </c>
      <c r="F37" s="188">
        <f t="shared" si="6"/>
        <v>71.317260000000005</v>
      </c>
      <c r="G37" s="188">
        <f t="shared" si="6"/>
        <v>71.317260000000005</v>
      </c>
      <c r="H37" s="188">
        <f t="shared" si="6"/>
        <v>71.317260000000005</v>
      </c>
      <c r="I37" s="188">
        <f t="shared" si="6"/>
        <v>71.317260000000005</v>
      </c>
      <c r="J37" s="188">
        <f t="shared" si="6"/>
        <v>71.317260000000005</v>
      </c>
      <c r="K37" s="188">
        <f t="shared" si="6"/>
        <v>71.317260000000005</v>
      </c>
      <c r="L37" s="188">
        <f t="shared" si="6"/>
        <v>71.317260000000005</v>
      </c>
      <c r="M37" s="188">
        <f t="shared" si="6"/>
        <v>71.317260000000005</v>
      </c>
      <c r="N37" s="188">
        <f t="shared" si="6"/>
        <v>71.317260000000005</v>
      </c>
      <c r="O37" s="188">
        <f t="shared" si="6"/>
        <v>71.317260000000005</v>
      </c>
      <c r="P37" s="231">
        <f t="shared" si="6"/>
        <v>71.317260000000005</v>
      </c>
    </row>
    <row r="38" spans="1:16" x14ac:dyDescent="0.2">
      <c r="B38" s="24" t="s">
        <v>150</v>
      </c>
      <c r="C38" s="48">
        <f t="shared" si="6"/>
        <v>1553150.8463999999</v>
      </c>
      <c r="D38" s="48">
        <f t="shared" si="6"/>
        <v>2615944.1701199999</v>
      </c>
      <c r="E38" s="230">
        <f t="shared" si="6"/>
        <v>3729124.0295999995</v>
      </c>
      <c r="F38" s="188">
        <f t="shared" si="6"/>
        <v>4548759.9272999996</v>
      </c>
      <c r="G38" s="188">
        <f t="shared" si="6"/>
        <v>3946184.4164999998</v>
      </c>
      <c r="H38" s="188">
        <f t="shared" si="6"/>
        <v>3497448.8954999996</v>
      </c>
      <c r="I38" s="188">
        <f t="shared" si="6"/>
        <v>3132448.0826999997</v>
      </c>
      <c r="J38" s="188">
        <f t="shared" si="6"/>
        <v>2258823.4205999998</v>
      </c>
      <c r="K38" s="188">
        <f t="shared" si="6"/>
        <v>1601480.6172</v>
      </c>
      <c r="L38" s="188">
        <f t="shared" si="6"/>
        <v>1316379.2844</v>
      </c>
      <c r="M38" s="188">
        <f t="shared" si="6"/>
        <v>1158029.0673</v>
      </c>
      <c r="N38" s="188">
        <f t="shared" si="6"/>
        <v>1287698.9327999998</v>
      </c>
      <c r="O38" s="188">
        <f t="shared" si="6"/>
        <v>1539078.8840999999</v>
      </c>
      <c r="P38" s="231">
        <f t="shared" si="6"/>
        <v>2566999.1171999997</v>
      </c>
    </row>
    <row r="39" spans="1:16" x14ac:dyDescent="0.2">
      <c r="B39" s="24" t="s">
        <v>151</v>
      </c>
      <c r="C39" s="48">
        <f t="shared" si="6"/>
        <v>145850.81939999998</v>
      </c>
      <c r="D39" s="48">
        <f t="shared" si="6"/>
        <v>225474.36344999998</v>
      </c>
      <c r="E39" s="230">
        <f t="shared" si="6"/>
        <v>261485.94960000002</v>
      </c>
      <c r="F39" s="188">
        <f t="shared" si="6"/>
        <v>285222.4938</v>
      </c>
      <c r="G39" s="188">
        <f t="shared" si="6"/>
        <v>243782.5932</v>
      </c>
      <c r="H39" s="188">
        <f t="shared" si="6"/>
        <v>227898.16380000001</v>
      </c>
      <c r="I39" s="188">
        <f t="shared" si="6"/>
        <v>211902.44760000001</v>
      </c>
      <c r="J39" s="188">
        <f t="shared" si="6"/>
        <v>165039.62400000001</v>
      </c>
      <c r="K39" s="188">
        <f t="shared" si="6"/>
        <v>129529.7298</v>
      </c>
      <c r="L39" s="188">
        <f t="shared" si="6"/>
        <v>111964.0968</v>
      </c>
      <c r="M39" s="188">
        <f t="shared" si="6"/>
        <v>95443.684200000003</v>
      </c>
      <c r="N39" s="188">
        <f t="shared" si="6"/>
        <v>104792.45940000001</v>
      </c>
      <c r="O39" s="188">
        <f t="shared" si="6"/>
        <v>126248.71860000001</v>
      </c>
      <c r="P39" s="231">
        <f t="shared" si="6"/>
        <v>193308.6942</v>
      </c>
    </row>
    <row r="40" spans="1:16" x14ac:dyDescent="0.2">
      <c r="B40" s="24" t="s">
        <v>152</v>
      </c>
      <c r="C40" s="48">
        <f t="shared" si="6"/>
        <v>82599.351299999995</v>
      </c>
      <c r="D40" s="48">
        <f t="shared" si="6"/>
        <v>120254.00719999999</v>
      </c>
      <c r="E40" s="230">
        <f t="shared" si="6"/>
        <v>116700.90227999999</v>
      </c>
      <c r="F40" s="188">
        <f t="shared" si="6"/>
        <v>145273.94063999999</v>
      </c>
      <c r="G40" s="188">
        <f t="shared" si="6"/>
        <v>146501.81748</v>
      </c>
      <c r="H40" s="188">
        <f t="shared" si="6"/>
        <v>126565.47756</v>
      </c>
      <c r="I40" s="188">
        <f t="shared" si="6"/>
        <v>131821.27812</v>
      </c>
      <c r="J40" s="188">
        <f t="shared" si="6"/>
        <v>119042.93952</v>
      </c>
      <c r="K40" s="188">
        <f t="shared" si="6"/>
        <v>109114.41312</v>
      </c>
      <c r="L40" s="188">
        <f t="shared" si="6"/>
        <v>92718.848880000005</v>
      </c>
      <c r="M40" s="188">
        <f t="shared" si="6"/>
        <v>85318.768799999991</v>
      </c>
      <c r="N40" s="188">
        <f t="shared" si="6"/>
        <v>82053.044280000002</v>
      </c>
      <c r="O40" s="188">
        <f t="shared" si="6"/>
        <v>77123.133719999998</v>
      </c>
      <c r="P40" s="231">
        <f t="shared" si="6"/>
        <v>112253.53895999999</v>
      </c>
    </row>
    <row r="41" spans="1:16" x14ac:dyDescent="0.2">
      <c r="B41" s="24" t="s">
        <v>153</v>
      </c>
      <c r="C41" s="48">
        <f t="shared" si="6"/>
        <v>1594.1533400000001</v>
      </c>
      <c r="D41" s="48">
        <f t="shared" si="6"/>
        <v>21845.119120000003</v>
      </c>
      <c r="E41" s="230">
        <f t="shared" si="6"/>
        <v>40209.959790000001</v>
      </c>
      <c r="F41" s="188">
        <f t="shared" si="6"/>
        <v>64254.123780000002</v>
      </c>
      <c r="G41" s="188">
        <f t="shared" si="6"/>
        <v>68417.623890000003</v>
      </c>
      <c r="H41" s="188">
        <f t="shared" si="6"/>
        <v>57297.54954</v>
      </c>
      <c r="I41" s="188">
        <f t="shared" si="6"/>
        <v>57820.88235</v>
      </c>
      <c r="J41" s="188">
        <f t="shared" si="6"/>
        <v>43943.460330000002</v>
      </c>
      <c r="K41" s="188">
        <f t="shared" si="6"/>
        <v>32630.7366</v>
      </c>
      <c r="L41" s="188">
        <f t="shared" si="6"/>
        <v>19168.100490000001</v>
      </c>
      <c r="M41" s="188">
        <f t="shared" si="6"/>
        <v>9391.2726600000005</v>
      </c>
      <c r="N41" s="188">
        <f t="shared" si="6"/>
        <v>3793.5004800000002</v>
      </c>
      <c r="O41" s="188">
        <f t="shared" si="6"/>
        <v>5919.5667300000005</v>
      </c>
      <c r="P41" s="231">
        <f t="shared" si="6"/>
        <v>25156.04322</v>
      </c>
    </row>
    <row r="42" spans="1:16" x14ac:dyDescent="0.2">
      <c r="B42" s="24" t="s">
        <v>154</v>
      </c>
      <c r="C42" s="48">
        <f t="shared" si="6"/>
        <v>87813.27</v>
      </c>
      <c r="D42" s="48">
        <f t="shared" si="6"/>
        <v>154268.8352</v>
      </c>
      <c r="E42" s="230">
        <f t="shared" si="6"/>
        <v>139950.25946999999</v>
      </c>
      <c r="F42" s="188">
        <f t="shared" si="6"/>
        <v>173458.45134</v>
      </c>
      <c r="G42" s="188">
        <f t="shared" si="6"/>
        <v>163382.04027</v>
      </c>
      <c r="H42" s="188">
        <f t="shared" si="6"/>
        <v>135609.52841999999</v>
      </c>
      <c r="I42" s="188">
        <f t="shared" si="6"/>
        <v>135834.63273000001</v>
      </c>
      <c r="J42" s="188">
        <f t="shared" si="6"/>
        <v>115163.9676</v>
      </c>
      <c r="K42" s="188">
        <f t="shared" si="6"/>
        <v>106731.31752</v>
      </c>
      <c r="L42" s="188">
        <f t="shared" si="6"/>
        <v>94595.98302</v>
      </c>
      <c r="M42" s="188">
        <f t="shared" si="6"/>
        <v>92844.229049999994</v>
      </c>
      <c r="N42" s="188">
        <f t="shared" si="6"/>
        <v>87073.820009999996</v>
      </c>
      <c r="O42" s="188">
        <f t="shared" si="6"/>
        <v>79727.284350000002</v>
      </c>
      <c r="P42" s="231">
        <f t="shared" si="6"/>
        <v>141439.08780000001</v>
      </c>
    </row>
    <row r="43" spans="1:16" x14ac:dyDescent="0.2">
      <c r="B43" s="24" t="s">
        <v>157</v>
      </c>
      <c r="C43" s="48">
        <f t="shared" ref="C43:P44" si="7">+C16*C31</f>
        <v>434244</v>
      </c>
      <c r="D43" s="48">
        <f t="shared" si="7"/>
        <v>434244</v>
      </c>
      <c r="E43" s="230">
        <f t="shared" si="7"/>
        <v>434244</v>
      </c>
      <c r="F43" s="188">
        <f t="shared" si="7"/>
        <v>434244</v>
      </c>
      <c r="G43" s="188">
        <f t="shared" si="7"/>
        <v>434244</v>
      </c>
      <c r="H43" s="188">
        <f t="shared" si="7"/>
        <v>434244</v>
      </c>
      <c r="I43" s="188">
        <f t="shared" si="7"/>
        <v>434244</v>
      </c>
      <c r="J43" s="188">
        <f t="shared" si="7"/>
        <v>434244</v>
      </c>
      <c r="K43" s="188">
        <f t="shared" si="7"/>
        <v>434244</v>
      </c>
      <c r="L43" s="188">
        <f t="shared" si="7"/>
        <v>434244</v>
      </c>
      <c r="M43" s="188">
        <f t="shared" si="7"/>
        <v>434244</v>
      </c>
      <c r="N43" s="188">
        <f t="shared" si="7"/>
        <v>434244</v>
      </c>
      <c r="O43" s="188">
        <f t="shared" si="7"/>
        <v>434244</v>
      </c>
      <c r="P43" s="231">
        <f t="shared" si="7"/>
        <v>434244</v>
      </c>
    </row>
    <row r="44" spans="1:16" x14ac:dyDescent="0.2">
      <c r="B44" s="24" t="s">
        <v>166</v>
      </c>
      <c r="C44" s="48">
        <f t="shared" si="7"/>
        <v>11785</v>
      </c>
      <c r="D44" s="48">
        <f t="shared" si="7"/>
        <v>11785</v>
      </c>
      <c r="E44" s="230">
        <f t="shared" si="7"/>
        <v>11785</v>
      </c>
      <c r="F44" s="188">
        <f t="shared" si="7"/>
        <v>11785</v>
      </c>
      <c r="G44" s="188">
        <f t="shared" si="7"/>
        <v>11785</v>
      </c>
      <c r="H44" s="188">
        <f t="shared" si="7"/>
        <v>11785</v>
      </c>
      <c r="I44" s="188">
        <f t="shared" si="7"/>
        <v>11785</v>
      </c>
      <c r="J44" s="188">
        <f t="shared" si="7"/>
        <v>11785</v>
      </c>
      <c r="K44" s="188">
        <f t="shared" si="7"/>
        <v>11785</v>
      </c>
      <c r="L44" s="188">
        <f t="shared" si="7"/>
        <v>11785</v>
      </c>
      <c r="M44" s="188">
        <f t="shared" si="7"/>
        <v>11785</v>
      </c>
      <c r="N44" s="188">
        <f t="shared" si="7"/>
        <v>11785</v>
      </c>
      <c r="O44" s="188">
        <f t="shared" si="7"/>
        <v>11785</v>
      </c>
      <c r="P44" s="231">
        <f t="shared" si="7"/>
        <v>11785</v>
      </c>
    </row>
    <row r="45" spans="1:16" x14ac:dyDescent="0.2">
      <c r="B45" s="24" t="s">
        <v>167</v>
      </c>
      <c r="C45" s="48">
        <f t="shared" ref="C45:P45" si="8">+C18*C32</f>
        <v>2657</v>
      </c>
      <c r="D45" s="48">
        <f t="shared" si="8"/>
        <v>2657</v>
      </c>
      <c r="E45" s="230">
        <f t="shared" si="8"/>
        <v>2657</v>
      </c>
      <c r="F45" s="188">
        <f t="shared" si="8"/>
        <v>2657</v>
      </c>
      <c r="G45" s="188">
        <f t="shared" si="8"/>
        <v>2657</v>
      </c>
      <c r="H45" s="188">
        <f t="shared" si="8"/>
        <v>2657</v>
      </c>
      <c r="I45" s="188">
        <f t="shared" si="8"/>
        <v>2657</v>
      </c>
      <c r="J45" s="188">
        <f t="shared" si="8"/>
        <v>2657</v>
      </c>
      <c r="K45" s="188">
        <f t="shared" si="8"/>
        <v>2657</v>
      </c>
      <c r="L45" s="188">
        <f t="shared" si="8"/>
        <v>2657</v>
      </c>
      <c r="M45" s="188">
        <f t="shared" si="8"/>
        <v>2657</v>
      </c>
      <c r="N45" s="188">
        <f t="shared" si="8"/>
        <v>2657</v>
      </c>
      <c r="O45" s="188">
        <f t="shared" si="8"/>
        <v>2657</v>
      </c>
      <c r="P45" s="231">
        <f t="shared" si="8"/>
        <v>2657</v>
      </c>
    </row>
    <row r="46" spans="1:16" x14ac:dyDescent="0.2">
      <c r="B46" s="24" t="s">
        <v>168</v>
      </c>
      <c r="C46" s="48">
        <f t="shared" ref="C46:P46" si="9">+C19*C32</f>
        <v>0</v>
      </c>
      <c r="D46" s="48">
        <f t="shared" si="9"/>
        <v>0</v>
      </c>
      <c r="E46" s="230">
        <f t="shared" si="9"/>
        <v>0</v>
      </c>
      <c r="F46" s="188">
        <f t="shared" si="9"/>
        <v>0</v>
      </c>
      <c r="G46" s="188">
        <f t="shared" si="9"/>
        <v>0</v>
      </c>
      <c r="H46" s="188">
        <f t="shared" si="9"/>
        <v>0</v>
      </c>
      <c r="I46" s="188">
        <f t="shared" si="9"/>
        <v>0</v>
      </c>
      <c r="J46" s="188">
        <f t="shared" si="9"/>
        <v>0</v>
      </c>
      <c r="K46" s="188">
        <f t="shared" si="9"/>
        <v>0</v>
      </c>
      <c r="L46" s="188">
        <f t="shared" si="9"/>
        <v>0</v>
      </c>
      <c r="M46" s="188">
        <f t="shared" si="9"/>
        <v>0</v>
      </c>
      <c r="N46" s="188">
        <f t="shared" si="9"/>
        <v>0</v>
      </c>
      <c r="O46" s="188">
        <f t="shared" si="9"/>
        <v>0</v>
      </c>
      <c r="P46" s="231">
        <f t="shared" si="9"/>
        <v>0</v>
      </c>
    </row>
    <row r="47" spans="1:16" x14ac:dyDescent="0.2">
      <c r="B47" s="24" t="s">
        <v>164</v>
      </c>
      <c r="C47" s="48">
        <f t="shared" ref="C47:P47" si="10">+C13*C33</f>
        <v>20915.547200000001</v>
      </c>
      <c r="D47" s="48">
        <f>+D13*D33</f>
        <v>18308.002080000002</v>
      </c>
      <c r="E47" s="230">
        <f t="shared" si="10"/>
        <v>18633.3446</v>
      </c>
      <c r="F47" s="188">
        <f t="shared" si="10"/>
        <v>18684.535360000002</v>
      </c>
      <c r="G47" s="188">
        <f t="shared" si="10"/>
        <v>16925.499920000002</v>
      </c>
      <c r="H47" s="188">
        <f t="shared" si="10"/>
        <v>20027.52404</v>
      </c>
      <c r="I47" s="188">
        <f t="shared" si="10"/>
        <v>17300.500380000001</v>
      </c>
      <c r="J47" s="188">
        <f t="shared" si="10"/>
        <v>18812.278620000001</v>
      </c>
      <c r="K47" s="188">
        <f t="shared" si="10"/>
        <v>18005.335620000002</v>
      </c>
      <c r="L47" s="188">
        <f t="shared" si="10"/>
        <v>18401.320019999999</v>
      </c>
      <c r="M47" s="188">
        <f t="shared" si="10"/>
        <v>18040.401680000003</v>
      </c>
      <c r="N47" s="188">
        <f t="shared" si="10"/>
        <v>17622.438600000001</v>
      </c>
      <c r="O47" s="188">
        <f t="shared" si="10"/>
        <v>18608.295560000002</v>
      </c>
      <c r="P47" s="231">
        <f t="shared" si="10"/>
        <v>17519.39156</v>
      </c>
    </row>
    <row r="48" spans="1:16" x14ac:dyDescent="0.2">
      <c r="A48" s="232"/>
      <c r="B48" s="232" t="s">
        <v>169</v>
      </c>
      <c r="C48" s="432">
        <f>SUM(C36:C47)</f>
        <v>5194895.3086799998</v>
      </c>
      <c r="D48" s="432">
        <f>SUM(D36:D47)</f>
        <v>9665065.2759700008</v>
      </c>
      <c r="E48" s="433">
        <f t="shared" ref="E48:P48" si="11">SUM(E36:E47)</f>
        <v>14286290.528900001</v>
      </c>
      <c r="F48" s="432">
        <f t="shared" si="11"/>
        <v>17924439.201280002</v>
      </c>
      <c r="G48" s="432">
        <f t="shared" si="11"/>
        <v>16724419.75832</v>
      </c>
      <c r="H48" s="432">
        <f t="shared" si="11"/>
        <v>14641914.89732</v>
      </c>
      <c r="I48" s="432">
        <f t="shared" si="11"/>
        <v>13270487.295299999</v>
      </c>
      <c r="J48" s="432">
        <f t="shared" si="11"/>
        <v>9515481.2194499988</v>
      </c>
      <c r="K48" s="432">
        <f t="shared" si="11"/>
        <v>6320912.7274200004</v>
      </c>
      <c r="L48" s="432">
        <f t="shared" si="11"/>
        <v>4781405.9666100005</v>
      </c>
      <c r="M48" s="432">
        <f t="shared" si="11"/>
        <v>3922624.7795300004</v>
      </c>
      <c r="N48" s="432">
        <f t="shared" si="11"/>
        <v>4057986.88179</v>
      </c>
      <c r="O48" s="432">
        <f t="shared" si="11"/>
        <v>5073029.4166400013</v>
      </c>
      <c r="P48" s="434">
        <f t="shared" si="11"/>
        <v>9382779.0888199992</v>
      </c>
    </row>
    <row r="49" spans="1:16" x14ac:dyDescent="0.2">
      <c r="E49" s="212"/>
      <c r="F49" s="121"/>
      <c r="G49" s="121"/>
      <c r="H49" s="121"/>
      <c r="I49" s="121"/>
      <c r="J49" s="121"/>
      <c r="K49" s="121"/>
      <c r="L49" s="121"/>
      <c r="M49" s="121"/>
      <c r="N49" s="121"/>
      <c r="O49" s="121"/>
      <c r="P49" s="213"/>
    </row>
    <row r="50" spans="1:16" x14ac:dyDescent="0.2">
      <c r="A50" s="233" t="s">
        <v>170</v>
      </c>
      <c r="E50" s="212"/>
      <c r="F50" s="121"/>
      <c r="G50" s="121"/>
      <c r="H50" s="121"/>
      <c r="I50" s="121"/>
      <c r="J50" s="121"/>
      <c r="K50" s="121"/>
      <c r="L50" s="121"/>
      <c r="M50" s="121"/>
      <c r="N50" s="121"/>
      <c r="O50" s="121"/>
      <c r="P50" s="213"/>
    </row>
    <row r="51" spans="1:16" x14ac:dyDescent="0.2">
      <c r="A51" s="225" t="s">
        <v>171</v>
      </c>
      <c r="C51" s="60"/>
      <c r="D51" s="60"/>
      <c r="E51" s="234"/>
      <c r="F51" s="226"/>
      <c r="G51" s="226"/>
      <c r="H51" s="226"/>
      <c r="I51" s="226"/>
      <c r="J51" s="226"/>
      <c r="K51" s="226"/>
      <c r="L51" s="226"/>
      <c r="M51" s="226"/>
      <c r="N51" s="226"/>
      <c r="O51" s="226"/>
      <c r="P51" s="227"/>
    </row>
    <row r="52" spans="1:16" x14ac:dyDescent="0.2">
      <c r="B52" s="24" t="s">
        <v>172</v>
      </c>
      <c r="C52" s="576">
        <v>0.38869999999999999</v>
      </c>
      <c r="D52" s="60">
        <f>C52</f>
        <v>0.38869999999999999</v>
      </c>
      <c r="E52" s="576">
        <v>0.38799</v>
      </c>
      <c r="F52" s="226">
        <f t="shared" ref="F52:P52" si="12">E52</f>
        <v>0.38799</v>
      </c>
      <c r="G52" s="226">
        <f t="shared" si="12"/>
        <v>0.38799</v>
      </c>
      <c r="H52" s="226">
        <f t="shared" si="12"/>
        <v>0.38799</v>
      </c>
      <c r="I52" s="226">
        <f t="shared" si="12"/>
        <v>0.38799</v>
      </c>
      <c r="J52" s="226">
        <f t="shared" si="12"/>
        <v>0.38799</v>
      </c>
      <c r="K52" s="226">
        <f t="shared" si="12"/>
        <v>0.38799</v>
      </c>
      <c r="L52" s="226">
        <f t="shared" si="12"/>
        <v>0.38799</v>
      </c>
      <c r="M52" s="226">
        <f t="shared" si="12"/>
        <v>0.38799</v>
      </c>
      <c r="N52" s="226">
        <f t="shared" si="12"/>
        <v>0.38799</v>
      </c>
      <c r="O52" s="226">
        <f t="shared" si="12"/>
        <v>0.38799</v>
      </c>
      <c r="P52" s="227">
        <f t="shared" si="12"/>
        <v>0.38799</v>
      </c>
    </row>
    <row r="53" spans="1:16" x14ac:dyDescent="0.2">
      <c r="A53" s="225" t="s">
        <v>173</v>
      </c>
      <c r="E53" s="212"/>
      <c r="F53" s="121"/>
      <c r="G53" s="121"/>
      <c r="H53" s="121"/>
      <c r="I53" s="121"/>
      <c r="J53" s="121"/>
      <c r="K53" s="121"/>
      <c r="L53" s="121"/>
      <c r="M53" s="121"/>
      <c r="N53" s="121"/>
      <c r="O53" s="121"/>
      <c r="P53" s="213"/>
    </row>
    <row r="54" spans="1:16" x14ac:dyDescent="0.2">
      <c r="B54" s="24" t="s">
        <v>148</v>
      </c>
      <c r="C54" s="48">
        <f>+C5*C$52</f>
        <v>7839404.2167999996</v>
      </c>
      <c r="D54" s="48">
        <f>+D5*D$52</f>
        <v>16645028.7874</v>
      </c>
      <c r="E54" s="230">
        <f>+E5*E$52</f>
        <v>26601201.604350001</v>
      </c>
      <c r="F54" s="188">
        <f t="shared" ref="F54:P54" si="13">+F5*F$52</f>
        <v>34160614.469099998</v>
      </c>
      <c r="G54" s="188">
        <f t="shared" si="13"/>
        <v>32626851.200100001</v>
      </c>
      <c r="H54" s="188">
        <f t="shared" si="13"/>
        <v>28267034.729400001</v>
      </c>
      <c r="I54" s="188">
        <f t="shared" si="13"/>
        <v>25493700.83292</v>
      </c>
      <c r="J54" s="188">
        <f t="shared" si="13"/>
        <v>17710725.414239999</v>
      </c>
      <c r="K54" s="188">
        <f t="shared" si="13"/>
        <v>10813772.107349999</v>
      </c>
      <c r="L54" s="188">
        <f t="shared" si="13"/>
        <v>7477978.4196300004</v>
      </c>
      <c r="M54" s="188">
        <f t="shared" si="13"/>
        <v>5623092.1232099999</v>
      </c>
      <c r="N54" s="188">
        <f t="shared" si="13"/>
        <v>5654895.2755199997</v>
      </c>
      <c r="O54" s="188">
        <f t="shared" si="13"/>
        <v>7751891.21184</v>
      </c>
      <c r="P54" s="231">
        <f t="shared" si="13"/>
        <v>16403045.85819</v>
      </c>
    </row>
    <row r="55" spans="1:16" x14ac:dyDescent="0.2">
      <c r="B55" s="24" t="s">
        <v>149</v>
      </c>
      <c r="C55" s="48">
        <f t="shared" ref="C55:P55" si="14">+(C6)*C$52</f>
        <v>199.40309999999999</v>
      </c>
      <c r="D55" s="48">
        <f t="shared" si="14"/>
        <v>199.40309999999999</v>
      </c>
      <c r="E55" s="230">
        <f t="shared" si="14"/>
        <v>199.03887</v>
      </c>
      <c r="F55" s="188">
        <f t="shared" si="14"/>
        <v>199.03887</v>
      </c>
      <c r="G55" s="188">
        <f t="shared" si="14"/>
        <v>199.03887</v>
      </c>
      <c r="H55" s="188">
        <f t="shared" si="14"/>
        <v>199.03887</v>
      </c>
      <c r="I55" s="188">
        <f t="shared" si="14"/>
        <v>199.03887</v>
      </c>
      <c r="J55" s="188">
        <f t="shared" si="14"/>
        <v>199.03887</v>
      </c>
      <c r="K55" s="188">
        <f t="shared" si="14"/>
        <v>199.03887</v>
      </c>
      <c r="L55" s="188">
        <f t="shared" si="14"/>
        <v>199.03887</v>
      </c>
      <c r="M55" s="188">
        <f t="shared" si="14"/>
        <v>199.03887</v>
      </c>
      <c r="N55" s="188">
        <f t="shared" si="14"/>
        <v>199.03887</v>
      </c>
      <c r="O55" s="188">
        <f t="shared" si="14"/>
        <v>199.03887</v>
      </c>
      <c r="P55" s="231">
        <f t="shared" si="14"/>
        <v>199.03887</v>
      </c>
    </row>
    <row r="56" spans="1:16" x14ac:dyDescent="0.2">
      <c r="B56" s="24" t="s">
        <v>150</v>
      </c>
      <c r="C56" s="48">
        <f t="shared" ref="C56:P56" si="15">+C7*C$52</f>
        <v>4462338.1919999998</v>
      </c>
      <c r="D56" s="48">
        <f t="shared" si="15"/>
        <v>7515836.3436000003</v>
      </c>
      <c r="E56" s="230">
        <f t="shared" si="15"/>
        <v>10886853.515760001</v>
      </c>
      <c r="F56" s="188">
        <f t="shared" si="15"/>
        <v>13279709.286630001</v>
      </c>
      <c r="G56" s="188">
        <f t="shared" si="15"/>
        <v>11520542.45115</v>
      </c>
      <c r="H56" s="188">
        <f t="shared" si="15"/>
        <v>10210498.09605</v>
      </c>
      <c r="I56" s="188">
        <f t="shared" si="15"/>
        <v>9144909.9443699997</v>
      </c>
      <c r="J56" s="188">
        <f t="shared" si="15"/>
        <v>6594438.6678600004</v>
      </c>
      <c r="K56" s="188">
        <f t="shared" si="15"/>
        <v>4675383.4813200003</v>
      </c>
      <c r="L56" s="188">
        <f t="shared" si="15"/>
        <v>3843054.9176400001</v>
      </c>
      <c r="M56" s="188">
        <f t="shared" si="15"/>
        <v>3380765.2206299999</v>
      </c>
      <c r="N56" s="188">
        <f t="shared" si="15"/>
        <v>3759325.1236800002</v>
      </c>
      <c r="O56" s="188">
        <f t="shared" si="15"/>
        <v>4493207.04471</v>
      </c>
      <c r="P56" s="231">
        <f t="shared" si="15"/>
        <v>7494130.8313199999</v>
      </c>
    </row>
    <row r="57" spans="1:16" x14ac:dyDescent="0.2">
      <c r="B57" s="24" t="s">
        <v>151</v>
      </c>
      <c r="C57" s="48">
        <f t="shared" ref="C57:P57" si="16">+C8*C$52</f>
        <v>1448076.9731999999</v>
      </c>
      <c r="D57" s="48">
        <f t="shared" si="16"/>
        <v>2238617.7541</v>
      </c>
      <c r="E57" s="230">
        <f t="shared" si="16"/>
        <v>2966489.2861199998</v>
      </c>
      <c r="F57" s="188">
        <f t="shared" si="16"/>
        <v>3235774.1336099999</v>
      </c>
      <c r="G57" s="188">
        <f t="shared" si="16"/>
        <v>2765649.3665399998</v>
      </c>
      <c r="H57" s="188">
        <f t="shared" si="16"/>
        <v>2585444.6951100002</v>
      </c>
      <c r="I57" s="188">
        <f t="shared" si="16"/>
        <v>2403977.50422</v>
      </c>
      <c r="J57" s="188">
        <f t="shared" si="16"/>
        <v>1872331.1028</v>
      </c>
      <c r="K57" s="188">
        <f t="shared" si="16"/>
        <v>1469480.69781</v>
      </c>
      <c r="L57" s="188">
        <f t="shared" si="16"/>
        <v>1270203.2139600001</v>
      </c>
      <c r="M57" s="188">
        <f t="shared" si="16"/>
        <v>1082783.48049</v>
      </c>
      <c r="N57" s="188">
        <f t="shared" si="16"/>
        <v>1188842.8749299999</v>
      </c>
      <c r="O57" s="188">
        <f t="shared" si="16"/>
        <v>1432258.48917</v>
      </c>
      <c r="P57" s="231">
        <f t="shared" si="16"/>
        <v>2193036.2649900001</v>
      </c>
    </row>
    <row r="58" spans="1:16" x14ac:dyDescent="0.2">
      <c r="B58" s="24" t="s">
        <v>152</v>
      </c>
      <c r="C58" s="48">
        <f t="shared" ref="C58:P58" si="17">+C9*C$52</f>
        <v>408374.05050000001</v>
      </c>
      <c r="D58" s="48">
        <f t="shared" si="17"/>
        <v>594539.97199999995</v>
      </c>
      <c r="E58" s="230">
        <f t="shared" si="17"/>
        <v>590490.12878999999</v>
      </c>
      <c r="F58" s="188">
        <f t="shared" si="17"/>
        <v>735065.67851999996</v>
      </c>
      <c r="G58" s="188">
        <f t="shared" si="17"/>
        <v>741278.56238999998</v>
      </c>
      <c r="H58" s="188">
        <f t="shared" si="17"/>
        <v>640403.49033000006</v>
      </c>
      <c r="I58" s="188">
        <f t="shared" si="17"/>
        <v>666997.10091000004</v>
      </c>
      <c r="J58" s="188">
        <f t="shared" si="17"/>
        <v>602340.50736000005</v>
      </c>
      <c r="K58" s="188">
        <f t="shared" si="17"/>
        <v>552103.56215999997</v>
      </c>
      <c r="L58" s="188">
        <f t="shared" si="17"/>
        <v>469144.31634000002</v>
      </c>
      <c r="M58" s="188">
        <f t="shared" si="17"/>
        <v>431700.9534</v>
      </c>
      <c r="N58" s="188">
        <f t="shared" si="17"/>
        <v>415176.84729000001</v>
      </c>
      <c r="O58" s="188">
        <f t="shared" si="17"/>
        <v>390232.19420999999</v>
      </c>
      <c r="P58" s="231">
        <f t="shared" si="17"/>
        <v>567987.09678000002</v>
      </c>
    </row>
    <row r="59" spans="1:16" x14ac:dyDescent="0.2">
      <c r="B59" s="24" t="s">
        <v>153</v>
      </c>
      <c r="C59" s="48">
        <f t="shared" ref="C59:P59" si="18">+C10*C$52</f>
        <v>7160.2426999999998</v>
      </c>
      <c r="D59" s="48">
        <f t="shared" si="18"/>
        <v>98118.763599999991</v>
      </c>
      <c r="E59" s="230">
        <f t="shared" si="18"/>
        <v>182532.61142999999</v>
      </c>
      <c r="F59" s="188">
        <f t="shared" si="18"/>
        <v>291680.79426</v>
      </c>
      <c r="G59" s="188">
        <f t="shared" si="18"/>
        <v>310580.95113</v>
      </c>
      <c r="H59" s="188">
        <f t="shared" si="18"/>
        <v>260101.51217999999</v>
      </c>
      <c r="I59" s="188">
        <f t="shared" si="18"/>
        <v>262477.17495000002</v>
      </c>
      <c r="J59" s="188">
        <f t="shared" si="18"/>
        <v>199480.79061</v>
      </c>
      <c r="K59" s="188">
        <f t="shared" si="18"/>
        <v>148126.8222</v>
      </c>
      <c r="L59" s="188">
        <f t="shared" si="18"/>
        <v>87013.353329999998</v>
      </c>
      <c r="M59" s="188">
        <f t="shared" si="18"/>
        <v>42631.565219999997</v>
      </c>
      <c r="N59" s="188">
        <f t="shared" si="18"/>
        <v>17220.548159999998</v>
      </c>
      <c r="O59" s="188">
        <f t="shared" si="18"/>
        <v>26871.79941</v>
      </c>
      <c r="P59" s="231">
        <f t="shared" si="18"/>
        <v>114195.54474</v>
      </c>
    </row>
    <row r="60" spans="1:16" x14ac:dyDescent="0.2">
      <c r="B60" s="24" t="s">
        <v>154</v>
      </c>
      <c r="C60" s="48">
        <f t="shared" ref="C60:P60" si="19">+C11*C$52</f>
        <v>422857.01250000001</v>
      </c>
      <c r="D60" s="48">
        <f t="shared" si="19"/>
        <v>742867.89199999999</v>
      </c>
      <c r="E60" s="230">
        <f t="shared" si="19"/>
        <v>684819.03356999997</v>
      </c>
      <c r="F60" s="188">
        <f t="shared" si="19"/>
        <v>848784.77153999999</v>
      </c>
      <c r="G60" s="188">
        <f t="shared" si="19"/>
        <v>799477.83837000001</v>
      </c>
      <c r="H60" s="188">
        <f t="shared" si="19"/>
        <v>663578.52101999999</v>
      </c>
      <c r="I60" s="188">
        <f t="shared" si="19"/>
        <v>664680.02463</v>
      </c>
      <c r="J60" s="188">
        <f t="shared" si="19"/>
        <v>563532.19559999998</v>
      </c>
      <c r="K60" s="188">
        <f t="shared" si="19"/>
        <v>522268.68312</v>
      </c>
      <c r="L60" s="188">
        <f t="shared" si="19"/>
        <v>462886.81362000003</v>
      </c>
      <c r="M60" s="188">
        <f t="shared" si="19"/>
        <v>454314.95055000001</v>
      </c>
      <c r="N60" s="188">
        <f t="shared" si="19"/>
        <v>426078.59031</v>
      </c>
      <c r="O60" s="188">
        <f t="shared" si="19"/>
        <v>390129.76484999998</v>
      </c>
      <c r="P60" s="231">
        <f t="shared" si="19"/>
        <v>692104.32180000003</v>
      </c>
    </row>
    <row r="61" spans="1:16" x14ac:dyDescent="0.2">
      <c r="A61" s="232"/>
      <c r="B61" s="232" t="s">
        <v>169</v>
      </c>
      <c r="C61" s="432">
        <f>SUM(C54:C60)</f>
        <v>14588410.090799997</v>
      </c>
      <c r="D61" s="432">
        <f>SUM(D54:D60)</f>
        <v>27835208.915799998</v>
      </c>
      <c r="E61" s="433">
        <f t="shared" ref="E61:P61" si="20">SUM(E54:E60)</f>
        <v>41912585.218889989</v>
      </c>
      <c r="F61" s="432">
        <f t="shared" si="20"/>
        <v>52551828.172530003</v>
      </c>
      <c r="G61" s="432">
        <f t="shared" si="20"/>
        <v>48764579.408550002</v>
      </c>
      <c r="H61" s="432">
        <f t="shared" si="20"/>
        <v>42627260.08296001</v>
      </c>
      <c r="I61" s="432">
        <f t="shared" si="20"/>
        <v>38636941.620870009</v>
      </c>
      <c r="J61" s="432">
        <f t="shared" si="20"/>
        <v>27543047.71734</v>
      </c>
      <c r="K61" s="432">
        <f t="shared" si="20"/>
        <v>18181334.392830003</v>
      </c>
      <c r="L61" s="432">
        <f t="shared" si="20"/>
        <v>13610480.073389998</v>
      </c>
      <c r="M61" s="432">
        <f t="shared" si="20"/>
        <v>11015487.332370002</v>
      </c>
      <c r="N61" s="432">
        <f t="shared" si="20"/>
        <v>11461738.298759999</v>
      </c>
      <c r="O61" s="432">
        <f t="shared" si="20"/>
        <v>14484789.543060001</v>
      </c>
      <c r="P61" s="434">
        <f t="shared" si="20"/>
        <v>27464698.956689995</v>
      </c>
    </row>
    <row r="62" spans="1:16" x14ac:dyDescent="0.2">
      <c r="E62" s="212"/>
      <c r="F62" s="121"/>
      <c r="G62" s="121"/>
      <c r="H62" s="121"/>
      <c r="I62" s="121"/>
      <c r="J62" s="121"/>
      <c r="K62" s="121"/>
      <c r="L62" s="121"/>
      <c r="M62" s="121"/>
      <c r="N62" s="121"/>
      <c r="O62" s="121"/>
      <c r="P62" s="213"/>
    </row>
    <row r="63" spans="1:16" x14ac:dyDescent="0.2">
      <c r="A63" s="23" t="s">
        <v>174</v>
      </c>
      <c r="E63" s="212"/>
      <c r="F63" s="121"/>
      <c r="G63" s="121"/>
      <c r="H63" s="121"/>
      <c r="I63" s="121"/>
      <c r="J63" s="121"/>
      <c r="K63" s="121"/>
      <c r="L63" s="121"/>
      <c r="M63" s="121"/>
      <c r="N63" s="121"/>
      <c r="O63" s="121"/>
      <c r="P63" s="213"/>
    </row>
    <row r="64" spans="1:16" x14ac:dyDescent="0.2">
      <c r="E64" s="212"/>
      <c r="F64" s="121"/>
      <c r="G64" s="121"/>
      <c r="H64" s="121"/>
      <c r="I64" s="121"/>
      <c r="J64" s="121"/>
      <c r="K64" s="121"/>
      <c r="L64" s="121"/>
      <c r="M64" s="121"/>
      <c r="N64" s="121"/>
      <c r="O64" s="121"/>
      <c r="P64" s="213"/>
    </row>
    <row r="65" spans="1:16" x14ac:dyDescent="0.2">
      <c r="A65" s="225" t="s">
        <v>175</v>
      </c>
      <c r="E65" s="212"/>
      <c r="F65" s="121"/>
      <c r="G65" s="121"/>
      <c r="H65" s="121"/>
      <c r="I65" s="121"/>
      <c r="J65" s="121"/>
      <c r="K65" s="121"/>
      <c r="L65" s="121"/>
      <c r="M65" s="121"/>
      <c r="N65" s="121"/>
      <c r="O65" s="121"/>
      <c r="P65" s="213"/>
    </row>
    <row r="66" spans="1:16" x14ac:dyDescent="0.2">
      <c r="B66" s="24" t="s">
        <v>148</v>
      </c>
      <c r="C66" s="48">
        <f>C85+C105+C124+C143</f>
        <v>-3879163.8977600001</v>
      </c>
      <c r="D66" s="48">
        <f t="shared" ref="D66:P72" si="21">D85+D105+D124+D143</f>
        <v>-8236441.5666799992</v>
      </c>
      <c r="E66" s="230">
        <f t="shared" si="21"/>
        <v>-3841504.4869499998</v>
      </c>
      <c r="F66" s="188">
        <f t="shared" si="21"/>
        <v>-4933166.3927000007</v>
      </c>
      <c r="G66" s="188">
        <f t="shared" si="21"/>
        <v>-4711674.1997000007</v>
      </c>
      <c r="H66" s="188">
        <f t="shared" si="21"/>
        <v>-4082069.0118</v>
      </c>
      <c r="I66" s="188">
        <f t="shared" si="21"/>
        <v>-3681569.2612399999</v>
      </c>
      <c r="J66" s="188">
        <f t="shared" si="21"/>
        <v>-2557622.4772800002</v>
      </c>
      <c r="K66" s="188">
        <f t="shared" si="21"/>
        <v>-1561626.97795</v>
      </c>
      <c r="L66" s="188">
        <f t="shared" si="21"/>
        <v>-1079901.88111</v>
      </c>
      <c r="M66" s="188">
        <f t="shared" si="21"/>
        <v>-812036.01036999992</v>
      </c>
      <c r="N66" s="188">
        <f t="shared" si="21"/>
        <v>-816628.73343999998</v>
      </c>
      <c r="O66" s="188">
        <f t="shared" si="21"/>
        <v>-1119457.88448</v>
      </c>
      <c r="P66" s="231">
        <f t="shared" si="21"/>
        <v>-2368779.2454299997</v>
      </c>
    </row>
    <row r="67" spans="1:16" x14ac:dyDescent="0.2">
      <c r="B67" s="24" t="s">
        <v>149</v>
      </c>
      <c r="C67" s="48">
        <f t="shared" ref="C67:C72" si="22">C86+C106+C125+C144</f>
        <v>-98.670419999999993</v>
      </c>
      <c r="D67" s="48">
        <f t="shared" si="21"/>
        <v>-98.670419999999993</v>
      </c>
      <c r="E67" s="230">
        <f t="shared" si="21"/>
        <v>-28.743390000000002</v>
      </c>
      <c r="F67" s="188">
        <f t="shared" si="21"/>
        <v>-28.743390000000002</v>
      </c>
      <c r="G67" s="188">
        <f t="shared" si="21"/>
        <v>-28.743390000000002</v>
      </c>
      <c r="H67" s="188">
        <f t="shared" si="21"/>
        <v>-28.743390000000002</v>
      </c>
      <c r="I67" s="188">
        <f t="shared" si="21"/>
        <v>-28.743390000000002</v>
      </c>
      <c r="J67" s="188">
        <f t="shared" si="21"/>
        <v>-28.743390000000002</v>
      </c>
      <c r="K67" s="188">
        <f t="shared" si="21"/>
        <v>-28.743390000000002</v>
      </c>
      <c r="L67" s="188">
        <f t="shared" si="21"/>
        <v>-28.743390000000002</v>
      </c>
      <c r="M67" s="188">
        <f t="shared" si="21"/>
        <v>-28.743390000000002</v>
      </c>
      <c r="N67" s="188">
        <f t="shared" si="21"/>
        <v>-28.743390000000002</v>
      </c>
      <c r="O67" s="188">
        <f t="shared" si="21"/>
        <v>-28.743390000000002</v>
      </c>
      <c r="P67" s="231">
        <f t="shared" si="21"/>
        <v>-28.743390000000002</v>
      </c>
    </row>
    <row r="68" spans="1:16" x14ac:dyDescent="0.2">
      <c r="B68" s="24" t="s">
        <v>150</v>
      </c>
      <c r="C68" s="48">
        <f t="shared" si="22"/>
        <v>-2191332.9408</v>
      </c>
      <c r="D68" s="48">
        <f t="shared" si="21"/>
        <v>-3690822.8486399995</v>
      </c>
      <c r="E68" s="230">
        <f t="shared" si="21"/>
        <v>-1571900.1364799999</v>
      </c>
      <c r="F68" s="188">
        <f t="shared" si="21"/>
        <v>-1917393.0107400001</v>
      </c>
      <c r="G68" s="188">
        <f t="shared" si="21"/>
        <v>-1663395.4176999999</v>
      </c>
      <c r="H68" s="188">
        <f t="shared" si="21"/>
        <v>-1474244.4479</v>
      </c>
      <c r="I68" s="188">
        <f t="shared" si="21"/>
        <v>-1320389.3272600002</v>
      </c>
      <c r="J68" s="188">
        <f t="shared" si="21"/>
        <v>-952139.11228</v>
      </c>
      <c r="K68" s="188">
        <f t="shared" si="21"/>
        <v>-675056.01335999998</v>
      </c>
      <c r="L68" s="188">
        <f t="shared" si="21"/>
        <v>-554880.11672000005</v>
      </c>
      <c r="M68" s="188">
        <f t="shared" si="21"/>
        <v>-488132.34273999999</v>
      </c>
      <c r="N68" s="188">
        <f t="shared" si="21"/>
        <v>-542790.77663999994</v>
      </c>
      <c r="O68" s="188">
        <f t="shared" si="21"/>
        <v>-648752.43857999996</v>
      </c>
      <c r="P68" s="231">
        <f t="shared" si="21"/>
        <v>-1082041.31336</v>
      </c>
    </row>
    <row r="69" spans="1:16" x14ac:dyDescent="0.2">
      <c r="B69" s="24" t="s">
        <v>151</v>
      </c>
      <c r="C69" s="48">
        <f t="shared" si="22"/>
        <v>-696954.56687999994</v>
      </c>
      <c r="D69" s="48">
        <f t="shared" si="21"/>
        <v>-1077439.18044</v>
      </c>
      <c r="E69" s="230">
        <f t="shared" si="21"/>
        <v>-428011.21223999996</v>
      </c>
      <c r="F69" s="188">
        <f t="shared" si="21"/>
        <v>-466864.18722000002</v>
      </c>
      <c r="G69" s="188">
        <f t="shared" si="21"/>
        <v>-399033.61307999998</v>
      </c>
      <c r="H69" s="188">
        <f t="shared" si="21"/>
        <v>-373033.31021999998</v>
      </c>
      <c r="I69" s="188">
        <f t="shared" si="21"/>
        <v>-346850.84844000003</v>
      </c>
      <c r="J69" s="188">
        <f t="shared" si="21"/>
        <v>-270143.80559999996</v>
      </c>
      <c r="K69" s="188">
        <f t="shared" si="21"/>
        <v>-212019.71562</v>
      </c>
      <c r="L69" s="188">
        <f t="shared" si="21"/>
        <v>-183267.54791999998</v>
      </c>
      <c r="M69" s="188">
        <f t="shared" si="21"/>
        <v>-156226.24098</v>
      </c>
      <c r="N69" s="188">
        <f t="shared" si="21"/>
        <v>-171528.70986</v>
      </c>
      <c r="O69" s="188">
        <f t="shared" si="21"/>
        <v>-206649.21834000002</v>
      </c>
      <c r="P69" s="231">
        <f t="shared" si="21"/>
        <v>-316415.80998000002</v>
      </c>
    </row>
    <row r="70" spans="1:16" x14ac:dyDescent="0.2">
      <c r="B70" s="24" t="s">
        <v>152</v>
      </c>
      <c r="C70" s="48">
        <f t="shared" si="22"/>
        <v>-188585.39249999999</v>
      </c>
      <c r="D70" s="48">
        <f t="shared" si="21"/>
        <v>-274556.01999999996</v>
      </c>
      <c r="E70" s="230">
        <f t="shared" si="21"/>
        <v>-85075.383900000001</v>
      </c>
      <c r="F70" s="188">
        <f t="shared" si="21"/>
        <v>-105905.2332</v>
      </c>
      <c r="G70" s="188">
        <f t="shared" si="21"/>
        <v>-106800.3599</v>
      </c>
      <c r="H70" s="188">
        <f t="shared" si="21"/>
        <v>-92266.695300000007</v>
      </c>
      <c r="I70" s="188">
        <f t="shared" si="21"/>
        <v>-96098.193100000004</v>
      </c>
      <c r="J70" s="188">
        <f t="shared" si="21"/>
        <v>-86782.737599999993</v>
      </c>
      <c r="K70" s="188">
        <f t="shared" si="21"/>
        <v>-79544.805599999992</v>
      </c>
      <c r="L70" s="188">
        <f t="shared" si="21"/>
        <v>-67592.379399999991</v>
      </c>
      <c r="M70" s="188">
        <f t="shared" si="21"/>
        <v>-62197.693999999996</v>
      </c>
      <c r="N70" s="188">
        <f t="shared" si="21"/>
        <v>-59816.9689</v>
      </c>
      <c r="O70" s="188">
        <f t="shared" si="21"/>
        <v>-56223.0461</v>
      </c>
      <c r="P70" s="231">
        <f t="shared" si="21"/>
        <v>-81833.23980000001</v>
      </c>
    </row>
    <row r="71" spans="1:16" x14ac:dyDescent="0.2">
      <c r="B71" s="24" t="s">
        <v>153</v>
      </c>
      <c r="C71" s="48">
        <f t="shared" si="22"/>
        <v>-3337.33257</v>
      </c>
      <c r="D71" s="48">
        <f t="shared" si="21"/>
        <v>-45732.380759999993</v>
      </c>
      <c r="E71" s="230">
        <f t="shared" si="21"/>
        <v>-26307.955440000002</v>
      </c>
      <c r="F71" s="188">
        <f t="shared" si="21"/>
        <v>-42039.202080000003</v>
      </c>
      <c r="G71" s="188">
        <f t="shared" si="21"/>
        <v>-44763.233039999999</v>
      </c>
      <c r="H71" s="188">
        <f t="shared" si="21"/>
        <v>-37487.761440000002</v>
      </c>
      <c r="I71" s="188">
        <f t="shared" si="21"/>
        <v>-37830.159600000006</v>
      </c>
      <c r="J71" s="188">
        <f t="shared" si="21"/>
        <v>-28750.652880000001</v>
      </c>
      <c r="K71" s="188">
        <f t="shared" si="21"/>
        <v>-21349.137600000002</v>
      </c>
      <c r="L71" s="188">
        <f t="shared" si="21"/>
        <v>-12541.010639999999</v>
      </c>
      <c r="M71" s="188">
        <f t="shared" si="21"/>
        <v>-6144.3777600000003</v>
      </c>
      <c r="N71" s="188">
        <f t="shared" si="21"/>
        <v>-2481.9532799999997</v>
      </c>
      <c r="O71" s="188">
        <f t="shared" si="21"/>
        <v>-3872.9632799999999</v>
      </c>
      <c r="P71" s="231">
        <f t="shared" si="21"/>
        <v>-16458.709920000001</v>
      </c>
    </row>
    <row r="72" spans="1:16" x14ac:dyDescent="0.2">
      <c r="B72" s="24" t="s">
        <v>154</v>
      </c>
      <c r="C72" s="48">
        <f t="shared" si="22"/>
        <v>-193870.20374999999</v>
      </c>
      <c r="D72" s="48">
        <f t="shared" si="21"/>
        <v>-340587.8236</v>
      </c>
      <c r="E72" s="230">
        <f t="shared" si="21"/>
        <v>-98648.253270000001</v>
      </c>
      <c r="F72" s="188">
        <f t="shared" si="21"/>
        <v>-122267.53494</v>
      </c>
      <c r="G72" s="188">
        <f t="shared" si="21"/>
        <v>-115164.86607</v>
      </c>
      <c r="H72" s="188">
        <f t="shared" si="21"/>
        <v>-95588.555219999995</v>
      </c>
      <c r="I72" s="188">
        <f t="shared" si="21"/>
        <v>-95747.22692999999</v>
      </c>
      <c r="J72" s="188">
        <f t="shared" si="21"/>
        <v>-81176.871599999999</v>
      </c>
      <c r="K72" s="188">
        <f t="shared" si="21"/>
        <v>-75232.858319999999</v>
      </c>
      <c r="L72" s="188">
        <f t="shared" si="21"/>
        <v>-66678.893819999998</v>
      </c>
      <c r="M72" s="188">
        <f t="shared" si="21"/>
        <v>-65444.116049999997</v>
      </c>
      <c r="N72" s="188">
        <f t="shared" si="21"/>
        <v>-61376.665410000001</v>
      </c>
      <c r="O72" s="188">
        <f t="shared" si="21"/>
        <v>-56198.233350000002</v>
      </c>
      <c r="P72" s="231">
        <f t="shared" si="21"/>
        <v>-99697.699800000002</v>
      </c>
    </row>
    <row r="73" spans="1:16" x14ac:dyDescent="0.2">
      <c r="A73" s="232"/>
      <c r="B73" s="232" t="s">
        <v>175</v>
      </c>
      <c r="C73" s="432">
        <f>SUM(C66:C72)</f>
        <v>-7153343.0046800002</v>
      </c>
      <c r="D73" s="432">
        <f>SUM(D66:D72)</f>
        <v>-13665678.490539998</v>
      </c>
      <c r="E73" s="433">
        <f t="shared" ref="E73:P73" si="23">SUM(E66:E72)</f>
        <v>-6051476.1716700001</v>
      </c>
      <c r="F73" s="432">
        <f t="shared" si="23"/>
        <v>-7587664.3042700002</v>
      </c>
      <c r="G73" s="432">
        <f t="shared" si="23"/>
        <v>-7040860.4328800011</v>
      </c>
      <c r="H73" s="432">
        <f t="shared" si="23"/>
        <v>-6154718.5252700001</v>
      </c>
      <c r="I73" s="432">
        <f t="shared" si="23"/>
        <v>-5578513.7599599995</v>
      </c>
      <c r="J73" s="432">
        <f t="shared" si="23"/>
        <v>-3976644.4006300005</v>
      </c>
      <c r="K73" s="432">
        <f t="shared" si="23"/>
        <v>-2624858.25184</v>
      </c>
      <c r="L73" s="432">
        <f t="shared" si="23"/>
        <v>-1964890.5729999999</v>
      </c>
      <c r="M73" s="432">
        <f t="shared" si="23"/>
        <v>-1590209.52529</v>
      </c>
      <c r="N73" s="432">
        <f t="shared" si="23"/>
        <v>-1654652.5509199998</v>
      </c>
      <c r="O73" s="432">
        <f t="shared" si="23"/>
        <v>-2091182.52752</v>
      </c>
      <c r="P73" s="434">
        <f t="shared" si="23"/>
        <v>-3965254.7616799995</v>
      </c>
    </row>
    <row r="74" spans="1:16" x14ac:dyDescent="0.2">
      <c r="E74" s="212"/>
      <c r="F74" s="121"/>
      <c r="G74" s="121"/>
      <c r="H74" s="121"/>
      <c r="I74" s="121"/>
      <c r="J74" s="121"/>
      <c r="K74" s="121"/>
      <c r="L74" s="121"/>
      <c r="M74" s="121"/>
      <c r="N74" s="121"/>
      <c r="O74" s="121"/>
      <c r="P74" s="213"/>
    </row>
    <row r="75" spans="1:16" x14ac:dyDescent="0.2">
      <c r="A75" s="225" t="s">
        <v>176</v>
      </c>
      <c r="E75" s="212"/>
      <c r="F75" s="121"/>
      <c r="G75" s="121"/>
      <c r="H75" s="121"/>
      <c r="I75" s="121"/>
      <c r="J75" s="121"/>
      <c r="K75" s="121"/>
      <c r="L75" s="121"/>
      <c r="M75" s="121"/>
      <c r="N75" s="121"/>
      <c r="O75" s="121"/>
      <c r="P75" s="213"/>
    </row>
    <row r="76" spans="1:16" x14ac:dyDescent="0.2">
      <c r="B76" s="24" t="s">
        <v>148</v>
      </c>
      <c r="C76" s="577">
        <v>-6.9999999999999994E-5</v>
      </c>
      <c r="D76" s="53">
        <f>C76</f>
        <v>-6.9999999999999994E-5</v>
      </c>
      <c r="E76" s="235">
        <f>'Sch. 106 PGA Amort Rates'!E18</f>
        <v>-3.3E-4</v>
      </c>
      <c r="F76" s="236">
        <f t="shared" ref="F76:P82" si="24">E76</f>
        <v>-3.3E-4</v>
      </c>
      <c r="G76" s="236">
        <f t="shared" si="24"/>
        <v>-3.3E-4</v>
      </c>
      <c r="H76" s="236">
        <f t="shared" si="24"/>
        <v>-3.3E-4</v>
      </c>
      <c r="I76" s="236">
        <f t="shared" si="24"/>
        <v>-3.3E-4</v>
      </c>
      <c r="J76" s="236">
        <f t="shared" si="24"/>
        <v>-3.3E-4</v>
      </c>
      <c r="K76" s="236">
        <f t="shared" si="24"/>
        <v>-3.3E-4</v>
      </c>
      <c r="L76" s="236">
        <f t="shared" si="24"/>
        <v>-3.3E-4</v>
      </c>
      <c r="M76" s="236">
        <f t="shared" si="24"/>
        <v>-3.3E-4</v>
      </c>
      <c r="N76" s="236">
        <f t="shared" si="24"/>
        <v>-3.3E-4</v>
      </c>
      <c r="O76" s="236">
        <f t="shared" si="24"/>
        <v>-3.3E-4</v>
      </c>
      <c r="P76" s="237">
        <f t="shared" si="24"/>
        <v>-3.3E-4</v>
      </c>
    </row>
    <row r="77" spans="1:16" x14ac:dyDescent="0.2">
      <c r="B77" s="24" t="s">
        <v>149</v>
      </c>
      <c r="C77" s="516">
        <v>-6.9999999999999994E-5</v>
      </c>
      <c r="D77" s="53">
        <f t="shared" ref="D77:D82" si="25">C77</f>
        <v>-6.9999999999999994E-5</v>
      </c>
      <c r="E77" s="409">
        <f>'Sch. 106 PGA Amort Rates'!F18</f>
        <v>-3.3E-4</v>
      </c>
      <c r="F77" s="236">
        <f t="shared" si="24"/>
        <v>-3.3E-4</v>
      </c>
      <c r="G77" s="236">
        <f t="shared" si="24"/>
        <v>-3.3E-4</v>
      </c>
      <c r="H77" s="236">
        <f t="shared" si="24"/>
        <v>-3.3E-4</v>
      </c>
      <c r="I77" s="236">
        <f t="shared" si="24"/>
        <v>-3.3E-4</v>
      </c>
      <c r="J77" s="236">
        <f t="shared" si="24"/>
        <v>-3.3E-4</v>
      </c>
      <c r="K77" s="236">
        <f t="shared" si="24"/>
        <v>-3.3E-4</v>
      </c>
      <c r="L77" s="236">
        <f t="shared" si="24"/>
        <v>-3.3E-4</v>
      </c>
      <c r="M77" s="236">
        <f t="shared" si="24"/>
        <v>-3.3E-4</v>
      </c>
      <c r="N77" s="236">
        <f t="shared" si="24"/>
        <v>-3.3E-4</v>
      </c>
      <c r="O77" s="236">
        <f t="shared" si="24"/>
        <v>-3.3E-4</v>
      </c>
      <c r="P77" s="237">
        <f t="shared" si="24"/>
        <v>-3.3E-4</v>
      </c>
    </row>
    <row r="78" spans="1:16" x14ac:dyDescent="0.2">
      <c r="B78" s="24" t="s">
        <v>150</v>
      </c>
      <c r="C78" s="516">
        <v>-6.0000000000000002E-5</v>
      </c>
      <c r="D78" s="53">
        <f t="shared" si="25"/>
        <v>-6.0000000000000002E-5</v>
      </c>
      <c r="E78" s="409">
        <f>'Sch. 106 PGA Amort Rates'!G18</f>
        <v>-3.2000000000000003E-4</v>
      </c>
      <c r="F78" s="236">
        <f t="shared" si="24"/>
        <v>-3.2000000000000003E-4</v>
      </c>
      <c r="G78" s="236">
        <f t="shared" si="24"/>
        <v>-3.2000000000000003E-4</v>
      </c>
      <c r="H78" s="236">
        <f t="shared" si="24"/>
        <v>-3.2000000000000003E-4</v>
      </c>
      <c r="I78" s="236">
        <f t="shared" si="24"/>
        <v>-3.2000000000000003E-4</v>
      </c>
      <c r="J78" s="236">
        <f t="shared" si="24"/>
        <v>-3.2000000000000003E-4</v>
      </c>
      <c r="K78" s="236">
        <f t="shared" si="24"/>
        <v>-3.2000000000000003E-4</v>
      </c>
      <c r="L78" s="236">
        <f t="shared" si="24"/>
        <v>-3.2000000000000003E-4</v>
      </c>
      <c r="M78" s="236">
        <f t="shared" si="24"/>
        <v>-3.2000000000000003E-4</v>
      </c>
      <c r="N78" s="236">
        <f t="shared" si="24"/>
        <v>-3.2000000000000003E-4</v>
      </c>
      <c r="O78" s="236">
        <f t="shared" si="24"/>
        <v>-3.2000000000000003E-4</v>
      </c>
      <c r="P78" s="237">
        <f t="shared" si="24"/>
        <v>-3.2000000000000003E-4</v>
      </c>
    </row>
    <row r="79" spans="1:16" x14ac:dyDescent="0.2">
      <c r="B79" s="24" t="s">
        <v>151</v>
      </c>
      <c r="C79" s="516">
        <v>-5.0000000000000002E-5</v>
      </c>
      <c r="D79" s="53">
        <f t="shared" si="25"/>
        <v>-5.0000000000000002E-5</v>
      </c>
      <c r="E79" s="409">
        <f>'Sch. 106 PGA Amort Rates'!H18</f>
        <v>-2.7999999999999998E-4</v>
      </c>
      <c r="F79" s="236">
        <f t="shared" si="24"/>
        <v>-2.7999999999999998E-4</v>
      </c>
      <c r="G79" s="236">
        <f t="shared" si="24"/>
        <v>-2.7999999999999998E-4</v>
      </c>
      <c r="H79" s="236">
        <f t="shared" si="24"/>
        <v>-2.7999999999999998E-4</v>
      </c>
      <c r="I79" s="236">
        <f t="shared" si="24"/>
        <v>-2.7999999999999998E-4</v>
      </c>
      <c r="J79" s="236">
        <f t="shared" si="24"/>
        <v>-2.7999999999999998E-4</v>
      </c>
      <c r="K79" s="236">
        <f t="shared" si="24"/>
        <v>-2.7999999999999998E-4</v>
      </c>
      <c r="L79" s="236">
        <f t="shared" si="24"/>
        <v>-2.7999999999999998E-4</v>
      </c>
      <c r="M79" s="236">
        <f t="shared" si="24"/>
        <v>-2.7999999999999998E-4</v>
      </c>
      <c r="N79" s="236">
        <f t="shared" si="24"/>
        <v>-2.7999999999999998E-4</v>
      </c>
      <c r="O79" s="236">
        <f t="shared" si="24"/>
        <v>-2.7999999999999998E-4</v>
      </c>
      <c r="P79" s="237">
        <f t="shared" si="24"/>
        <v>-2.7999999999999998E-4</v>
      </c>
    </row>
    <row r="80" spans="1:16" x14ac:dyDescent="0.2">
      <c r="B80" s="24" t="s">
        <v>152</v>
      </c>
      <c r="C80" s="516">
        <v>-4.0000000000000003E-5</v>
      </c>
      <c r="D80" s="53">
        <f t="shared" si="25"/>
        <v>-4.0000000000000003E-5</v>
      </c>
      <c r="E80" s="409">
        <f>'Sch. 106 PGA Amort Rates'!I18</f>
        <v>-2.0000000000000001E-4</v>
      </c>
      <c r="F80" s="236">
        <f t="shared" si="24"/>
        <v>-2.0000000000000001E-4</v>
      </c>
      <c r="G80" s="236">
        <f t="shared" si="24"/>
        <v>-2.0000000000000001E-4</v>
      </c>
      <c r="H80" s="236">
        <f t="shared" si="24"/>
        <v>-2.0000000000000001E-4</v>
      </c>
      <c r="I80" s="236">
        <f t="shared" si="24"/>
        <v>-2.0000000000000001E-4</v>
      </c>
      <c r="J80" s="236">
        <f t="shared" si="24"/>
        <v>-2.0000000000000001E-4</v>
      </c>
      <c r="K80" s="236">
        <f t="shared" si="24"/>
        <v>-2.0000000000000001E-4</v>
      </c>
      <c r="L80" s="236">
        <f t="shared" si="24"/>
        <v>-2.0000000000000001E-4</v>
      </c>
      <c r="M80" s="236">
        <f t="shared" si="24"/>
        <v>-2.0000000000000001E-4</v>
      </c>
      <c r="N80" s="236">
        <f t="shared" si="24"/>
        <v>-2.0000000000000001E-4</v>
      </c>
      <c r="O80" s="236">
        <f t="shared" si="24"/>
        <v>-2.0000000000000001E-4</v>
      </c>
      <c r="P80" s="237">
        <f t="shared" si="24"/>
        <v>-2.0000000000000001E-4</v>
      </c>
    </row>
    <row r="81" spans="1:16" x14ac:dyDescent="0.2">
      <c r="B81" s="24" t="s">
        <v>153</v>
      </c>
      <c r="C81" s="516">
        <v>-4.0000000000000003E-5</v>
      </c>
      <c r="D81" s="53">
        <f t="shared" si="25"/>
        <v>-4.0000000000000003E-5</v>
      </c>
      <c r="E81" s="409">
        <f>'Sch. 106 PGA Amort Rates'!J18</f>
        <v>-2.2000000000000001E-4</v>
      </c>
      <c r="F81" s="236">
        <f t="shared" si="24"/>
        <v>-2.2000000000000001E-4</v>
      </c>
      <c r="G81" s="236">
        <f t="shared" si="24"/>
        <v>-2.2000000000000001E-4</v>
      </c>
      <c r="H81" s="236">
        <f t="shared" si="24"/>
        <v>-2.2000000000000001E-4</v>
      </c>
      <c r="I81" s="236">
        <f t="shared" si="24"/>
        <v>-2.2000000000000001E-4</v>
      </c>
      <c r="J81" s="236">
        <f t="shared" si="24"/>
        <v>-2.2000000000000001E-4</v>
      </c>
      <c r="K81" s="236">
        <f t="shared" si="24"/>
        <v>-2.2000000000000001E-4</v>
      </c>
      <c r="L81" s="236">
        <f t="shared" si="24"/>
        <v>-2.2000000000000001E-4</v>
      </c>
      <c r="M81" s="236">
        <f t="shared" si="24"/>
        <v>-2.2000000000000001E-4</v>
      </c>
      <c r="N81" s="236">
        <f t="shared" si="24"/>
        <v>-2.2000000000000001E-4</v>
      </c>
      <c r="O81" s="236">
        <f t="shared" si="24"/>
        <v>-2.2000000000000001E-4</v>
      </c>
      <c r="P81" s="237">
        <f t="shared" si="24"/>
        <v>-2.2000000000000001E-4</v>
      </c>
    </row>
    <row r="82" spans="1:16" x14ac:dyDescent="0.2">
      <c r="B82" s="24" t="s">
        <v>154</v>
      </c>
      <c r="C82" s="527">
        <v>-4.0000000000000003E-5</v>
      </c>
      <c r="D82" s="53">
        <f t="shared" si="25"/>
        <v>-4.0000000000000003E-5</v>
      </c>
      <c r="E82" s="410">
        <f>'Sch. 106 PGA Amort Rates'!K18</f>
        <v>-1.9000000000000001E-4</v>
      </c>
      <c r="F82" s="236">
        <f t="shared" si="24"/>
        <v>-1.9000000000000001E-4</v>
      </c>
      <c r="G82" s="236">
        <f t="shared" si="24"/>
        <v>-1.9000000000000001E-4</v>
      </c>
      <c r="H82" s="236">
        <f t="shared" si="24"/>
        <v>-1.9000000000000001E-4</v>
      </c>
      <c r="I82" s="236">
        <f t="shared" si="24"/>
        <v>-1.9000000000000001E-4</v>
      </c>
      <c r="J82" s="236">
        <f t="shared" si="24"/>
        <v>-1.9000000000000001E-4</v>
      </c>
      <c r="K82" s="236">
        <f t="shared" si="24"/>
        <v>-1.9000000000000001E-4</v>
      </c>
      <c r="L82" s="236">
        <f t="shared" si="24"/>
        <v>-1.9000000000000001E-4</v>
      </c>
      <c r="M82" s="236">
        <f t="shared" si="24"/>
        <v>-1.9000000000000001E-4</v>
      </c>
      <c r="N82" s="236">
        <f t="shared" si="24"/>
        <v>-1.9000000000000001E-4</v>
      </c>
      <c r="O82" s="236">
        <f t="shared" si="24"/>
        <v>-1.9000000000000001E-4</v>
      </c>
      <c r="P82" s="237">
        <f t="shared" si="24"/>
        <v>-1.9000000000000001E-4</v>
      </c>
    </row>
    <row r="83" spans="1:16" x14ac:dyDescent="0.2">
      <c r="C83" s="121"/>
      <c r="E83" s="212"/>
      <c r="F83" s="121"/>
      <c r="G83" s="121"/>
      <c r="H83" s="121"/>
      <c r="I83" s="121"/>
      <c r="J83" s="121"/>
      <c r="K83" s="121"/>
      <c r="L83" s="121"/>
      <c r="M83" s="121"/>
      <c r="N83" s="121"/>
      <c r="O83" s="121"/>
      <c r="P83" s="213"/>
    </row>
    <row r="84" spans="1:16" x14ac:dyDescent="0.2">
      <c r="A84" s="225" t="s">
        <v>177</v>
      </c>
      <c r="E84" s="212"/>
      <c r="F84" s="121"/>
      <c r="G84" s="121"/>
      <c r="H84" s="121"/>
      <c r="I84" s="121"/>
      <c r="J84" s="121"/>
      <c r="K84" s="121"/>
      <c r="L84" s="121"/>
      <c r="M84" s="121"/>
      <c r="N84" s="121"/>
      <c r="O84" s="121"/>
      <c r="P84" s="213"/>
    </row>
    <row r="85" spans="1:16" x14ac:dyDescent="0.2">
      <c r="B85" s="24" t="s">
        <v>148</v>
      </c>
      <c r="C85" s="48">
        <f t="shared" ref="C85:P85" si="26">+C5*C76</f>
        <v>-1411.7784799999999</v>
      </c>
      <c r="D85" s="48">
        <f t="shared" si="26"/>
        <v>-2997.5611399999998</v>
      </c>
      <c r="E85" s="230">
        <f t="shared" si="26"/>
        <v>-22625.316449999998</v>
      </c>
      <c r="F85" s="188">
        <f t="shared" si="26"/>
        <v>-29054.879700000001</v>
      </c>
      <c r="G85" s="188">
        <f t="shared" si="26"/>
        <v>-27750.3567</v>
      </c>
      <c r="H85" s="188">
        <f t="shared" si="26"/>
        <v>-24042.1698</v>
      </c>
      <c r="I85" s="188">
        <f t="shared" si="26"/>
        <v>-21683.34564</v>
      </c>
      <c r="J85" s="188">
        <f t="shared" si="26"/>
        <v>-15063.63408</v>
      </c>
      <c r="K85" s="188">
        <f t="shared" si="26"/>
        <v>-9197.5174499999994</v>
      </c>
      <c r="L85" s="188">
        <f t="shared" si="26"/>
        <v>-6360.3002100000003</v>
      </c>
      <c r="M85" s="188">
        <f t="shared" si="26"/>
        <v>-4782.6500699999997</v>
      </c>
      <c r="N85" s="188">
        <f t="shared" si="26"/>
        <v>-4809.6998400000002</v>
      </c>
      <c r="O85" s="188">
        <f t="shared" si="26"/>
        <v>-6593.2732800000003</v>
      </c>
      <c r="P85" s="231">
        <f t="shared" si="26"/>
        <v>-13951.40373</v>
      </c>
    </row>
    <row r="86" spans="1:16" x14ac:dyDescent="0.2">
      <c r="B86" s="24" t="s">
        <v>149</v>
      </c>
      <c r="C86" s="48">
        <f t="shared" ref="C86:P86" si="27">(C6)*C77</f>
        <v>-3.5909999999999997E-2</v>
      </c>
      <c r="D86" s="48">
        <f t="shared" si="27"/>
        <v>-3.5909999999999997E-2</v>
      </c>
      <c r="E86" s="230">
        <f t="shared" si="27"/>
        <v>-0.16929</v>
      </c>
      <c r="F86" s="188">
        <f t="shared" si="27"/>
        <v>-0.16929</v>
      </c>
      <c r="G86" s="188">
        <f t="shared" si="27"/>
        <v>-0.16929</v>
      </c>
      <c r="H86" s="188">
        <f t="shared" si="27"/>
        <v>-0.16929</v>
      </c>
      <c r="I86" s="188">
        <f t="shared" si="27"/>
        <v>-0.16929</v>
      </c>
      <c r="J86" s="188">
        <f t="shared" si="27"/>
        <v>-0.16929</v>
      </c>
      <c r="K86" s="188">
        <f t="shared" si="27"/>
        <v>-0.16929</v>
      </c>
      <c r="L86" s="188">
        <f t="shared" si="27"/>
        <v>-0.16929</v>
      </c>
      <c r="M86" s="188">
        <f t="shared" si="27"/>
        <v>-0.16929</v>
      </c>
      <c r="N86" s="188">
        <f t="shared" si="27"/>
        <v>-0.16929</v>
      </c>
      <c r="O86" s="188">
        <f t="shared" si="27"/>
        <v>-0.16929</v>
      </c>
      <c r="P86" s="231">
        <f t="shared" si="27"/>
        <v>-0.16929</v>
      </c>
    </row>
    <row r="87" spans="1:16" x14ac:dyDescent="0.2">
      <c r="B87" s="24" t="s">
        <v>150</v>
      </c>
      <c r="C87" s="48">
        <f t="shared" ref="C87:P87" si="28">+C7*C78</f>
        <v>-688.80960000000005</v>
      </c>
      <c r="D87" s="48">
        <f t="shared" si="28"/>
        <v>-1160.14968</v>
      </c>
      <c r="E87" s="230">
        <f t="shared" si="28"/>
        <v>-8979.0796800000007</v>
      </c>
      <c r="F87" s="188">
        <f t="shared" si="28"/>
        <v>-10952.619840000001</v>
      </c>
      <c r="G87" s="188">
        <f t="shared" si="28"/>
        <v>-9501.7232000000004</v>
      </c>
      <c r="H87" s="188">
        <f t="shared" si="28"/>
        <v>-8421.2464</v>
      </c>
      <c r="I87" s="188">
        <f t="shared" si="28"/>
        <v>-7542.3881600000004</v>
      </c>
      <c r="J87" s="188">
        <f t="shared" si="28"/>
        <v>-5438.8524800000005</v>
      </c>
      <c r="K87" s="188">
        <f t="shared" si="28"/>
        <v>-3856.0857600000004</v>
      </c>
      <c r="L87" s="188">
        <f t="shared" si="28"/>
        <v>-3169.6115200000004</v>
      </c>
      <c r="M87" s="188">
        <f t="shared" si="28"/>
        <v>-2788.3318400000003</v>
      </c>
      <c r="N87" s="188">
        <f t="shared" si="28"/>
        <v>-3100.5542400000004</v>
      </c>
      <c r="O87" s="188">
        <f t="shared" si="28"/>
        <v>-3705.8332800000003</v>
      </c>
      <c r="P87" s="231">
        <f t="shared" si="28"/>
        <v>-6180.8857600000001</v>
      </c>
    </row>
    <row r="88" spans="1:16" x14ac:dyDescent="0.2">
      <c r="B88" s="24" t="s">
        <v>151</v>
      </c>
      <c r="C88" s="48">
        <f t="shared" ref="C88:P88" si="29">+C8*C79</f>
        <v>-186.27180000000001</v>
      </c>
      <c r="D88" s="48">
        <f t="shared" si="29"/>
        <v>-287.96215000000001</v>
      </c>
      <c r="E88" s="230">
        <f t="shared" si="29"/>
        <v>-2140.8206399999999</v>
      </c>
      <c r="F88" s="188">
        <f t="shared" si="29"/>
        <v>-2335.1549199999999</v>
      </c>
      <c r="G88" s="188">
        <f t="shared" si="29"/>
        <v>-1995.8808799999999</v>
      </c>
      <c r="H88" s="188">
        <f t="shared" si="29"/>
        <v>-1865.8329199999998</v>
      </c>
      <c r="I88" s="188">
        <f t="shared" si="29"/>
        <v>-1734.8738399999997</v>
      </c>
      <c r="J88" s="188">
        <f t="shared" si="29"/>
        <v>-1351.2015999999999</v>
      </c>
      <c r="K88" s="188">
        <f t="shared" si="29"/>
        <v>-1060.47732</v>
      </c>
      <c r="L88" s="188">
        <f t="shared" si="29"/>
        <v>-916.66511999999989</v>
      </c>
      <c r="M88" s="188">
        <f t="shared" si="29"/>
        <v>-781.41027999999994</v>
      </c>
      <c r="N88" s="188">
        <f t="shared" si="29"/>
        <v>-857.94995999999992</v>
      </c>
      <c r="O88" s="188">
        <f t="shared" si="29"/>
        <v>-1033.6152399999999</v>
      </c>
      <c r="P88" s="231">
        <f t="shared" si="29"/>
        <v>-1582.6442799999998</v>
      </c>
    </row>
    <row r="89" spans="1:16" x14ac:dyDescent="0.2">
      <c r="B89" s="24" t="s">
        <v>152</v>
      </c>
      <c r="C89" s="48">
        <f t="shared" ref="C89:P89" si="30">+C9*C80</f>
        <v>-42.024600000000007</v>
      </c>
      <c r="D89" s="48">
        <f t="shared" si="30"/>
        <v>-61.182400000000008</v>
      </c>
      <c r="E89" s="230">
        <f t="shared" si="30"/>
        <v>-304.38420000000002</v>
      </c>
      <c r="F89" s="188">
        <f t="shared" si="30"/>
        <v>-378.90960000000001</v>
      </c>
      <c r="G89" s="188">
        <f t="shared" si="30"/>
        <v>-382.11220000000003</v>
      </c>
      <c r="H89" s="188">
        <f t="shared" si="30"/>
        <v>-330.11340000000001</v>
      </c>
      <c r="I89" s="188">
        <f t="shared" si="30"/>
        <v>-343.8218</v>
      </c>
      <c r="J89" s="188">
        <f t="shared" si="30"/>
        <v>-310.49279999999999</v>
      </c>
      <c r="K89" s="188">
        <f t="shared" si="30"/>
        <v>-284.59680000000003</v>
      </c>
      <c r="L89" s="188">
        <f t="shared" si="30"/>
        <v>-241.83320000000001</v>
      </c>
      <c r="M89" s="188">
        <f t="shared" si="30"/>
        <v>-222.53200000000001</v>
      </c>
      <c r="N89" s="188">
        <f t="shared" si="30"/>
        <v>-214.01420000000002</v>
      </c>
      <c r="O89" s="188">
        <f t="shared" si="30"/>
        <v>-201.1558</v>
      </c>
      <c r="P89" s="231">
        <f t="shared" si="30"/>
        <v>-292.78440000000001</v>
      </c>
    </row>
    <row r="90" spans="1:16" x14ac:dyDescent="0.2">
      <c r="B90" s="24" t="s">
        <v>153</v>
      </c>
      <c r="C90" s="48">
        <f t="shared" ref="C90:P90" si="31">+C10*C81</f>
        <v>-0.73684000000000005</v>
      </c>
      <c r="D90" s="48">
        <f t="shared" si="31"/>
        <v>-10.09712</v>
      </c>
      <c r="E90" s="230">
        <f t="shared" si="31"/>
        <v>-103.50054</v>
      </c>
      <c r="F90" s="188">
        <f t="shared" si="31"/>
        <v>-165.39028000000002</v>
      </c>
      <c r="G90" s="188">
        <f t="shared" si="31"/>
        <v>-176.10714000000002</v>
      </c>
      <c r="H90" s="188">
        <f t="shared" si="31"/>
        <v>-147.48403999999999</v>
      </c>
      <c r="I90" s="188">
        <f t="shared" si="31"/>
        <v>-148.83109999999999</v>
      </c>
      <c r="J90" s="188">
        <f t="shared" si="31"/>
        <v>-113.11058</v>
      </c>
      <c r="K90" s="188">
        <f t="shared" si="31"/>
        <v>-83.991600000000005</v>
      </c>
      <c r="L90" s="188">
        <f t="shared" si="31"/>
        <v>-49.338740000000001</v>
      </c>
      <c r="M90" s="188">
        <f t="shared" si="31"/>
        <v>-24.173159999999999</v>
      </c>
      <c r="N90" s="188">
        <f t="shared" si="31"/>
        <v>-9.7644800000000007</v>
      </c>
      <c r="O90" s="188">
        <f t="shared" si="31"/>
        <v>-15.236980000000001</v>
      </c>
      <c r="P90" s="231">
        <f t="shared" si="31"/>
        <v>-64.751720000000006</v>
      </c>
    </row>
    <row r="91" spans="1:16" x14ac:dyDescent="0.2">
      <c r="B91" s="24" t="s">
        <v>154</v>
      </c>
      <c r="C91" s="48">
        <f t="shared" ref="C91:P91" si="32">+C11*C82</f>
        <v>-43.515000000000001</v>
      </c>
      <c r="D91" s="48">
        <f t="shared" si="32"/>
        <v>-76.446400000000011</v>
      </c>
      <c r="E91" s="230">
        <f t="shared" si="32"/>
        <v>-335.35817000000003</v>
      </c>
      <c r="F91" s="188">
        <f t="shared" si="32"/>
        <v>-415.65274000000005</v>
      </c>
      <c r="G91" s="188">
        <f t="shared" si="32"/>
        <v>-391.50697000000002</v>
      </c>
      <c r="H91" s="188">
        <f t="shared" si="32"/>
        <v>-324.95662000000004</v>
      </c>
      <c r="I91" s="188">
        <f t="shared" si="32"/>
        <v>-325.49603000000002</v>
      </c>
      <c r="J91" s="188">
        <f t="shared" si="32"/>
        <v>-275.96360000000004</v>
      </c>
      <c r="K91" s="188">
        <f t="shared" si="32"/>
        <v>-255.75672</v>
      </c>
      <c r="L91" s="188">
        <f t="shared" si="32"/>
        <v>-226.67722000000001</v>
      </c>
      <c r="M91" s="188">
        <f t="shared" si="32"/>
        <v>-222.47955000000002</v>
      </c>
      <c r="N91" s="188">
        <f t="shared" si="32"/>
        <v>-208.65211000000002</v>
      </c>
      <c r="O91" s="188">
        <f t="shared" si="32"/>
        <v>-191.04785000000001</v>
      </c>
      <c r="P91" s="231">
        <f t="shared" si="32"/>
        <v>-338.92580000000004</v>
      </c>
    </row>
    <row r="92" spans="1:16" x14ac:dyDescent="0.2">
      <c r="A92" s="232"/>
      <c r="B92" s="232" t="s">
        <v>178</v>
      </c>
      <c r="C92" s="432">
        <f>SUM(C85:C91)</f>
        <v>-2373.1722300000001</v>
      </c>
      <c r="D92" s="432">
        <f>SUM(D85:D91)</f>
        <v>-4593.4348</v>
      </c>
      <c r="E92" s="433">
        <f t="shared" ref="E92:P92" si="33">SUM(E85:E91)</f>
        <v>-34488.628969999998</v>
      </c>
      <c r="F92" s="432">
        <f t="shared" si="33"/>
        <v>-43302.77637</v>
      </c>
      <c r="G92" s="432">
        <f t="shared" si="33"/>
        <v>-40197.856380000005</v>
      </c>
      <c r="H92" s="432">
        <f t="shared" si="33"/>
        <v>-35131.972470000001</v>
      </c>
      <c r="I92" s="432">
        <f t="shared" si="33"/>
        <v>-31778.925859999999</v>
      </c>
      <c r="J92" s="432">
        <f t="shared" si="33"/>
        <v>-22553.424429999999</v>
      </c>
      <c r="K92" s="432">
        <f t="shared" si="33"/>
        <v>-14738.594939999997</v>
      </c>
      <c r="L92" s="432">
        <f t="shared" si="33"/>
        <v>-10964.595299999999</v>
      </c>
      <c r="M92" s="432">
        <f t="shared" si="33"/>
        <v>-8821.7461899999998</v>
      </c>
      <c r="N92" s="432">
        <f t="shared" si="33"/>
        <v>-9200.8041200000007</v>
      </c>
      <c r="O92" s="432">
        <f t="shared" si="33"/>
        <v>-11740.33172</v>
      </c>
      <c r="P92" s="434">
        <f t="shared" si="33"/>
        <v>-22411.564980000003</v>
      </c>
    </row>
    <row r="93" spans="1:16" x14ac:dyDescent="0.2">
      <c r="E93" s="212"/>
      <c r="F93" s="121"/>
      <c r="G93" s="121"/>
      <c r="H93" s="121"/>
      <c r="I93" s="121"/>
      <c r="J93" s="121"/>
      <c r="K93" s="121"/>
      <c r="L93" s="121"/>
      <c r="M93" s="121"/>
      <c r="N93" s="121"/>
      <c r="O93" s="121"/>
      <c r="P93" s="213"/>
    </row>
    <row r="94" spans="1:16" x14ac:dyDescent="0.2">
      <c r="E94" s="238"/>
      <c r="F94" s="121"/>
      <c r="G94" s="121"/>
      <c r="H94" s="121"/>
      <c r="I94" s="121"/>
      <c r="J94" s="121"/>
      <c r="K94" s="121"/>
      <c r="L94" s="121"/>
      <c r="M94" s="121"/>
      <c r="N94" s="121"/>
      <c r="O94" s="121"/>
      <c r="P94" s="213"/>
    </row>
    <row r="95" spans="1:16" x14ac:dyDescent="0.2">
      <c r="A95" s="225" t="s">
        <v>179</v>
      </c>
      <c r="E95" s="212"/>
      <c r="F95" s="121"/>
      <c r="G95" s="121"/>
      <c r="H95" s="121"/>
      <c r="I95" s="121"/>
      <c r="J95" s="121"/>
      <c r="K95" s="121"/>
      <c r="L95" s="121"/>
      <c r="M95" s="121"/>
      <c r="N95" s="121"/>
      <c r="O95" s="121"/>
      <c r="P95" s="213"/>
    </row>
    <row r="96" spans="1:16" x14ac:dyDescent="0.2">
      <c r="B96" s="24" t="s">
        <v>148</v>
      </c>
      <c r="C96" s="578">
        <v>-0.15945999999999999</v>
      </c>
      <c r="D96" s="53">
        <f>C96</f>
        <v>-0.15945999999999999</v>
      </c>
      <c r="E96" s="235">
        <f>'Sch. 106 PGA Amort Rates'!E33</f>
        <v>-5.57E-2</v>
      </c>
      <c r="F96" s="236">
        <f t="shared" ref="F96:P102" si="34">E96</f>
        <v>-5.57E-2</v>
      </c>
      <c r="G96" s="236">
        <f t="shared" si="34"/>
        <v>-5.57E-2</v>
      </c>
      <c r="H96" s="236">
        <f t="shared" si="34"/>
        <v>-5.57E-2</v>
      </c>
      <c r="I96" s="236">
        <f t="shared" si="34"/>
        <v>-5.57E-2</v>
      </c>
      <c r="J96" s="236">
        <f t="shared" si="34"/>
        <v>-5.57E-2</v>
      </c>
      <c r="K96" s="236">
        <f t="shared" si="34"/>
        <v>-5.57E-2</v>
      </c>
      <c r="L96" s="236">
        <f t="shared" si="34"/>
        <v>-5.57E-2</v>
      </c>
      <c r="M96" s="236">
        <f t="shared" si="34"/>
        <v>-5.57E-2</v>
      </c>
      <c r="N96" s="236">
        <f t="shared" si="34"/>
        <v>-5.57E-2</v>
      </c>
      <c r="O96" s="236">
        <f t="shared" si="34"/>
        <v>-5.57E-2</v>
      </c>
      <c r="P96" s="237">
        <f t="shared" si="34"/>
        <v>-5.57E-2</v>
      </c>
    </row>
    <row r="97" spans="1:16" x14ac:dyDescent="0.2">
      <c r="B97" s="24" t="s">
        <v>149</v>
      </c>
      <c r="C97" s="239">
        <f>C96</f>
        <v>-0.15945999999999999</v>
      </c>
      <c r="D97" s="53">
        <f t="shared" ref="D97:D102" si="35">C97</f>
        <v>-0.15945999999999999</v>
      </c>
      <c r="E97" s="240">
        <f t="shared" ref="E97:E102" si="36">E96</f>
        <v>-5.57E-2</v>
      </c>
      <c r="F97" s="236">
        <f t="shared" si="34"/>
        <v>-5.57E-2</v>
      </c>
      <c r="G97" s="236">
        <f t="shared" si="34"/>
        <v>-5.57E-2</v>
      </c>
      <c r="H97" s="236">
        <f t="shared" si="34"/>
        <v>-5.57E-2</v>
      </c>
      <c r="I97" s="236">
        <f t="shared" si="34"/>
        <v>-5.57E-2</v>
      </c>
      <c r="J97" s="236">
        <f t="shared" si="34"/>
        <v>-5.57E-2</v>
      </c>
      <c r="K97" s="236">
        <f t="shared" si="34"/>
        <v>-5.57E-2</v>
      </c>
      <c r="L97" s="236">
        <f t="shared" si="34"/>
        <v>-5.57E-2</v>
      </c>
      <c r="M97" s="236">
        <f t="shared" si="34"/>
        <v>-5.57E-2</v>
      </c>
      <c r="N97" s="236">
        <f t="shared" si="34"/>
        <v>-5.57E-2</v>
      </c>
      <c r="O97" s="236">
        <f t="shared" si="34"/>
        <v>-5.57E-2</v>
      </c>
      <c r="P97" s="237">
        <f t="shared" si="34"/>
        <v>-5.57E-2</v>
      </c>
    </row>
    <row r="98" spans="1:16" x14ac:dyDescent="0.2">
      <c r="B98" s="24" t="s">
        <v>150</v>
      </c>
      <c r="C98" s="239">
        <f>C96</f>
        <v>-0.15945999999999999</v>
      </c>
      <c r="D98" s="53">
        <f t="shared" si="35"/>
        <v>-0.15945999999999999</v>
      </c>
      <c r="E98" s="240">
        <f t="shared" si="36"/>
        <v>-5.57E-2</v>
      </c>
      <c r="F98" s="236">
        <f t="shared" si="34"/>
        <v>-5.57E-2</v>
      </c>
      <c r="G98" s="236">
        <f t="shared" si="34"/>
        <v>-5.57E-2</v>
      </c>
      <c r="H98" s="236">
        <f t="shared" si="34"/>
        <v>-5.57E-2</v>
      </c>
      <c r="I98" s="236">
        <f t="shared" si="34"/>
        <v>-5.57E-2</v>
      </c>
      <c r="J98" s="236">
        <f t="shared" si="34"/>
        <v>-5.57E-2</v>
      </c>
      <c r="K98" s="236">
        <f t="shared" si="34"/>
        <v>-5.57E-2</v>
      </c>
      <c r="L98" s="236">
        <f t="shared" si="34"/>
        <v>-5.57E-2</v>
      </c>
      <c r="M98" s="236">
        <f t="shared" si="34"/>
        <v>-5.57E-2</v>
      </c>
      <c r="N98" s="236">
        <f t="shared" si="34"/>
        <v>-5.57E-2</v>
      </c>
      <c r="O98" s="236">
        <f t="shared" si="34"/>
        <v>-5.57E-2</v>
      </c>
      <c r="P98" s="237">
        <f t="shared" si="34"/>
        <v>-5.57E-2</v>
      </c>
    </row>
    <row r="99" spans="1:16" x14ac:dyDescent="0.2">
      <c r="B99" s="24" t="s">
        <v>151</v>
      </c>
      <c r="C99" s="239">
        <f>C96</f>
        <v>-0.15945999999999999</v>
      </c>
      <c r="D99" s="53">
        <f t="shared" si="35"/>
        <v>-0.15945999999999999</v>
      </c>
      <c r="E99" s="240">
        <f t="shared" si="36"/>
        <v>-5.57E-2</v>
      </c>
      <c r="F99" s="236">
        <f t="shared" si="34"/>
        <v>-5.57E-2</v>
      </c>
      <c r="G99" s="236">
        <f t="shared" si="34"/>
        <v>-5.57E-2</v>
      </c>
      <c r="H99" s="236">
        <f t="shared" si="34"/>
        <v>-5.57E-2</v>
      </c>
      <c r="I99" s="236">
        <f t="shared" si="34"/>
        <v>-5.57E-2</v>
      </c>
      <c r="J99" s="236">
        <f t="shared" si="34"/>
        <v>-5.57E-2</v>
      </c>
      <c r="K99" s="236">
        <f t="shared" si="34"/>
        <v>-5.57E-2</v>
      </c>
      <c r="L99" s="236">
        <f t="shared" si="34"/>
        <v>-5.57E-2</v>
      </c>
      <c r="M99" s="236">
        <f t="shared" si="34"/>
        <v>-5.57E-2</v>
      </c>
      <c r="N99" s="236">
        <f t="shared" si="34"/>
        <v>-5.57E-2</v>
      </c>
      <c r="O99" s="236">
        <f t="shared" si="34"/>
        <v>-5.57E-2</v>
      </c>
      <c r="P99" s="237">
        <f t="shared" si="34"/>
        <v>-5.57E-2</v>
      </c>
    </row>
    <row r="100" spans="1:16" x14ac:dyDescent="0.2">
      <c r="B100" s="24" t="s">
        <v>152</v>
      </c>
      <c r="C100" s="239">
        <f>C96</f>
        <v>-0.15945999999999999</v>
      </c>
      <c r="D100" s="53">
        <f t="shared" si="35"/>
        <v>-0.15945999999999999</v>
      </c>
      <c r="E100" s="240">
        <f t="shared" si="36"/>
        <v>-5.57E-2</v>
      </c>
      <c r="F100" s="236">
        <f t="shared" si="34"/>
        <v>-5.57E-2</v>
      </c>
      <c r="G100" s="236">
        <f t="shared" si="34"/>
        <v>-5.57E-2</v>
      </c>
      <c r="H100" s="236">
        <f t="shared" si="34"/>
        <v>-5.57E-2</v>
      </c>
      <c r="I100" s="236">
        <f t="shared" si="34"/>
        <v>-5.57E-2</v>
      </c>
      <c r="J100" s="236">
        <f t="shared" si="34"/>
        <v>-5.57E-2</v>
      </c>
      <c r="K100" s="236">
        <f t="shared" si="34"/>
        <v>-5.57E-2</v>
      </c>
      <c r="L100" s="236">
        <f t="shared" si="34"/>
        <v>-5.57E-2</v>
      </c>
      <c r="M100" s="236">
        <f t="shared" si="34"/>
        <v>-5.57E-2</v>
      </c>
      <c r="N100" s="236">
        <f t="shared" si="34"/>
        <v>-5.57E-2</v>
      </c>
      <c r="O100" s="236">
        <f t="shared" si="34"/>
        <v>-5.57E-2</v>
      </c>
      <c r="P100" s="237">
        <f t="shared" si="34"/>
        <v>-5.57E-2</v>
      </c>
    </row>
    <row r="101" spans="1:16" x14ac:dyDescent="0.2">
      <c r="B101" s="24" t="s">
        <v>153</v>
      </c>
      <c r="C101" s="239">
        <f>C96</f>
        <v>-0.15945999999999999</v>
      </c>
      <c r="D101" s="53">
        <f t="shared" si="35"/>
        <v>-0.15945999999999999</v>
      </c>
      <c r="E101" s="240">
        <f t="shared" si="36"/>
        <v>-5.57E-2</v>
      </c>
      <c r="F101" s="236">
        <f t="shared" si="34"/>
        <v>-5.57E-2</v>
      </c>
      <c r="G101" s="236">
        <f t="shared" si="34"/>
        <v>-5.57E-2</v>
      </c>
      <c r="H101" s="236">
        <f t="shared" si="34"/>
        <v>-5.57E-2</v>
      </c>
      <c r="I101" s="236">
        <f t="shared" si="34"/>
        <v>-5.57E-2</v>
      </c>
      <c r="J101" s="236">
        <f t="shared" si="34"/>
        <v>-5.57E-2</v>
      </c>
      <c r="K101" s="236">
        <f t="shared" si="34"/>
        <v>-5.57E-2</v>
      </c>
      <c r="L101" s="236">
        <f t="shared" si="34"/>
        <v>-5.57E-2</v>
      </c>
      <c r="M101" s="236">
        <f t="shared" si="34"/>
        <v>-5.57E-2</v>
      </c>
      <c r="N101" s="236">
        <f t="shared" si="34"/>
        <v>-5.57E-2</v>
      </c>
      <c r="O101" s="236">
        <f t="shared" si="34"/>
        <v>-5.57E-2</v>
      </c>
      <c r="P101" s="237">
        <f t="shared" si="34"/>
        <v>-5.57E-2</v>
      </c>
    </row>
    <row r="102" spans="1:16" x14ac:dyDescent="0.2">
      <c r="B102" s="24" t="s">
        <v>154</v>
      </c>
      <c r="C102" s="241">
        <f>C96</f>
        <v>-0.15945999999999999</v>
      </c>
      <c r="D102" s="53">
        <f t="shared" si="35"/>
        <v>-0.15945999999999999</v>
      </c>
      <c r="E102" s="242">
        <f t="shared" si="36"/>
        <v>-5.57E-2</v>
      </c>
      <c r="F102" s="236">
        <f t="shared" si="34"/>
        <v>-5.57E-2</v>
      </c>
      <c r="G102" s="236">
        <f t="shared" si="34"/>
        <v>-5.57E-2</v>
      </c>
      <c r="H102" s="236">
        <f t="shared" si="34"/>
        <v>-5.57E-2</v>
      </c>
      <c r="I102" s="236">
        <f t="shared" si="34"/>
        <v>-5.57E-2</v>
      </c>
      <c r="J102" s="236">
        <f t="shared" si="34"/>
        <v>-5.57E-2</v>
      </c>
      <c r="K102" s="236">
        <f t="shared" si="34"/>
        <v>-5.57E-2</v>
      </c>
      <c r="L102" s="236">
        <f t="shared" si="34"/>
        <v>-5.57E-2</v>
      </c>
      <c r="M102" s="236">
        <f t="shared" si="34"/>
        <v>-5.57E-2</v>
      </c>
      <c r="N102" s="236">
        <f t="shared" si="34"/>
        <v>-5.57E-2</v>
      </c>
      <c r="O102" s="236">
        <f t="shared" si="34"/>
        <v>-5.57E-2</v>
      </c>
      <c r="P102" s="237">
        <f t="shared" si="34"/>
        <v>-5.57E-2</v>
      </c>
    </row>
    <row r="103" spans="1:16" x14ac:dyDescent="0.2">
      <c r="E103" s="212"/>
      <c r="F103" s="121"/>
      <c r="G103" s="121"/>
      <c r="H103" s="121"/>
      <c r="I103" s="121"/>
      <c r="J103" s="121"/>
      <c r="K103" s="121"/>
      <c r="L103" s="121"/>
      <c r="M103" s="121"/>
      <c r="N103" s="121"/>
      <c r="O103" s="121"/>
      <c r="P103" s="213"/>
    </row>
    <row r="104" spans="1:16" x14ac:dyDescent="0.2">
      <c r="A104" s="225" t="s">
        <v>180</v>
      </c>
      <c r="E104" s="212"/>
      <c r="F104" s="121"/>
      <c r="G104" s="121"/>
      <c r="H104" s="121"/>
      <c r="I104" s="121"/>
      <c r="J104" s="121"/>
      <c r="K104" s="121"/>
      <c r="L104" s="121"/>
      <c r="M104" s="121"/>
      <c r="N104" s="121"/>
      <c r="O104" s="121"/>
      <c r="P104" s="213"/>
    </row>
    <row r="105" spans="1:16" x14ac:dyDescent="0.2">
      <c r="B105" s="24" t="s">
        <v>148</v>
      </c>
      <c r="C105" s="48">
        <f t="shared" ref="C105:P105" si="37">+C5*C96</f>
        <v>-3216031.37744</v>
      </c>
      <c r="D105" s="48">
        <f t="shared" si="37"/>
        <v>-6828444.2769199992</v>
      </c>
      <c r="E105" s="230">
        <f t="shared" si="37"/>
        <v>-3818879.1705</v>
      </c>
      <c r="F105" s="188">
        <f t="shared" si="37"/>
        <v>-4904111.5130000003</v>
      </c>
      <c r="G105" s="188">
        <f t="shared" si="37"/>
        <v>-4683923.8430000003</v>
      </c>
      <c r="H105" s="188">
        <f t="shared" si="37"/>
        <v>-4058026.8420000002</v>
      </c>
      <c r="I105" s="188">
        <f t="shared" si="37"/>
        <v>-3659885.9155999999</v>
      </c>
      <c r="J105" s="188">
        <f t="shared" si="37"/>
        <v>-2542558.8432</v>
      </c>
      <c r="K105" s="188">
        <f t="shared" si="37"/>
        <v>-1552429.4605</v>
      </c>
      <c r="L105" s="188">
        <f t="shared" si="37"/>
        <v>-1073541.5808999999</v>
      </c>
      <c r="M105" s="188">
        <f t="shared" si="37"/>
        <v>-807253.36029999994</v>
      </c>
      <c r="N105" s="188">
        <f t="shared" si="37"/>
        <v>-811819.03359999997</v>
      </c>
      <c r="O105" s="188">
        <f t="shared" si="37"/>
        <v>-1112864.6111999999</v>
      </c>
      <c r="P105" s="231">
        <f t="shared" si="37"/>
        <v>-2354827.8416999998</v>
      </c>
    </row>
    <row r="106" spans="1:16" x14ac:dyDescent="0.2">
      <c r="B106" s="24" t="s">
        <v>149</v>
      </c>
      <c r="C106" s="48">
        <f t="shared" ref="C106:P106" si="38">(C6)*C97</f>
        <v>-81.802979999999991</v>
      </c>
      <c r="D106" s="48">
        <f t="shared" si="38"/>
        <v>-81.802979999999991</v>
      </c>
      <c r="E106" s="230">
        <f t="shared" si="38"/>
        <v>-28.574100000000001</v>
      </c>
      <c r="F106" s="188">
        <f t="shared" si="38"/>
        <v>-28.574100000000001</v>
      </c>
      <c r="G106" s="188">
        <f t="shared" si="38"/>
        <v>-28.574100000000001</v>
      </c>
      <c r="H106" s="188">
        <f t="shared" si="38"/>
        <v>-28.574100000000001</v>
      </c>
      <c r="I106" s="188">
        <f t="shared" si="38"/>
        <v>-28.574100000000001</v>
      </c>
      <c r="J106" s="188">
        <f t="shared" si="38"/>
        <v>-28.574100000000001</v>
      </c>
      <c r="K106" s="188">
        <f t="shared" si="38"/>
        <v>-28.574100000000001</v>
      </c>
      <c r="L106" s="188">
        <f t="shared" si="38"/>
        <v>-28.574100000000001</v>
      </c>
      <c r="M106" s="188">
        <f t="shared" si="38"/>
        <v>-28.574100000000001</v>
      </c>
      <c r="N106" s="188">
        <f t="shared" si="38"/>
        <v>-28.574100000000001</v>
      </c>
      <c r="O106" s="188">
        <f t="shared" si="38"/>
        <v>-28.574100000000001</v>
      </c>
      <c r="P106" s="231">
        <f t="shared" si="38"/>
        <v>-28.574100000000001</v>
      </c>
    </row>
    <row r="107" spans="1:16" x14ac:dyDescent="0.2">
      <c r="B107" s="24" t="s">
        <v>150</v>
      </c>
      <c r="C107" s="48">
        <f t="shared" ref="C107:P107" si="39">+C7*C98</f>
        <v>-1830626.3136</v>
      </c>
      <c r="D107" s="48">
        <f t="shared" si="39"/>
        <v>-3083291.1328799999</v>
      </c>
      <c r="E107" s="230">
        <f t="shared" si="39"/>
        <v>-1562921.0567999999</v>
      </c>
      <c r="F107" s="188">
        <f t="shared" si="39"/>
        <v>-1906440.3909</v>
      </c>
      <c r="G107" s="188">
        <f t="shared" si="39"/>
        <v>-1653893.6945</v>
      </c>
      <c r="H107" s="188">
        <f t="shared" si="39"/>
        <v>-1465823.2015</v>
      </c>
      <c r="I107" s="188">
        <f t="shared" si="39"/>
        <v>-1312846.9391000001</v>
      </c>
      <c r="J107" s="188">
        <f t="shared" si="39"/>
        <v>-946700.2598</v>
      </c>
      <c r="K107" s="188">
        <f t="shared" si="39"/>
        <v>-671199.92759999994</v>
      </c>
      <c r="L107" s="188">
        <f t="shared" si="39"/>
        <v>-551710.50520000001</v>
      </c>
      <c r="M107" s="188">
        <f t="shared" si="39"/>
        <v>-485344.01089999999</v>
      </c>
      <c r="N107" s="188">
        <f t="shared" si="39"/>
        <v>-539690.22239999997</v>
      </c>
      <c r="O107" s="188">
        <f t="shared" si="39"/>
        <v>-645046.60529999994</v>
      </c>
      <c r="P107" s="231">
        <f t="shared" si="39"/>
        <v>-1075860.4276000001</v>
      </c>
    </row>
    <row r="108" spans="1:16" x14ac:dyDescent="0.2">
      <c r="B108" s="24" t="s">
        <v>151</v>
      </c>
      <c r="C108" s="48">
        <f t="shared" ref="C108:P108" si="40">+C8*C99</f>
        <v>-594058.02455999993</v>
      </c>
      <c r="D108" s="48">
        <f t="shared" si="40"/>
        <v>-918368.88877999992</v>
      </c>
      <c r="E108" s="230">
        <f t="shared" si="40"/>
        <v>-425870.39159999997</v>
      </c>
      <c r="F108" s="188">
        <f t="shared" si="40"/>
        <v>-464529.03230000002</v>
      </c>
      <c r="G108" s="188">
        <f t="shared" si="40"/>
        <v>-397037.73219999997</v>
      </c>
      <c r="H108" s="188">
        <f t="shared" si="40"/>
        <v>-371167.47729999997</v>
      </c>
      <c r="I108" s="188">
        <f t="shared" si="40"/>
        <v>-345115.97460000002</v>
      </c>
      <c r="J108" s="188">
        <f t="shared" si="40"/>
        <v>-268792.60399999999</v>
      </c>
      <c r="K108" s="188">
        <f t="shared" si="40"/>
        <v>-210959.2383</v>
      </c>
      <c r="L108" s="188">
        <f t="shared" si="40"/>
        <v>-182350.88279999999</v>
      </c>
      <c r="M108" s="188">
        <f t="shared" si="40"/>
        <v>-155444.83069999999</v>
      </c>
      <c r="N108" s="188">
        <f t="shared" si="40"/>
        <v>-170670.7599</v>
      </c>
      <c r="O108" s="188">
        <f t="shared" si="40"/>
        <v>-205615.60310000001</v>
      </c>
      <c r="P108" s="231">
        <f t="shared" si="40"/>
        <v>-314833.16570000001</v>
      </c>
    </row>
    <row r="109" spans="1:16" x14ac:dyDescent="0.2">
      <c r="B109" s="24" t="s">
        <v>152</v>
      </c>
      <c r="C109" s="48">
        <f t="shared" ref="C109:P109" si="41">+C9*C100</f>
        <v>-167531.06789999999</v>
      </c>
      <c r="D109" s="48">
        <f t="shared" si="41"/>
        <v>-243903.63759999999</v>
      </c>
      <c r="E109" s="230">
        <f t="shared" si="41"/>
        <v>-84770.9997</v>
      </c>
      <c r="F109" s="188">
        <f t="shared" si="41"/>
        <v>-105526.3236</v>
      </c>
      <c r="G109" s="188">
        <f t="shared" si="41"/>
        <v>-106418.24769999999</v>
      </c>
      <c r="H109" s="188">
        <f t="shared" si="41"/>
        <v>-91936.581900000005</v>
      </c>
      <c r="I109" s="188">
        <f t="shared" si="41"/>
        <v>-95754.371299999999</v>
      </c>
      <c r="J109" s="188">
        <f t="shared" si="41"/>
        <v>-86472.2448</v>
      </c>
      <c r="K109" s="188">
        <f t="shared" si="41"/>
        <v>-79260.208799999993</v>
      </c>
      <c r="L109" s="188">
        <f t="shared" si="41"/>
        <v>-67350.546199999997</v>
      </c>
      <c r="M109" s="188">
        <f t="shared" si="41"/>
        <v>-61975.161999999997</v>
      </c>
      <c r="N109" s="188">
        <f t="shared" si="41"/>
        <v>-59602.954700000002</v>
      </c>
      <c r="O109" s="188">
        <f t="shared" si="41"/>
        <v>-56021.890299999999</v>
      </c>
      <c r="P109" s="231">
        <f t="shared" si="41"/>
        <v>-81540.455400000006</v>
      </c>
    </row>
    <row r="110" spans="1:16" x14ac:dyDescent="0.2">
      <c r="B110" s="24" t="s">
        <v>153</v>
      </c>
      <c r="C110" s="48">
        <f t="shared" ref="C110:P110" si="42">+C10*C101</f>
        <v>-2937.41266</v>
      </c>
      <c r="D110" s="48">
        <f t="shared" si="42"/>
        <v>-40252.168879999997</v>
      </c>
      <c r="E110" s="230">
        <f t="shared" si="42"/>
        <v>-26204.454900000001</v>
      </c>
      <c r="F110" s="188">
        <f t="shared" si="42"/>
        <v>-41873.811800000003</v>
      </c>
      <c r="G110" s="188">
        <f t="shared" si="42"/>
        <v>-44587.125899999999</v>
      </c>
      <c r="H110" s="188">
        <f t="shared" si="42"/>
        <v>-37340.277399999999</v>
      </c>
      <c r="I110" s="188">
        <f t="shared" si="42"/>
        <v>-37681.328500000003</v>
      </c>
      <c r="J110" s="188">
        <f t="shared" si="42"/>
        <v>-28637.542300000001</v>
      </c>
      <c r="K110" s="188">
        <f t="shared" si="42"/>
        <v>-21265.146000000001</v>
      </c>
      <c r="L110" s="188">
        <f t="shared" si="42"/>
        <v>-12491.671899999999</v>
      </c>
      <c r="M110" s="188">
        <f t="shared" si="42"/>
        <v>-6120.2046</v>
      </c>
      <c r="N110" s="188">
        <f t="shared" si="42"/>
        <v>-2472.1887999999999</v>
      </c>
      <c r="O110" s="188">
        <f t="shared" si="42"/>
        <v>-3857.7262999999998</v>
      </c>
      <c r="P110" s="231">
        <f t="shared" si="42"/>
        <v>-16393.958200000001</v>
      </c>
    </row>
    <row r="111" spans="1:16" x14ac:dyDescent="0.2">
      <c r="B111" s="24" t="s">
        <v>154</v>
      </c>
      <c r="C111" s="48">
        <f t="shared" ref="C111:P111" si="43">+C11*C102</f>
        <v>-173472.54749999999</v>
      </c>
      <c r="D111" s="48">
        <f t="shared" si="43"/>
        <v>-304753.5736</v>
      </c>
      <c r="E111" s="230">
        <f t="shared" si="43"/>
        <v>-98312.895099999994</v>
      </c>
      <c r="F111" s="188">
        <f t="shared" si="43"/>
        <v>-121851.88219999999</v>
      </c>
      <c r="G111" s="188">
        <f t="shared" si="43"/>
        <v>-114773.3591</v>
      </c>
      <c r="H111" s="188">
        <f t="shared" si="43"/>
        <v>-95263.598599999998</v>
      </c>
      <c r="I111" s="188">
        <f t="shared" si="43"/>
        <v>-95421.730899999995</v>
      </c>
      <c r="J111" s="188">
        <f t="shared" si="43"/>
        <v>-80900.907999999996</v>
      </c>
      <c r="K111" s="188">
        <f t="shared" si="43"/>
        <v>-74977.101599999995</v>
      </c>
      <c r="L111" s="188">
        <f t="shared" si="43"/>
        <v>-66452.2166</v>
      </c>
      <c r="M111" s="188">
        <f t="shared" si="43"/>
        <v>-65221.636500000001</v>
      </c>
      <c r="N111" s="188">
        <f t="shared" si="43"/>
        <v>-61168.013299999999</v>
      </c>
      <c r="O111" s="188">
        <f t="shared" si="43"/>
        <v>-56007.1855</v>
      </c>
      <c r="P111" s="231">
        <f t="shared" si="43"/>
        <v>-99358.774000000005</v>
      </c>
    </row>
    <row r="112" spans="1:16" x14ac:dyDescent="0.2">
      <c r="A112" s="232"/>
      <c r="B112" s="232" t="s">
        <v>181</v>
      </c>
      <c r="C112" s="432">
        <f>SUM(C105:C111)</f>
        <v>-5984738.5466400003</v>
      </c>
      <c r="D112" s="432">
        <f>SUM(D105:D111)</f>
        <v>-11419095.481639998</v>
      </c>
      <c r="E112" s="433">
        <f t="shared" ref="E112:P112" si="44">SUM(E105:E111)</f>
        <v>-6016987.5427000001</v>
      </c>
      <c r="F112" s="432">
        <f t="shared" si="44"/>
        <v>-7544361.5279000001</v>
      </c>
      <c r="G112" s="432">
        <f t="shared" si="44"/>
        <v>-7000662.5765000014</v>
      </c>
      <c r="H112" s="432">
        <f t="shared" si="44"/>
        <v>-6119586.5527999997</v>
      </c>
      <c r="I112" s="432">
        <f t="shared" si="44"/>
        <v>-5546734.8340999996</v>
      </c>
      <c r="J112" s="432">
        <f t="shared" si="44"/>
        <v>-3954090.9761999995</v>
      </c>
      <c r="K112" s="432">
        <f t="shared" si="44"/>
        <v>-2610119.6569000003</v>
      </c>
      <c r="L112" s="432">
        <f t="shared" si="44"/>
        <v>-1953925.9776999999</v>
      </c>
      <c r="M112" s="432">
        <f t="shared" si="44"/>
        <v>-1581387.7790999999</v>
      </c>
      <c r="N112" s="432">
        <f t="shared" si="44"/>
        <v>-1645451.7467999998</v>
      </c>
      <c r="O112" s="432">
        <f t="shared" si="44"/>
        <v>-2079442.1957999999</v>
      </c>
      <c r="P112" s="434">
        <f t="shared" si="44"/>
        <v>-3942843.1966999997</v>
      </c>
    </row>
    <row r="113" spans="1:23" x14ac:dyDescent="0.2">
      <c r="E113" s="212"/>
      <c r="F113" s="121"/>
      <c r="G113" s="121"/>
      <c r="H113" s="121"/>
      <c r="I113" s="121"/>
      <c r="J113" s="121"/>
      <c r="K113" s="121"/>
      <c r="L113" s="121"/>
      <c r="M113" s="121"/>
      <c r="N113" s="121"/>
      <c r="O113" s="121"/>
      <c r="P113" s="243"/>
      <c r="W113" s="121"/>
    </row>
    <row r="114" spans="1:23" x14ac:dyDescent="0.2">
      <c r="A114" s="225" t="s">
        <v>182</v>
      </c>
      <c r="E114" s="212"/>
      <c r="F114" s="121"/>
      <c r="G114" s="121"/>
      <c r="H114" s="121"/>
      <c r="I114" s="121"/>
      <c r="J114" s="121"/>
      <c r="K114" s="121"/>
      <c r="L114" s="121"/>
      <c r="M114" s="121"/>
      <c r="N114" s="121"/>
      <c r="O114" s="121"/>
      <c r="P114" s="213"/>
      <c r="W114" s="121"/>
    </row>
    <row r="115" spans="1:23" x14ac:dyDescent="0.2">
      <c r="B115" s="24" t="s">
        <v>148</v>
      </c>
      <c r="C115" s="244">
        <v>0</v>
      </c>
      <c r="D115" s="53">
        <f t="shared" ref="D115:P121" si="45">C115</f>
        <v>0</v>
      </c>
      <c r="E115" s="235">
        <v>0</v>
      </c>
      <c r="F115" s="236">
        <f t="shared" si="45"/>
        <v>0</v>
      </c>
      <c r="G115" s="236">
        <f t="shared" si="45"/>
        <v>0</v>
      </c>
      <c r="H115" s="236">
        <f t="shared" si="45"/>
        <v>0</v>
      </c>
      <c r="I115" s="236">
        <f t="shared" si="45"/>
        <v>0</v>
      </c>
      <c r="J115" s="236">
        <f t="shared" si="45"/>
        <v>0</v>
      </c>
      <c r="K115" s="236">
        <f t="shared" si="45"/>
        <v>0</v>
      </c>
      <c r="L115" s="236">
        <f t="shared" si="45"/>
        <v>0</v>
      </c>
      <c r="M115" s="236">
        <f t="shared" si="45"/>
        <v>0</v>
      </c>
      <c r="N115" s="236">
        <f t="shared" si="45"/>
        <v>0</v>
      </c>
      <c r="O115" s="236">
        <f t="shared" si="45"/>
        <v>0</v>
      </c>
      <c r="P115" s="237">
        <f t="shared" si="45"/>
        <v>0</v>
      </c>
      <c r="Q115" s="236"/>
      <c r="R115" s="236"/>
      <c r="S115" s="236"/>
      <c r="T115" s="236"/>
      <c r="U115" s="236"/>
      <c r="V115" s="236"/>
      <c r="W115" s="121"/>
    </row>
    <row r="116" spans="1:23" x14ac:dyDescent="0.2">
      <c r="B116" s="24" t="s">
        <v>149</v>
      </c>
      <c r="C116" s="239">
        <f>C115</f>
        <v>0</v>
      </c>
      <c r="D116" s="53">
        <f t="shared" si="45"/>
        <v>0</v>
      </c>
      <c r="E116" s="240">
        <f>E115</f>
        <v>0</v>
      </c>
      <c r="F116" s="236">
        <f t="shared" si="45"/>
        <v>0</v>
      </c>
      <c r="G116" s="236">
        <f t="shared" si="45"/>
        <v>0</v>
      </c>
      <c r="H116" s="236">
        <f t="shared" si="45"/>
        <v>0</v>
      </c>
      <c r="I116" s="236">
        <f t="shared" si="45"/>
        <v>0</v>
      </c>
      <c r="J116" s="236">
        <f t="shared" si="45"/>
        <v>0</v>
      </c>
      <c r="K116" s="236">
        <f t="shared" si="45"/>
        <v>0</v>
      </c>
      <c r="L116" s="236">
        <f t="shared" si="45"/>
        <v>0</v>
      </c>
      <c r="M116" s="236">
        <f t="shared" si="45"/>
        <v>0</v>
      </c>
      <c r="N116" s="236">
        <f t="shared" si="45"/>
        <v>0</v>
      </c>
      <c r="O116" s="236">
        <f t="shared" si="45"/>
        <v>0</v>
      </c>
      <c r="P116" s="237">
        <f t="shared" si="45"/>
        <v>0</v>
      </c>
      <c r="Q116" s="236"/>
      <c r="R116" s="236"/>
      <c r="S116" s="236"/>
      <c r="T116" s="236"/>
      <c r="U116" s="236"/>
      <c r="V116" s="236"/>
      <c r="W116" s="121"/>
    </row>
    <row r="117" spans="1:23" x14ac:dyDescent="0.2">
      <c r="B117" s="24" t="s">
        <v>150</v>
      </c>
      <c r="C117" s="239">
        <f>C115</f>
        <v>0</v>
      </c>
      <c r="D117" s="53">
        <f t="shared" si="45"/>
        <v>0</v>
      </c>
      <c r="E117" s="240">
        <f>E115</f>
        <v>0</v>
      </c>
      <c r="F117" s="236">
        <f t="shared" si="45"/>
        <v>0</v>
      </c>
      <c r="G117" s="236">
        <f t="shared" si="45"/>
        <v>0</v>
      </c>
      <c r="H117" s="236">
        <f t="shared" si="45"/>
        <v>0</v>
      </c>
      <c r="I117" s="236">
        <f t="shared" si="45"/>
        <v>0</v>
      </c>
      <c r="J117" s="236">
        <f t="shared" si="45"/>
        <v>0</v>
      </c>
      <c r="K117" s="236">
        <f t="shared" si="45"/>
        <v>0</v>
      </c>
      <c r="L117" s="236">
        <f t="shared" si="45"/>
        <v>0</v>
      </c>
      <c r="M117" s="236">
        <f t="shared" si="45"/>
        <v>0</v>
      </c>
      <c r="N117" s="236">
        <f t="shared" si="45"/>
        <v>0</v>
      </c>
      <c r="O117" s="236">
        <f t="shared" si="45"/>
        <v>0</v>
      </c>
      <c r="P117" s="237">
        <f t="shared" si="45"/>
        <v>0</v>
      </c>
      <c r="Q117" s="236"/>
      <c r="R117" s="236"/>
      <c r="S117" s="236"/>
      <c r="T117" s="236"/>
      <c r="U117" s="236"/>
      <c r="V117" s="236"/>
      <c r="W117" s="121"/>
    </row>
    <row r="118" spans="1:23" x14ac:dyDescent="0.2">
      <c r="B118" s="24" t="s">
        <v>151</v>
      </c>
      <c r="C118" s="239">
        <f>C115</f>
        <v>0</v>
      </c>
      <c r="D118" s="53">
        <f t="shared" si="45"/>
        <v>0</v>
      </c>
      <c r="E118" s="240">
        <f>E115</f>
        <v>0</v>
      </c>
      <c r="F118" s="236">
        <f t="shared" si="45"/>
        <v>0</v>
      </c>
      <c r="G118" s="236">
        <f t="shared" si="45"/>
        <v>0</v>
      </c>
      <c r="H118" s="236">
        <f t="shared" si="45"/>
        <v>0</v>
      </c>
      <c r="I118" s="236">
        <f t="shared" si="45"/>
        <v>0</v>
      </c>
      <c r="J118" s="236">
        <f t="shared" si="45"/>
        <v>0</v>
      </c>
      <c r="K118" s="236">
        <f t="shared" si="45"/>
        <v>0</v>
      </c>
      <c r="L118" s="236">
        <f t="shared" si="45"/>
        <v>0</v>
      </c>
      <c r="M118" s="236">
        <f t="shared" si="45"/>
        <v>0</v>
      </c>
      <c r="N118" s="236">
        <f t="shared" si="45"/>
        <v>0</v>
      </c>
      <c r="O118" s="236">
        <f t="shared" si="45"/>
        <v>0</v>
      </c>
      <c r="P118" s="237">
        <f t="shared" si="45"/>
        <v>0</v>
      </c>
      <c r="Q118" s="236"/>
      <c r="R118" s="236"/>
      <c r="S118" s="236"/>
      <c r="T118" s="236"/>
      <c r="U118" s="236"/>
      <c r="V118" s="236"/>
      <c r="W118" s="121"/>
    </row>
    <row r="119" spans="1:23" x14ac:dyDescent="0.2">
      <c r="B119" s="24" t="s">
        <v>152</v>
      </c>
      <c r="C119" s="239">
        <f>C115</f>
        <v>0</v>
      </c>
      <c r="D119" s="53">
        <f t="shared" si="45"/>
        <v>0</v>
      </c>
      <c r="E119" s="240">
        <f>E115</f>
        <v>0</v>
      </c>
      <c r="F119" s="236">
        <f t="shared" si="45"/>
        <v>0</v>
      </c>
      <c r="G119" s="236">
        <f t="shared" si="45"/>
        <v>0</v>
      </c>
      <c r="H119" s="236">
        <f t="shared" si="45"/>
        <v>0</v>
      </c>
      <c r="I119" s="236">
        <f t="shared" si="45"/>
        <v>0</v>
      </c>
      <c r="J119" s="236">
        <f t="shared" si="45"/>
        <v>0</v>
      </c>
      <c r="K119" s="236">
        <f t="shared" si="45"/>
        <v>0</v>
      </c>
      <c r="L119" s="236">
        <f t="shared" si="45"/>
        <v>0</v>
      </c>
      <c r="M119" s="236">
        <f t="shared" si="45"/>
        <v>0</v>
      </c>
      <c r="N119" s="236">
        <f t="shared" si="45"/>
        <v>0</v>
      </c>
      <c r="O119" s="236">
        <f t="shared" si="45"/>
        <v>0</v>
      </c>
      <c r="P119" s="237">
        <f t="shared" si="45"/>
        <v>0</v>
      </c>
      <c r="Q119" s="236"/>
      <c r="R119" s="236"/>
      <c r="S119" s="236"/>
      <c r="T119" s="236"/>
      <c r="U119" s="236"/>
      <c r="V119" s="236"/>
      <c r="W119" s="121"/>
    </row>
    <row r="120" spans="1:23" x14ac:dyDescent="0.2">
      <c r="B120" s="24" t="s">
        <v>153</v>
      </c>
      <c r="C120" s="239">
        <f>C115</f>
        <v>0</v>
      </c>
      <c r="D120" s="53">
        <f t="shared" si="45"/>
        <v>0</v>
      </c>
      <c r="E120" s="240">
        <f>E115</f>
        <v>0</v>
      </c>
      <c r="F120" s="236">
        <f t="shared" si="45"/>
        <v>0</v>
      </c>
      <c r="G120" s="236">
        <f t="shared" si="45"/>
        <v>0</v>
      </c>
      <c r="H120" s="236">
        <f t="shared" si="45"/>
        <v>0</v>
      </c>
      <c r="I120" s="236">
        <f t="shared" si="45"/>
        <v>0</v>
      </c>
      <c r="J120" s="236">
        <f t="shared" si="45"/>
        <v>0</v>
      </c>
      <c r="K120" s="236">
        <f t="shared" si="45"/>
        <v>0</v>
      </c>
      <c r="L120" s="236">
        <f t="shared" si="45"/>
        <v>0</v>
      </c>
      <c r="M120" s="236">
        <f t="shared" si="45"/>
        <v>0</v>
      </c>
      <c r="N120" s="236">
        <f t="shared" si="45"/>
        <v>0</v>
      </c>
      <c r="O120" s="236">
        <f t="shared" si="45"/>
        <v>0</v>
      </c>
      <c r="P120" s="237">
        <f t="shared" si="45"/>
        <v>0</v>
      </c>
      <c r="Q120" s="236"/>
      <c r="R120" s="236"/>
      <c r="S120" s="236"/>
      <c r="T120" s="236"/>
      <c r="U120" s="236"/>
      <c r="V120" s="236"/>
      <c r="W120" s="121"/>
    </row>
    <row r="121" spans="1:23" x14ac:dyDescent="0.2">
      <c r="B121" s="24" t="s">
        <v>154</v>
      </c>
      <c r="C121" s="241">
        <f>C115</f>
        <v>0</v>
      </c>
      <c r="D121" s="53">
        <f t="shared" si="45"/>
        <v>0</v>
      </c>
      <c r="E121" s="242">
        <f>E115</f>
        <v>0</v>
      </c>
      <c r="F121" s="236">
        <f t="shared" si="45"/>
        <v>0</v>
      </c>
      <c r="G121" s="236">
        <f t="shared" si="45"/>
        <v>0</v>
      </c>
      <c r="H121" s="236">
        <f t="shared" si="45"/>
        <v>0</v>
      </c>
      <c r="I121" s="236">
        <f t="shared" si="45"/>
        <v>0</v>
      </c>
      <c r="J121" s="236">
        <f t="shared" si="45"/>
        <v>0</v>
      </c>
      <c r="K121" s="236">
        <f t="shared" si="45"/>
        <v>0</v>
      </c>
      <c r="L121" s="236">
        <f t="shared" si="45"/>
        <v>0</v>
      </c>
      <c r="M121" s="236">
        <f t="shared" si="45"/>
        <v>0</v>
      </c>
      <c r="N121" s="236">
        <f t="shared" si="45"/>
        <v>0</v>
      </c>
      <c r="O121" s="236">
        <f t="shared" si="45"/>
        <v>0</v>
      </c>
      <c r="P121" s="237">
        <f t="shared" si="45"/>
        <v>0</v>
      </c>
      <c r="Q121" s="236"/>
      <c r="R121" s="236"/>
      <c r="S121" s="236"/>
      <c r="T121" s="236"/>
      <c r="U121" s="236"/>
      <c r="V121" s="236"/>
      <c r="W121" s="121"/>
    </row>
    <row r="122" spans="1:23" x14ac:dyDescent="0.2">
      <c r="E122" s="212"/>
      <c r="F122" s="121"/>
      <c r="G122" s="121"/>
      <c r="H122" s="121"/>
      <c r="I122" s="121"/>
      <c r="J122" s="121"/>
      <c r="K122" s="121"/>
      <c r="L122" s="121"/>
      <c r="M122" s="121"/>
      <c r="N122" s="121"/>
      <c r="O122" s="121"/>
      <c r="P122" s="213"/>
      <c r="W122" s="121"/>
    </row>
    <row r="123" spans="1:23" x14ac:dyDescent="0.2">
      <c r="A123" s="225" t="s">
        <v>180</v>
      </c>
      <c r="E123" s="212"/>
      <c r="F123" s="121"/>
      <c r="G123" s="121"/>
      <c r="H123" s="121"/>
      <c r="I123" s="121"/>
      <c r="J123" s="121"/>
      <c r="K123" s="121"/>
      <c r="L123" s="121"/>
      <c r="M123" s="121"/>
      <c r="N123" s="121"/>
      <c r="O123" s="121"/>
      <c r="P123" s="213"/>
      <c r="W123" s="121"/>
    </row>
    <row r="124" spans="1:23" x14ac:dyDescent="0.2">
      <c r="B124" s="24" t="s">
        <v>148</v>
      </c>
      <c r="C124" s="48">
        <f t="shared" ref="C124:P124" si="46">+C5*C115</f>
        <v>0</v>
      </c>
      <c r="D124" s="48">
        <f t="shared" si="46"/>
        <v>0</v>
      </c>
      <c r="E124" s="230">
        <f t="shared" si="46"/>
        <v>0</v>
      </c>
      <c r="F124" s="188">
        <f t="shared" si="46"/>
        <v>0</v>
      </c>
      <c r="G124" s="188">
        <f t="shared" si="46"/>
        <v>0</v>
      </c>
      <c r="H124" s="188">
        <f t="shared" si="46"/>
        <v>0</v>
      </c>
      <c r="I124" s="188">
        <f t="shared" si="46"/>
        <v>0</v>
      </c>
      <c r="J124" s="188">
        <f t="shared" si="46"/>
        <v>0</v>
      </c>
      <c r="K124" s="188">
        <f t="shared" si="46"/>
        <v>0</v>
      </c>
      <c r="L124" s="188">
        <f t="shared" si="46"/>
        <v>0</v>
      </c>
      <c r="M124" s="188">
        <f t="shared" si="46"/>
        <v>0</v>
      </c>
      <c r="N124" s="188">
        <f t="shared" si="46"/>
        <v>0</v>
      </c>
      <c r="O124" s="188">
        <f t="shared" si="46"/>
        <v>0</v>
      </c>
      <c r="P124" s="231">
        <f t="shared" si="46"/>
        <v>0</v>
      </c>
      <c r="Q124" s="188"/>
      <c r="R124" s="188"/>
      <c r="S124" s="188"/>
      <c r="T124" s="188"/>
      <c r="U124" s="188"/>
      <c r="V124" s="188"/>
      <c r="W124" s="121"/>
    </row>
    <row r="125" spans="1:23" x14ac:dyDescent="0.2">
      <c r="B125" s="24" t="s">
        <v>149</v>
      </c>
      <c r="C125" s="48">
        <f t="shared" ref="C125:P125" si="47">C6*C116</f>
        <v>0</v>
      </c>
      <c r="D125" s="48">
        <f t="shared" si="47"/>
        <v>0</v>
      </c>
      <c r="E125" s="230">
        <f t="shared" si="47"/>
        <v>0</v>
      </c>
      <c r="F125" s="188">
        <f t="shared" si="47"/>
        <v>0</v>
      </c>
      <c r="G125" s="188">
        <f t="shared" si="47"/>
        <v>0</v>
      </c>
      <c r="H125" s="188">
        <f t="shared" si="47"/>
        <v>0</v>
      </c>
      <c r="I125" s="188">
        <f t="shared" si="47"/>
        <v>0</v>
      </c>
      <c r="J125" s="188">
        <f t="shared" si="47"/>
        <v>0</v>
      </c>
      <c r="K125" s="188">
        <f t="shared" si="47"/>
        <v>0</v>
      </c>
      <c r="L125" s="188">
        <f t="shared" si="47"/>
        <v>0</v>
      </c>
      <c r="M125" s="188">
        <f t="shared" si="47"/>
        <v>0</v>
      </c>
      <c r="N125" s="188">
        <f t="shared" si="47"/>
        <v>0</v>
      </c>
      <c r="O125" s="188">
        <f t="shared" si="47"/>
        <v>0</v>
      </c>
      <c r="P125" s="231">
        <f t="shared" si="47"/>
        <v>0</v>
      </c>
      <c r="Q125" s="188"/>
      <c r="R125" s="188"/>
      <c r="S125" s="188"/>
      <c r="T125" s="188"/>
      <c r="U125" s="188"/>
      <c r="V125" s="188"/>
      <c r="W125" s="121"/>
    </row>
    <row r="126" spans="1:23" x14ac:dyDescent="0.2">
      <c r="B126" s="24" t="s">
        <v>150</v>
      </c>
      <c r="C126" s="48">
        <f t="shared" ref="C126:P126" si="48">+C7*C117</f>
        <v>0</v>
      </c>
      <c r="D126" s="48">
        <f t="shared" si="48"/>
        <v>0</v>
      </c>
      <c r="E126" s="230">
        <f t="shared" si="48"/>
        <v>0</v>
      </c>
      <c r="F126" s="188">
        <f t="shared" si="48"/>
        <v>0</v>
      </c>
      <c r="G126" s="188">
        <f t="shared" si="48"/>
        <v>0</v>
      </c>
      <c r="H126" s="188">
        <f t="shared" si="48"/>
        <v>0</v>
      </c>
      <c r="I126" s="188">
        <f t="shared" si="48"/>
        <v>0</v>
      </c>
      <c r="J126" s="188">
        <f t="shared" si="48"/>
        <v>0</v>
      </c>
      <c r="K126" s="188">
        <f t="shared" si="48"/>
        <v>0</v>
      </c>
      <c r="L126" s="188">
        <f t="shared" si="48"/>
        <v>0</v>
      </c>
      <c r="M126" s="188">
        <f t="shared" si="48"/>
        <v>0</v>
      </c>
      <c r="N126" s="188">
        <f t="shared" si="48"/>
        <v>0</v>
      </c>
      <c r="O126" s="188">
        <f t="shared" si="48"/>
        <v>0</v>
      </c>
      <c r="P126" s="231">
        <f t="shared" si="48"/>
        <v>0</v>
      </c>
      <c r="Q126" s="188"/>
      <c r="R126" s="188"/>
      <c r="S126" s="188"/>
      <c r="T126" s="188"/>
      <c r="U126" s="188"/>
      <c r="V126" s="188"/>
      <c r="W126" s="121"/>
    </row>
    <row r="127" spans="1:23" x14ac:dyDescent="0.2">
      <c r="B127" s="24" t="s">
        <v>151</v>
      </c>
      <c r="C127" s="48">
        <f t="shared" ref="C127:P127" si="49">+C8*C118</f>
        <v>0</v>
      </c>
      <c r="D127" s="48">
        <f t="shared" si="49"/>
        <v>0</v>
      </c>
      <c r="E127" s="230">
        <f t="shared" si="49"/>
        <v>0</v>
      </c>
      <c r="F127" s="188">
        <f t="shared" si="49"/>
        <v>0</v>
      </c>
      <c r="G127" s="188">
        <f t="shared" si="49"/>
        <v>0</v>
      </c>
      <c r="H127" s="188">
        <f t="shared" si="49"/>
        <v>0</v>
      </c>
      <c r="I127" s="188">
        <f t="shared" si="49"/>
        <v>0</v>
      </c>
      <c r="J127" s="188">
        <f t="shared" si="49"/>
        <v>0</v>
      </c>
      <c r="K127" s="188">
        <f t="shared" si="49"/>
        <v>0</v>
      </c>
      <c r="L127" s="188">
        <f t="shared" si="49"/>
        <v>0</v>
      </c>
      <c r="M127" s="188">
        <f t="shared" si="49"/>
        <v>0</v>
      </c>
      <c r="N127" s="188">
        <f t="shared" si="49"/>
        <v>0</v>
      </c>
      <c r="O127" s="188">
        <f t="shared" si="49"/>
        <v>0</v>
      </c>
      <c r="P127" s="231">
        <f t="shared" si="49"/>
        <v>0</v>
      </c>
      <c r="Q127" s="188"/>
      <c r="R127" s="188"/>
      <c r="S127" s="188"/>
      <c r="T127" s="188"/>
      <c r="U127" s="188"/>
      <c r="V127" s="188"/>
      <c r="W127" s="121"/>
    </row>
    <row r="128" spans="1:23" x14ac:dyDescent="0.2">
      <c r="B128" s="24" t="s">
        <v>152</v>
      </c>
      <c r="C128" s="48">
        <f t="shared" ref="C128:P128" si="50">+C9*C119</f>
        <v>0</v>
      </c>
      <c r="D128" s="48">
        <f t="shared" si="50"/>
        <v>0</v>
      </c>
      <c r="E128" s="230">
        <f t="shared" si="50"/>
        <v>0</v>
      </c>
      <c r="F128" s="188">
        <f t="shared" si="50"/>
        <v>0</v>
      </c>
      <c r="G128" s="188">
        <f t="shared" si="50"/>
        <v>0</v>
      </c>
      <c r="H128" s="188">
        <f t="shared" si="50"/>
        <v>0</v>
      </c>
      <c r="I128" s="188">
        <f t="shared" si="50"/>
        <v>0</v>
      </c>
      <c r="J128" s="188">
        <f t="shared" si="50"/>
        <v>0</v>
      </c>
      <c r="K128" s="188">
        <f t="shared" si="50"/>
        <v>0</v>
      </c>
      <c r="L128" s="188">
        <f t="shared" si="50"/>
        <v>0</v>
      </c>
      <c r="M128" s="188">
        <f t="shared" si="50"/>
        <v>0</v>
      </c>
      <c r="N128" s="188">
        <f t="shared" si="50"/>
        <v>0</v>
      </c>
      <c r="O128" s="188">
        <f t="shared" si="50"/>
        <v>0</v>
      </c>
      <c r="P128" s="231">
        <f t="shared" si="50"/>
        <v>0</v>
      </c>
      <c r="Q128" s="188"/>
      <c r="R128" s="188"/>
      <c r="S128" s="188"/>
      <c r="T128" s="188"/>
      <c r="U128" s="188"/>
      <c r="V128" s="188"/>
      <c r="W128" s="121"/>
    </row>
    <row r="129" spans="1:23" x14ac:dyDescent="0.2">
      <c r="B129" s="24" t="s">
        <v>153</v>
      </c>
      <c r="C129" s="48">
        <f t="shared" ref="C129:P129" si="51">+C10*C120</f>
        <v>0</v>
      </c>
      <c r="D129" s="48">
        <f t="shared" si="51"/>
        <v>0</v>
      </c>
      <c r="E129" s="230">
        <f t="shared" si="51"/>
        <v>0</v>
      </c>
      <c r="F129" s="188">
        <f t="shared" si="51"/>
        <v>0</v>
      </c>
      <c r="G129" s="188">
        <f t="shared" si="51"/>
        <v>0</v>
      </c>
      <c r="H129" s="188">
        <f t="shared" si="51"/>
        <v>0</v>
      </c>
      <c r="I129" s="188">
        <f t="shared" si="51"/>
        <v>0</v>
      </c>
      <c r="J129" s="188">
        <f t="shared" si="51"/>
        <v>0</v>
      </c>
      <c r="K129" s="188">
        <f t="shared" si="51"/>
        <v>0</v>
      </c>
      <c r="L129" s="188">
        <f t="shared" si="51"/>
        <v>0</v>
      </c>
      <c r="M129" s="188">
        <f t="shared" si="51"/>
        <v>0</v>
      </c>
      <c r="N129" s="188">
        <f t="shared" si="51"/>
        <v>0</v>
      </c>
      <c r="O129" s="188">
        <f t="shared" si="51"/>
        <v>0</v>
      </c>
      <c r="P129" s="231">
        <f t="shared" si="51"/>
        <v>0</v>
      </c>
      <c r="Q129" s="188"/>
      <c r="R129" s="188"/>
      <c r="S129" s="188"/>
      <c r="T129" s="188"/>
      <c r="U129" s="188"/>
      <c r="V129" s="188"/>
      <c r="W129" s="121"/>
    </row>
    <row r="130" spans="1:23" x14ac:dyDescent="0.2">
      <c r="B130" s="24" t="s">
        <v>154</v>
      </c>
      <c r="C130" s="48">
        <f t="shared" ref="C130:P130" si="52">+C11*C121</f>
        <v>0</v>
      </c>
      <c r="D130" s="48">
        <f t="shared" si="52"/>
        <v>0</v>
      </c>
      <c r="E130" s="230">
        <f t="shared" si="52"/>
        <v>0</v>
      </c>
      <c r="F130" s="188">
        <f t="shared" si="52"/>
        <v>0</v>
      </c>
      <c r="G130" s="188">
        <f t="shared" si="52"/>
        <v>0</v>
      </c>
      <c r="H130" s="188">
        <f t="shared" si="52"/>
        <v>0</v>
      </c>
      <c r="I130" s="188">
        <f t="shared" si="52"/>
        <v>0</v>
      </c>
      <c r="J130" s="188">
        <f t="shared" si="52"/>
        <v>0</v>
      </c>
      <c r="K130" s="188">
        <f t="shared" si="52"/>
        <v>0</v>
      </c>
      <c r="L130" s="188">
        <f t="shared" si="52"/>
        <v>0</v>
      </c>
      <c r="M130" s="188">
        <f t="shared" si="52"/>
        <v>0</v>
      </c>
      <c r="N130" s="188">
        <f t="shared" si="52"/>
        <v>0</v>
      </c>
      <c r="O130" s="188">
        <f t="shared" si="52"/>
        <v>0</v>
      </c>
      <c r="P130" s="231">
        <f t="shared" si="52"/>
        <v>0</v>
      </c>
      <c r="Q130" s="188"/>
      <c r="R130" s="188"/>
      <c r="S130" s="188"/>
      <c r="T130" s="188"/>
      <c r="U130" s="188"/>
      <c r="V130" s="188"/>
      <c r="W130" s="121"/>
    </row>
    <row r="131" spans="1:23" x14ac:dyDescent="0.2">
      <c r="A131" s="232"/>
      <c r="B131" s="232" t="s">
        <v>181</v>
      </c>
      <c r="C131" s="432">
        <f t="shared" ref="C131:P131" si="53">SUM(C124:C130)</f>
        <v>0</v>
      </c>
      <c r="D131" s="432">
        <f t="shared" si="53"/>
        <v>0</v>
      </c>
      <c r="E131" s="433">
        <f t="shared" si="53"/>
        <v>0</v>
      </c>
      <c r="F131" s="432">
        <f t="shared" si="53"/>
        <v>0</v>
      </c>
      <c r="G131" s="432">
        <f t="shared" si="53"/>
        <v>0</v>
      </c>
      <c r="H131" s="432">
        <f t="shared" si="53"/>
        <v>0</v>
      </c>
      <c r="I131" s="432">
        <f t="shared" si="53"/>
        <v>0</v>
      </c>
      <c r="J131" s="432">
        <f t="shared" si="53"/>
        <v>0</v>
      </c>
      <c r="K131" s="432">
        <f t="shared" si="53"/>
        <v>0</v>
      </c>
      <c r="L131" s="432">
        <f t="shared" si="53"/>
        <v>0</v>
      </c>
      <c r="M131" s="432">
        <f t="shared" si="53"/>
        <v>0</v>
      </c>
      <c r="N131" s="432">
        <f t="shared" si="53"/>
        <v>0</v>
      </c>
      <c r="O131" s="432">
        <f t="shared" si="53"/>
        <v>0</v>
      </c>
      <c r="P131" s="434">
        <f t="shared" si="53"/>
        <v>0</v>
      </c>
      <c r="Q131" s="188"/>
      <c r="R131" s="188"/>
      <c r="S131" s="188"/>
      <c r="T131" s="188"/>
      <c r="U131" s="188"/>
      <c r="V131" s="188"/>
      <c r="W131" s="121"/>
    </row>
    <row r="132" spans="1:23" x14ac:dyDescent="0.2">
      <c r="E132" s="408"/>
      <c r="F132" s="411"/>
      <c r="G132" s="121"/>
      <c r="H132" s="121"/>
      <c r="I132" s="121"/>
      <c r="J132" s="121"/>
      <c r="K132" s="121"/>
      <c r="L132" s="121"/>
      <c r="M132" s="121"/>
      <c r="N132" s="121"/>
      <c r="O132" s="121"/>
      <c r="P132" s="213"/>
      <c r="W132" s="121"/>
    </row>
    <row r="133" spans="1:23" x14ac:dyDescent="0.2">
      <c r="A133" s="225" t="s">
        <v>183</v>
      </c>
      <c r="E133" s="408"/>
      <c r="F133" s="121"/>
      <c r="G133" s="121"/>
      <c r="H133" s="121"/>
      <c r="I133" s="121"/>
      <c r="J133" s="121"/>
      <c r="K133" s="121"/>
      <c r="L133" s="121"/>
      <c r="M133" s="121"/>
      <c r="N133" s="121"/>
      <c r="O133" s="121"/>
      <c r="P133" s="213"/>
      <c r="W133" s="121"/>
    </row>
    <row r="134" spans="1:23" x14ac:dyDescent="0.2">
      <c r="B134" s="24" t="s">
        <v>148</v>
      </c>
      <c r="C134" s="578">
        <v>-3.2809999999999999E-2</v>
      </c>
      <c r="D134" s="53">
        <f>C134</f>
        <v>-3.2809999999999999E-2</v>
      </c>
      <c r="E134" s="235">
        <f>'Sch. 106'!J10</f>
        <v>0</v>
      </c>
      <c r="F134" s="236">
        <f t="shared" ref="F134:O140" si="54">E134</f>
        <v>0</v>
      </c>
      <c r="G134" s="236">
        <f t="shared" si="54"/>
        <v>0</v>
      </c>
      <c r="H134" s="236">
        <f t="shared" si="54"/>
        <v>0</v>
      </c>
      <c r="I134" s="236">
        <f t="shared" si="54"/>
        <v>0</v>
      </c>
      <c r="J134" s="236">
        <f t="shared" si="54"/>
        <v>0</v>
      </c>
      <c r="K134" s="236">
        <f t="shared" si="54"/>
        <v>0</v>
      </c>
      <c r="L134" s="236">
        <f t="shared" si="54"/>
        <v>0</v>
      </c>
      <c r="M134" s="236">
        <f t="shared" si="54"/>
        <v>0</v>
      </c>
      <c r="N134" s="236">
        <f t="shared" si="54"/>
        <v>0</v>
      </c>
      <c r="O134" s="236">
        <f t="shared" si="54"/>
        <v>0</v>
      </c>
      <c r="P134" s="237">
        <f t="shared" ref="P134" si="55">O134</f>
        <v>0</v>
      </c>
      <c r="Q134" s="236"/>
      <c r="R134" s="236"/>
      <c r="S134" s="236"/>
      <c r="T134" s="236"/>
      <c r="U134" s="236"/>
      <c r="V134" s="236"/>
      <c r="W134" s="121"/>
    </row>
    <row r="135" spans="1:23" x14ac:dyDescent="0.2">
      <c r="B135" s="24" t="s">
        <v>149</v>
      </c>
      <c r="C135" s="240">
        <v>-3.2809999999999999E-2</v>
      </c>
      <c r="D135" s="53">
        <f t="shared" ref="D135:D140" si="56">C135</f>
        <v>-3.2809999999999999E-2</v>
      </c>
      <c r="E135" s="409">
        <f>'Sch. 106'!J11</f>
        <v>0</v>
      </c>
      <c r="F135" s="236">
        <f t="shared" si="54"/>
        <v>0</v>
      </c>
      <c r="G135" s="236">
        <f t="shared" si="54"/>
        <v>0</v>
      </c>
      <c r="H135" s="236">
        <f t="shared" si="54"/>
        <v>0</v>
      </c>
      <c r="I135" s="236">
        <f t="shared" si="54"/>
        <v>0</v>
      </c>
      <c r="J135" s="236">
        <f t="shared" si="54"/>
        <v>0</v>
      </c>
      <c r="K135" s="236">
        <f t="shared" si="54"/>
        <v>0</v>
      </c>
      <c r="L135" s="236">
        <f t="shared" si="54"/>
        <v>0</v>
      </c>
      <c r="M135" s="236">
        <f t="shared" si="54"/>
        <v>0</v>
      </c>
      <c r="N135" s="236">
        <f t="shared" si="54"/>
        <v>0</v>
      </c>
      <c r="O135" s="236">
        <f t="shared" si="54"/>
        <v>0</v>
      </c>
      <c r="P135" s="237">
        <f>$P$134</f>
        <v>0</v>
      </c>
      <c r="Q135" s="236"/>
      <c r="R135" s="236"/>
      <c r="S135" s="236"/>
      <c r="T135" s="236"/>
      <c r="U135" s="236"/>
      <c r="V135" s="236"/>
      <c r="W135" s="121"/>
    </row>
    <row r="136" spans="1:23" x14ac:dyDescent="0.2">
      <c r="B136" s="24" t="s">
        <v>150</v>
      </c>
      <c r="C136" s="240">
        <v>-3.1359999999999999E-2</v>
      </c>
      <c r="D136" s="53">
        <f t="shared" si="56"/>
        <v>-3.1359999999999999E-2</v>
      </c>
      <c r="E136" s="409">
        <f>'Sch. 106'!J12</f>
        <v>0</v>
      </c>
      <c r="F136" s="236">
        <f t="shared" si="54"/>
        <v>0</v>
      </c>
      <c r="G136" s="236">
        <f t="shared" si="54"/>
        <v>0</v>
      </c>
      <c r="H136" s="236">
        <f t="shared" si="54"/>
        <v>0</v>
      </c>
      <c r="I136" s="236">
        <f t="shared" si="54"/>
        <v>0</v>
      </c>
      <c r="J136" s="236">
        <f t="shared" si="54"/>
        <v>0</v>
      </c>
      <c r="K136" s="236">
        <f t="shared" si="54"/>
        <v>0</v>
      </c>
      <c r="L136" s="236">
        <f t="shared" si="54"/>
        <v>0</v>
      </c>
      <c r="M136" s="236">
        <f t="shared" si="54"/>
        <v>0</v>
      </c>
      <c r="N136" s="236">
        <f t="shared" si="54"/>
        <v>0</v>
      </c>
      <c r="O136" s="236">
        <f t="shared" si="54"/>
        <v>0</v>
      </c>
      <c r="P136" s="237">
        <f t="shared" ref="P136:P140" si="57">$P$134</f>
        <v>0</v>
      </c>
      <c r="Q136" s="236"/>
      <c r="R136" s="236"/>
      <c r="S136" s="236"/>
      <c r="T136" s="236"/>
      <c r="U136" s="236"/>
      <c r="V136" s="236"/>
      <c r="W136" s="121"/>
    </row>
    <row r="137" spans="1:23" x14ac:dyDescent="0.2">
      <c r="B137" s="24" t="s">
        <v>151</v>
      </c>
      <c r="C137" s="240">
        <v>-2.7570000000000001E-2</v>
      </c>
      <c r="D137" s="53">
        <f t="shared" si="56"/>
        <v>-2.7570000000000001E-2</v>
      </c>
      <c r="E137" s="409">
        <f>'Sch. 106'!J13</f>
        <v>0</v>
      </c>
      <c r="F137" s="236">
        <f t="shared" si="54"/>
        <v>0</v>
      </c>
      <c r="G137" s="236">
        <f t="shared" si="54"/>
        <v>0</v>
      </c>
      <c r="H137" s="236">
        <f t="shared" si="54"/>
        <v>0</v>
      </c>
      <c r="I137" s="236">
        <f t="shared" si="54"/>
        <v>0</v>
      </c>
      <c r="J137" s="236">
        <f t="shared" si="54"/>
        <v>0</v>
      </c>
      <c r="K137" s="236">
        <f t="shared" si="54"/>
        <v>0</v>
      </c>
      <c r="L137" s="236">
        <f t="shared" si="54"/>
        <v>0</v>
      </c>
      <c r="M137" s="236">
        <f t="shared" si="54"/>
        <v>0</v>
      </c>
      <c r="N137" s="236">
        <f t="shared" si="54"/>
        <v>0</v>
      </c>
      <c r="O137" s="236">
        <f t="shared" si="54"/>
        <v>0</v>
      </c>
      <c r="P137" s="237">
        <f t="shared" si="57"/>
        <v>0</v>
      </c>
      <c r="Q137" s="236"/>
      <c r="R137" s="236"/>
      <c r="S137" s="236"/>
      <c r="T137" s="236"/>
      <c r="U137" s="236"/>
      <c r="V137" s="236"/>
      <c r="W137" s="121"/>
    </row>
    <row r="138" spans="1:23" x14ac:dyDescent="0.2">
      <c r="B138" s="24" t="s">
        <v>152</v>
      </c>
      <c r="C138" s="240">
        <v>-0.02</v>
      </c>
      <c r="D138" s="53">
        <f t="shared" si="56"/>
        <v>-0.02</v>
      </c>
      <c r="E138" s="409">
        <f>'Sch. 106'!J14</f>
        <v>0</v>
      </c>
      <c r="F138" s="236">
        <f t="shared" si="54"/>
        <v>0</v>
      </c>
      <c r="G138" s="236">
        <f t="shared" si="54"/>
        <v>0</v>
      </c>
      <c r="H138" s="236">
        <f t="shared" si="54"/>
        <v>0</v>
      </c>
      <c r="I138" s="236">
        <f t="shared" si="54"/>
        <v>0</v>
      </c>
      <c r="J138" s="236">
        <f t="shared" si="54"/>
        <v>0</v>
      </c>
      <c r="K138" s="236">
        <f t="shared" si="54"/>
        <v>0</v>
      </c>
      <c r="L138" s="236">
        <f t="shared" si="54"/>
        <v>0</v>
      </c>
      <c r="M138" s="236">
        <f t="shared" si="54"/>
        <v>0</v>
      </c>
      <c r="N138" s="236">
        <f t="shared" si="54"/>
        <v>0</v>
      </c>
      <c r="O138" s="236">
        <f t="shared" si="54"/>
        <v>0</v>
      </c>
      <c r="P138" s="237">
        <f t="shared" si="57"/>
        <v>0</v>
      </c>
      <c r="Q138" s="236"/>
      <c r="R138" s="236"/>
      <c r="S138" s="236"/>
      <c r="T138" s="236"/>
      <c r="U138" s="236"/>
      <c r="V138" s="236"/>
      <c r="W138" s="121"/>
    </row>
    <row r="139" spans="1:23" x14ac:dyDescent="0.2">
      <c r="B139" s="24" t="s">
        <v>153</v>
      </c>
      <c r="C139" s="240">
        <v>-2.1669999999999998E-2</v>
      </c>
      <c r="D139" s="53">
        <f t="shared" si="56"/>
        <v>-2.1669999999999998E-2</v>
      </c>
      <c r="E139" s="409">
        <f>'Sch. 106'!J15</f>
        <v>0</v>
      </c>
      <c r="F139" s="236">
        <f t="shared" si="54"/>
        <v>0</v>
      </c>
      <c r="G139" s="236">
        <f t="shared" si="54"/>
        <v>0</v>
      </c>
      <c r="H139" s="236">
        <f t="shared" si="54"/>
        <v>0</v>
      </c>
      <c r="I139" s="236">
        <f t="shared" si="54"/>
        <v>0</v>
      </c>
      <c r="J139" s="236">
        <f t="shared" si="54"/>
        <v>0</v>
      </c>
      <c r="K139" s="236">
        <f t="shared" si="54"/>
        <v>0</v>
      </c>
      <c r="L139" s="236">
        <f t="shared" si="54"/>
        <v>0</v>
      </c>
      <c r="M139" s="236">
        <f t="shared" si="54"/>
        <v>0</v>
      </c>
      <c r="N139" s="236">
        <f t="shared" si="54"/>
        <v>0</v>
      </c>
      <c r="O139" s="236">
        <f t="shared" si="54"/>
        <v>0</v>
      </c>
      <c r="P139" s="237">
        <f t="shared" si="57"/>
        <v>0</v>
      </c>
      <c r="Q139" s="236"/>
      <c r="R139" s="236"/>
      <c r="S139" s="236"/>
      <c r="T139" s="236"/>
      <c r="U139" s="236"/>
      <c r="V139" s="236"/>
      <c r="W139" s="121"/>
    </row>
    <row r="140" spans="1:23" x14ac:dyDescent="0.2">
      <c r="B140" s="24" t="s">
        <v>154</v>
      </c>
      <c r="C140" s="242">
        <v>-1.8710000000000001E-2</v>
      </c>
      <c r="D140" s="53">
        <f t="shared" si="56"/>
        <v>-1.8710000000000001E-2</v>
      </c>
      <c r="E140" s="410">
        <f>'Sch. 106'!J16</f>
        <v>0</v>
      </c>
      <c r="F140" s="236">
        <f t="shared" si="54"/>
        <v>0</v>
      </c>
      <c r="G140" s="236">
        <f t="shared" si="54"/>
        <v>0</v>
      </c>
      <c r="H140" s="236">
        <f t="shared" si="54"/>
        <v>0</v>
      </c>
      <c r="I140" s="236">
        <f t="shared" si="54"/>
        <v>0</v>
      </c>
      <c r="J140" s="236">
        <f t="shared" si="54"/>
        <v>0</v>
      </c>
      <c r="K140" s="236">
        <f t="shared" si="54"/>
        <v>0</v>
      </c>
      <c r="L140" s="236">
        <f t="shared" si="54"/>
        <v>0</v>
      </c>
      <c r="M140" s="236">
        <f t="shared" si="54"/>
        <v>0</v>
      </c>
      <c r="N140" s="236">
        <f t="shared" si="54"/>
        <v>0</v>
      </c>
      <c r="O140" s="236">
        <f t="shared" si="54"/>
        <v>0</v>
      </c>
      <c r="P140" s="237">
        <f t="shared" si="57"/>
        <v>0</v>
      </c>
      <c r="Q140" s="236"/>
      <c r="R140" s="236"/>
      <c r="S140" s="236"/>
      <c r="T140" s="236"/>
      <c r="U140" s="236"/>
      <c r="V140" s="236"/>
      <c r="W140" s="121"/>
    </row>
    <row r="141" spans="1:23" x14ac:dyDescent="0.2">
      <c r="E141" s="212"/>
      <c r="F141" s="121"/>
      <c r="G141" s="121"/>
      <c r="H141" s="121"/>
      <c r="I141" s="121"/>
      <c r="J141" s="121"/>
      <c r="K141" s="121"/>
      <c r="L141" s="121"/>
      <c r="M141" s="121"/>
      <c r="N141" s="121"/>
      <c r="O141" s="121"/>
      <c r="P141" s="237"/>
      <c r="W141" s="121"/>
    </row>
    <row r="142" spans="1:23" x14ac:dyDescent="0.2">
      <c r="A142" s="225" t="s">
        <v>180</v>
      </c>
      <c r="E142" s="212"/>
      <c r="F142" s="121"/>
      <c r="G142" s="121"/>
      <c r="H142" s="121"/>
      <c r="I142" s="121"/>
      <c r="J142" s="121"/>
      <c r="K142" s="121"/>
      <c r="L142" s="121"/>
      <c r="M142" s="121"/>
      <c r="N142" s="121"/>
      <c r="O142" s="121"/>
      <c r="P142" s="237"/>
      <c r="W142" s="121"/>
    </row>
    <row r="143" spans="1:23" x14ac:dyDescent="0.2">
      <c r="B143" s="24" t="s">
        <v>148</v>
      </c>
      <c r="C143" s="48">
        <f t="shared" ref="C143:P143" si="58">+C5*C134</f>
        <v>-661720.74184000003</v>
      </c>
      <c r="D143" s="48">
        <f t="shared" si="58"/>
        <v>-1404999.72862</v>
      </c>
      <c r="E143" s="230">
        <f t="shared" si="58"/>
        <v>0</v>
      </c>
      <c r="F143" s="188">
        <f t="shared" si="58"/>
        <v>0</v>
      </c>
      <c r="G143" s="188">
        <f t="shared" si="58"/>
        <v>0</v>
      </c>
      <c r="H143" s="188">
        <f t="shared" si="58"/>
        <v>0</v>
      </c>
      <c r="I143" s="188">
        <f t="shared" si="58"/>
        <v>0</v>
      </c>
      <c r="J143" s="188">
        <f t="shared" si="58"/>
        <v>0</v>
      </c>
      <c r="K143" s="188">
        <f t="shared" si="58"/>
        <v>0</v>
      </c>
      <c r="L143" s="188">
        <f t="shared" si="58"/>
        <v>0</v>
      </c>
      <c r="M143" s="188">
        <f t="shared" si="58"/>
        <v>0</v>
      </c>
      <c r="N143" s="188">
        <f t="shared" si="58"/>
        <v>0</v>
      </c>
      <c r="O143" s="188">
        <f t="shared" si="58"/>
        <v>0</v>
      </c>
      <c r="P143" s="231">
        <f t="shared" si="58"/>
        <v>0</v>
      </c>
      <c r="Q143" s="188"/>
      <c r="R143" s="188"/>
      <c r="S143" s="188"/>
      <c r="T143" s="188"/>
      <c r="U143" s="188"/>
      <c r="V143" s="188"/>
      <c r="W143" s="121"/>
    </row>
    <row r="144" spans="1:23" x14ac:dyDescent="0.2">
      <c r="B144" s="24" t="s">
        <v>149</v>
      </c>
      <c r="C144" s="48">
        <f t="shared" ref="C144:P144" si="59">+C6*C135</f>
        <v>-16.831530000000001</v>
      </c>
      <c r="D144" s="48">
        <f t="shared" si="59"/>
        <v>-16.831530000000001</v>
      </c>
      <c r="E144" s="230">
        <f t="shared" si="59"/>
        <v>0</v>
      </c>
      <c r="F144" s="188">
        <f t="shared" si="59"/>
        <v>0</v>
      </c>
      <c r="G144" s="188">
        <f t="shared" si="59"/>
        <v>0</v>
      </c>
      <c r="H144" s="188">
        <f t="shared" si="59"/>
        <v>0</v>
      </c>
      <c r="I144" s="188">
        <f t="shared" si="59"/>
        <v>0</v>
      </c>
      <c r="J144" s="188">
        <f t="shared" si="59"/>
        <v>0</v>
      </c>
      <c r="K144" s="188">
        <f t="shared" si="59"/>
        <v>0</v>
      </c>
      <c r="L144" s="188">
        <f t="shared" si="59"/>
        <v>0</v>
      </c>
      <c r="M144" s="188">
        <f t="shared" si="59"/>
        <v>0</v>
      </c>
      <c r="N144" s="188">
        <f t="shared" si="59"/>
        <v>0</v>
      </c>
      <c r="O144" s="188">
        <f t="shared" si="59"/>
        <v>0</v>
      </c>
      <c r="P144" s="231">
        <f t="shared" si="59"/>
        <v>0</v>
      </c>
      <c r="Q144" s="188"/>
      <c r="R144" s="188"/>
      <c r="S144" s="188"/>
      <c r="T144" s="188"/>
      <c r="U144" s="188"/>
      <c r="V144" s="188"/>
      <c r="W144" s="121"/>
    </row>
    <row r="145" spans="1:23" x14ac:dyDescent="0.2">
      <c r="B145" s="24" t="s">
        <v>150</v>
      </c>
      <c r="C145" s="48">
        <f t="shared" ref="C145:P145" si="60">+C7*C136</f>
        <v>-360017.81760000001</v>
      </c>
      <c r="D145" s="48">
        <f t="shared" si="60"/>
        <v>-606371.56608000002</v>
      </c>
      <c r="E145" s="230">
        <f t="shared" si="60"/>
        <v>0</v>
      </c>
      <c r="F145" s="188">
        <f t="shared" si="60"/>
        <v>0</v>
      </c>
      <c r="G145" s="188">
        <f t="shared" si="60"/>
        <v>0</v>
      </c>
      <c r="H145" s="188">
        <f t="shared" si="60"/>
        <v>0</v>
      </c>
      <c r="I145" s="188">
        <f t="shared" si="60"/>
        <v>0</v>
      </c>
      <c r="J145" s="188">
        <f t="shared" si="60"/>
        <v>0</v>
      </c>
      <c r="K145" s="188">
        <f t="shared" si="60"/>
        <v>0</v>
      </c>
      <c r="L145" s="188">
        <f t="shared" si="60"/>
        <v>0</v>
      </c>
      <c r="M145" s="188">
        <f t="shared" si="60"/>
        <v>0</v>
      </c>
      <c r="N145" s="188">
        <f t="shared" si="60"/>
        <v>0</v>
      </c>
      <c r="O145" s="188">
        <f t="shared" si="60"/>
        <v>0</v>
      </c>
      <c r="P145" s="231">
        <f t="shared" si="60"/>
        <v>0</v>
      </c>
      <c r="Q145" s="188"/>
      <c r="R145" s="188"/>
      <c r="S145" s="188"/>
      <c r="T145" s="188"/>
      <c r="U145" s="188"/>
      <c r="V145" s="188"/>
      <c r="W145" s="121"/>
    </row>
    <row r="146" spans="1:23" x14ac:dyDescent="0.2">
      <c r="B146" s="24" t="s">
        <v>151</v>
      </c>
      <c r="C146" s="48">
        <f t="shared" ref="C146:P146" si="61">+C8*C137</f>
        <v>-102710.27052000001</v>
      </c>
      <c r="D146" s="48">
        <f t="shared" si="61"/>
        <v>-158782.32951000001</v>
      </c>
      <c r="E146" s="230">
        <f t="shared" si="61"/>
        <v>0</v>
      </c>
      <c r="F146" s="188">
        <f t="shared" si="61"/>
        <v>0</v>
      </c>
      <c r="G146" s="188">
        <f t="shared" si="61"/>
        <v>0</v>
      </c>
      <c r="H146" s="188">
        <f t="shared" si="61"/>
        <v>0</v>
      </c>
      <c r="I146" s="188">
        <f t="shared" si="61"/>
        <v>0</v>
      </c>
      <c r="J146" s="188">
        <f t="shared" si="61"/>
        <v>0</v>
      </c>
      <c r="K146" s="188">
        <f t="shared" si="61"/>
        <v>0</v>
      </c>
      <c r="L146" s="188">
        <f t="shared" si="61"/>
        <v>0</v>
      </c>
      <c r="M146" s="188">
        <f t="shared" si="61"/>
        <v>0</v>
      </c>
      <c r="N146" s="188">
        <f t="shared" si="61"/>
        <v>0</v>
      </c>
      <c r="O146" s="188">
        <f t="shared" si="61"/>
        <v>0</v>
      </c>
      <c r="P146" s="231">
        <f t="shared" si="61"/>
        <v>0</v>
      </c>
      <c r="Q146" s="188"/>
      <c r="R146" s="188"/>
      <c r="S146" s="188"/>
      <c r="T146" s="188"/>
      <c r="U146" s="188"/>
      <c r="V146" s="188"/>
      <c r="W146" s="121"/>
    </row>
    <row r="147" spans="1:23" x14ac:dyDescent="0.2">
      <c r="B147" s="24" t="s">
        <v>152</v>
      </c>
      <c r="C147" s="48">
        <f t="shared" ref="C147:P147" si="62">+C9*C138</f>
        <v>-21012.3</v>
      </c>
      <c r="D147" s="48">
        <f t="shared" si="62"/>
        <v>-30591.200000000001</v>
      </c>
      <c r="E147" s="230">
        <f t="shared" si="62"/>
        <v>0</v>
      </c>
      <c r="F147" s="188">
        <f t="shared" si="62"/>
        <v>0</v>
      </c>
      <c r="G147" s="188">
        <f t="shared" si="62"/>
        <v>0</v>
      </c>
      <c r="H147" s="188">
        <f t="shared" si="62"/>
        <v>0</v>
      </c>
      <c r="I147" s="188">
        <f t="shared" si="62"/>
        <v>0</v>
      </c>
      <c r="J147" s="188">
        <f t="shared" si="62"/>
        <v>0</v>
      </c>
      <c r="K147" s="188">
        <f t="shared" si="62"/>
        <v>0</v>
      </c>
      <c r="L147" s="188">
        <f t="shared" si="62"/>
        <v>0</v>
      </c>
      <c r="M147" s="188">
        <f t="shared" si="62"/>
        <v>0</v>
      </c>
      <c r="N147" s="188">
        <f t="shared" si="62"/>
        <v>0</v>
      </c>
      <c r="O147" s="188">
        <f t="shared" si="62"/>
        <v>0</v>
      </c>
      <c r="P147" s="231">
        <f t="shared" si="62"/>
        <v>0</v>
      </c>
      <c r="Q147" s="188"/>
      <c r="R147" s="188"/>
      <c r="S147" s="188"/>
      <c r="T147" s="188"/>
      <c r="U147" s="188"/>
      <c r="V147" s="188"/>
      <c r="W147" s="121"/>
    </row>
    <row r="148" spans="1:23" x14ac:dyDescent="0.2">
      <c r="B148" s="24" t="s">
        <v>153</v>
      </c>
      <c r="C148" s="48">
        <f t="shared" ref="C148:P148" si="63">+C10*C139</f>
        <v>-399.18306999999999</v>
      </c>
      <c r="D148" s="48">
        <f t="shared" si="63"/>
        <v>-5470.1147599999995</v>
      </c>
      <c r="E148" s="230">
        <f t="shared" si="63"/>
        <v>0</v>
      </c>
      <c r="F148" s="188">
        <f t="shared" si="63"/>
        <v>0</v>
      </c>
      <c r="G148" s="188">
        <f t="shared" si="63"/>
        <v>0</v>
      </c>
      <c r="H148" s="188">
        <f t="shared" si="63"/>
        <v>0</v>
      </c>
      <c r="I148" s="188">
        <f t="shared" si="63"/>
        <v>0</v>
      </c>
      <c r="J148" s="188">
        <f t="shared" si="63"/>
        <v>0</v>
      </c>
      <c r="K148" s="188">
        <f t="shared" si="63"/>
        <v>0</v>
      </c>
      <c r="L148" s="188">
        <f t="shared" si="63"/>
        <v>0</v>
      </c>
      <c r="M148" s="188">
        <f t="shared" si="63"/>
        <v>0</v>
      </c>
      <c r="N148" s="188">
        <f t="shared" si="63"/>
        <v>0</v>
      </c>
      <c r="O148" s="188">
        <f t="shared" si="63"/>
        <v>0</v>
      </c>
      <c r="P148" s="231">
        <f t="shared" si="63"/>
        <v>0</v>
      </c>
      <c r="Q148" s="188"/>
      <c r="R148" s="188"/>
      <c r="S148" s="188"/>
      <c r="T148" s="188"/>
      <c r="U148" s="188"/>
      <c r="V148" s="188"/>
      <c r="W148" s="121"/>
    </row>
    <row r="149" spans="1:23" x14ac:dyDescent="0.2">
      <c r="B149" s="24" t="s">
        <v>154</v>
      </c>
      <c r="C149" s="48">
        <f t="shared" ref="C149:P149" si="64">+C11*C140</f>
        <v>-20354.141250000001</v>
      </c>
      <c r="D149" s="48">
        <f t="shared" si="64"/>
        <v>-35757.803599999999</v>
      </c>
      <c r="E149" s="230">
        <f t="shared" si="64"/>
        <v>0</v>
      </c>
      <c r="F149" s="188">
        <f t="shared" si="64"/>
        <v>0</v>
      </c>
      <c r="G149" s="188">
        <f t="shared" si="64"/>
        <v>0</v>
      </c>
      <c r="H149" s="188">
        <f t="shared" si="64"/>
        <v>0</v>
      </c>
      <c r="I149" s="188">
        <f t="shared" si="64"/>
        <v>0</v>
      </c>
      <c r="J149" s="188">
        <f t="shared" si="64"/>
        <v>0</v>
      </c>
      <c r="K149" s="188">
        <f t="shared" si="64"/>
        <v>0</v>
      </c>
      <c r="L149" s="188">
        <f t="shared" si="64"/>
        <v>0</v>
      </c>
      <c r="M149" s="188">
        <f t="shared" si="64"/>
        <v>0</v>
      </c>
      <c r="N149" s="188">
        <f t="shared" si="64"/>
        <v>0</v>
      </c>
      <c r="O149" s="188">
        <f t="shared" si="64"/>
        <v>0</v>
      </c>
      <c r="P149" s="231">
        <f t="shared" si="64"/>
        <v>0</v>
      </c>
      <c r="Q149" s="188"/>
      <c r="R149" s="188"/>
      <c r="S149" s="188"/>
      <c r="T149" s="188"/>
      <c r="U149" s="188"/>
      <c r="V149" s="188"/>
      <c r="W149" s="121"/>
    </row>
    <row r="150" spans="1:23" x14ac:dyDescent="0.2">
      <c r="A150" s="232"/>
      <c r="B150" s="232" t="s">
        <v>181</v>
      </c>
      <c r="C150" s="432">
        <f t="shared" ref="C150:P150" si="65">SUM(C143:C149)</f>
        <v>-1166231.2858100003</v>
      </c>
      <c r="D150" s="432">
        <f t="shared" si="65"/>
        <v>-2241989.5741000003</v>
      </c>
      <c r="E150" s="433">
        <f t="shared" si="65"/>
        <v>0</v>
      </c>
      <c r="F150" s="432">
        <f t="shared" si="65"/>
        <v>0</v>
      </c>
      <c r="G150" s="432">
        <f t="shared" si="65"/>
        <v>0</v>
      </c>
      <c r="H150" s="432">
        <f t="shared" si="65"/>
        <v>0</v>
      </c>
      <c r="I150" s="432">
        <f t="shared" si="65"/>
        <v>0</v>
      </c>
      <c r="J150" s="432">
        <f t="shared" si="65"/>
        <v>0</v>
      </c>
      <c r="K150" s="432">
        <f t="shared" si="65"/>
        <v>0</v>
      </c>
      <c r="L150" s="432">
        <f t="shared" si="65"/>
        <v>0</v>
      </c>
      <c r="M150" s="432">
        <f t="shared" si="65"/>
        <v>0</v>
      </c>
      <c r="N150" s="432">
        <f t="shared" si="65"/>
        <v>0</v>
      </c>
      <c r="O150" s="432">
        <f t="shared" si="65"/>
        <v>0</v>
      </c>
      <c r="P150" s="434">
        <f t="shared" si="65"/>
        <v>0</v>
      </c>
      <c r="Q150" s="188"/>
      <c r="R150" s="188"/>
      <c r="S150" s="188"/>
      <c r="T150" s="188"/>
      <c r="U150" s="188"/>
      <c r="V150" s="188"/>
      <c r="W150" s="121"/>
    </row>
    <row r="151" spans="1:23" x14ac:dyDescent="0.2">
      <c r="E151" s="212"/>
      <c r="F151" s="121"/>
      <c r="G151" s="121"/>
      <c r="H151" s="121"/>
      <c r="I151" s="121"/>
      <c r="J151" s="121"/>
      <c r="K151" s="121"/>
      <c r="L151" s="121"/>
      <c r="M151" s="121"/>
      <c r="N151" s="121"/>
      <c r="O151" s="121"/>
      <c r="P151" s="121"/>
      <c r="W151" s="121"/>
    </row>
    <row r="152" spans="1:23" s="121" customFormat="1" x14ac:dyDescent="0.2">
      <c r="A152" s="245"/>
    </row>
    <row r="153" spans="1:23" s="121" customFormat="1" x14ac:dyDescent="0.2">
      <c r="C153" s="246"/>
      <c r="D153" s="236"/>
      <c r="E153" s="246"/>
      <c r="F153" s="236"/>
      <c r="G153" s="236"/>
      <c r="H153" s="236"/>
      <c r="I153" s="236"/>
      <c r="J153" s="236"/>
      <c r="K153" s="236"/>
      <c r="L153" s="236"/>
      <c r="M153" s="236"/>
      <c r="N153" s="236"/>
      <c r="O153" s="236"/>
      <c r="P153" s="236"/>
    </row>
    <row r="154" spans="1:23" s="121" customFormat="1" x14ac:dyDescent="0.2">
      <c r="C154" s="236"/>
      <c r="D154" s="236"/>
      <c r="E154" s="236"/>
      <c r="F154" s="236"/>
      <c r="G154" s="236"/>
      <c r="H154" s="236"/>
      <c r="I154" s="236"/>
      <c r="J154" s="236"/>
      <c r="K154" s="236"/>
      <c r="L154" s="236"/>
      <c r="M154" s="236"/>
      <c r="N154" s="236"/>
      <c r="O154" s="236"/>
      <c r="P154" s="236"/>
    </row>
    <row r="155" spans="1:23" s="121" customFormat="1" x14ac:dyDescent="0.2">
      <c r="C155" s="236"/>
      <c r="D155" s="236"/>
      <c r="E155" s="236"/>
      <c r="F155" s="236"/>
      <c r="G155" s="236"/>
      <c r="H155" s="236"/>
      <c r="I155" s="236"/>
      <c r="J155" s="236"/>
      <c r="K155" s="236"/>
      <c r="L155" s="236"/>
      <c r="M155" s="236"/>
      <c r="N155" s="236"/>
      <c r="O155" s="236"/>
      <c r="P155" s="236"/>
    </row>
    <row r="156" spans="1:23" s="121" customFormat="1" x14ac:dyDescent="0.2">
      <c r="C156" s="236"/>
      <c r="D156" s="236"/>
      <c r="E156" s="236"/>
      <c r="F156" s="236"/>
      <c r="G156" s="236"/>
      <c r="H156" s="236"/>
      <c r="I156" s="236"/>
      <c r="J156" s="236"/>
      <c r="K156" s="236"/>
      <c r="L156" s="236"/>
      <c r="M156" s="236"/>
      <c r="N156" s="236"/>
      <c r="O156" s="236"/>
      <c r="P156" s="236"/>
    </row>
    <row r="157" spans="1:23" s="121" customFormat="1" x14ac:dyDescent="0.2">
      <c r="C157" s="236"/>
      <c r="D157" s="236"/>
      <c r="E157" s="236"/>
      <c r="F157" s="236"/>
      <c r="G157" s="236"/>
      <c r="H157" s="236"/>
      <c r="I157" s="236"/>
      <c r="J157" s="236"/>
      <c r="K157" s="236"/>
      <c r="L157" s="236"/>
      <c r="M157" s="236"/>
      <c r="N157" s="236"/>
      <c r="O157" s="236"/>
      <c r="P157" s="236"/>
    </row>
    <row r="158" spans="1:23" s="121" customFormat="1" x14ac:dyDescent="0.2">
      <c r="C158" s="236"/>
      <c r="D158" s="236"/>
      <c r="E158" s="236"/>
      <c r="F158" s="236"/>
      <c r="G158" s="236"/>
      <c r="H158" s="236"/>
      <c r="I158" s="236"/>
      <c r="J158" s="236"/>
      <c r="K158" s="236"/>
      <c r="L158" s="236"/>
      <c r="M158" s="236"/>
      <c r="N158" s="236"/>
      <c r="O158" s="236"/>
      <c r="P158" s="236"/>
    </row>
    <row r="159" spans="1:23" s="121" customFormat="1" x14ac:dyDescent="0.2">
      <c r="C159" s="236"/>
      <c r="D159" s="236"/>
      <c r="E159" s="236"/>
      <c r="F159" s="236"/>
      <c r="G159" s="236"/>
      <c r="H159" s="236"/>
      <c r="I159" s="236"/>
      <c r="J159" s="236"/>
      <c r="K159" s="236"/>
      <c r="L159" s="236"/>
      <c r="M159" s="236"/>
      <c r="N159" s="236"/>
      <c r="O159" s="236"/>
      <c r="P159" s="236"/>
    </row>
    <row r="160" spans="1:23" s="121" customFormat="1" x14ac:dyDescent="0.2"/>
    <row r="161" spans="1:16" s="121" customFormat="1" x14ac:dyDescent="0.2">
      <c r="A161" s="245"/>
    </row>
    <row r="162" spans="1:16" s="121" customFormat="1" x14ac:dyDescent="0.2">
      <c r="C162" s="188"/>
      <c r="D162" s="188"/>
      <c r="E162" s="188"/>
      <c r="F162" s="188"/>
      <c r="G162" s="188"/>
      <c r="H162" s="188"/>
      <c r="I162" s="188"/>
      <c r="J162" s="188"/>
      <c r="K162" s="188"/>
      <c r="L162" s="188"/>
      <c r="M162" s="188"/>
      <c r="N162" s="188"/>
      <c r="O162" s="188"/>
      <c r="P162" s="188"/>
    </row>
    <row r="163" spans="1:16" s="121" customFormat="1" x14ac:dyDescent="0.2">
      <c r="C163" s="188"/>
      <c r="D163" s="188"/>
      <c r="E163" s="188"/>
      <c r="F163" s="188"/>
      <c r="G163" s="188"/>
      <c r="H163" s="188"/>
      <c r="I163" s="188"/>
      <c r="J163" s="188"/>
      <c r="K163" s="188"/>
      <c r="L163" s="188"/>
      <c r="M163" s="188"/>
      <c r="N163" s="188"/>
      <c r="O163" s="188"/>
      <c r="P163" s="188"/>
    </row>
    <row r="164" spans="1:16" s="121" customFormat="1" x14ac:dyDescent="0.2">
      <c r="C164" s="188"/>
      <c r="D164" s="188"/>
      <c r="E164" s="188"/>
      <c r="F164" s="188"/>
      <c r="G164" s="188"/>
      <c r="H164" s="188"/>
      <c r="I164" s="188"/>
      <c r="J164" s="188"/>
      <c r="K164" s="188"/>
      <c r="L164" s="188"/>
      <c r="M164" s="188"/>
      <c r="N164" s="188"/>
      <c r="O164" s="188"/>
      <c r="P164" s="188"/>
    </row>
    <row r="165" spans="1:16" s="121" customFormat="1" x14ac:dyDescent="0.2">
      <c r="C165" s="188"/>
      <c r="D165" s="188"/>
      <c r="E165" s="188"/>
      <c r="F165" s="188"/>
      <c r="G165" s="188"/>
      <c r="H165" s="188"/>
      <c r="I165" s="188"/>
      <c r="J165" s="188"/>
      <c r="K165" s="188"/>
      <c r="L165" s="188"/>
      <c r="M165" s="188"/>
      <c r="N165" s="188"/>
      <c r="O165" s="188"/>
      <c r="P165" s="188"/>
    </row>
    <row r="166" spans="1:16" s="121" customFormat="1" x14ac:dyDescent="0.2">
      <c r="C166" s="188"/>
      <c r="D166" s="188"/>
      <c r="E166" s="188"/>
      <c r="F166" s="188"/>
      <c r="G166" s="188"/>
      <c r="H166" s="188"/>
      <c r="I166" s="188"/>
      <c r="J166" s="188"/>
      <c r="K166" s="188"/>
      <c r="L166" s="188"/>
      <c r="M166" s="188"/>
      <c r="N166" s="188"/>
      <c r="O166" s="188"/>
      <c r="P166" s="188"/>
    </row>
    <row r="167" spans="1:16" s="121" customFormat="1" x14ac:dyDescent="0.2">
      <c r="C167" s="188"/>
      <c r="D167" s="188"/>
      <c r="E167" s="188"/>
      <c r="F167" s="188"/>
      <c r="G167" s="188"/>
      <c r="H167" s="188"/>
      <c r="I167" s="188"/>
      <c r="J167" s="188"/>
      <c r="K167" s="188"/>
      <c r="L167" s="188"/>
      <c r="M167" s="188"/>
      <c r="N167" s="188"/>
      <c r="O167" s="188"/>
      <c r="P167" s="188"/>
    </row>
    <row r="168" spans="1:16" s="121" customFormat="1" x14ac:dyDescent="0.2">
      <c r="C168" s="188"/>
      <c r="D168" s="188"/>
      <c r="E168" s="188"/>
      <c r="F168" s="188"/>
      <c r="G168" s="188"/>
      <c r="H168" s="188"/>
      <c r="I168" s="188"/>
      <c r="J168" s="188"/>
      <c r="K168" s="188"/>
      <c r="L168" s="188"/>
      <c r="M168" s="188"/>
      <c r="N168" s="188"/>
      <c r="O168" s="188"/>
      <c r="P168" s="188"/>
    </row>
    <row r="169" spans="1:16" s="121" customFormat="1" x14ac:dyDescent="0.2">
      <c r="C169" s="188"/>
      <c r="D169" s="188"/>
      <c r="E169" s="188"/>
      <c r="F169" s="188"/>
      <c r="G169" s="188"/>
      <c r="H169" s="188"/>
      <c r="I169" s="188"/>
      <c r="J169" s="188"/>
      <c r="K169" s="188"/>
      <c r="L169" s="188"/>
      <c r="M169" s="188"/>
      <c r="N169" s="188"/>
      <c r="O169" s="188"/>
      <c r="P169" s="188"/>
    </row>
    <row r="170" spans="1:16" s="121" customFormat="1" x14ac:dyDescent="0.2"/>
    <row r="171" spans="1:16" s="121" customFormat="1" x14ac:dyDescent="0.2"/>
  </sheetData>
  <printOptions horizontalCentered="1"/>
  <pageMargins left="0.5" right="0.5" top="0.72" bottom="0.51" header="0.5" footer="0.25"/>
  <pageSetup scale="60" fitToWidth="2" fitToHeight="5" pageOrder="overThenDown" orientation="landscape" blackAndWhite="1" r:id="rId1"/>
  <headerFooter alignWithMargins="0">
    <oddFooter>&amp;L&amp;F
&amp;A&amp;RPage &amp;P of &amp;N</oddFooter>
  </headerFooter>
  <rowBreaks count="1" manualBreakCount="1">
    <brk id="73" max="15" man="1"/>
  </rowBreaks>
  <customProperties>
    <customPr name="_pios_id" r:id="rId2"/>
    <customPr name="EpmWorksheetKeyString_GUID" r:id="rId3"/>
  </customProperties>
  <ignoredErrors>
    <ignoredError sqref="C125:D125 D97 E76:E82 C86 E5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49"/>
  <sheetViews>
    <sheetView zoomScaleNormal="100" workbookViewId="0">
      <pane xSplit="1" topLeftCell="B1" activePane="topRight" state="frozen"/>
      <selection activeCell="S41" sqref="S41"/>
      <selection pane="topRight" activeCell="R30" sqref="R30"/>
    </sheetView>
  </sheetViews>
  <sheetFormatPr defaultColWidth="9.140625" defaultRowHeight="11.25" x14ac:dyDescent="0.2"/>
  <cols>
    <col min="1" max="1" width="15.5703125" style="250" customWidth="1"/>
    <col min="2" max="3" width="9.28515625" style="250" bestFit="1" customWidth="1"/>
    <col min="4" max="7" width="10.140625" style="250" bestFit="1" customWidth="1"/>
    <col min="8" max="15" width="9.28515625" style="250" bestFit="1" customWidth="1"/>
    <col min="16" max="16" width="16.28515625" style="250" bestFit="1" customWidth="1"/>
    <col min="17" max="23" width="18.85546875" style="269" customWidth="1"/>
    <col min="24" max="16384" width="9.140625" style="250"/>
  </cols>
  <sheetData>
    <row r="1" spans="1:23" x14ac:dyDescent="0.2">
      <c r="A1" s="659" t="s">
        <v>1</v>
      </c>
      <c r="B1" s="660"/>
      <c r="C1" s="660"/>
      <c r="D1" s="660"/>
      <c r="E1" s="660"/>
      <c r="F1" s="660"/>
      <c r="G1" s="660"/>
      <c r="H1" s="660"/>
      <c r="I1" s="660"/>
      <c r="J1" s="660"/>
      <c r="K1" s="660"/>
      <c r="L1" s="660"/>
      <c r="M1" s="660"/>
      <c r="N1" s="660"/>
      <c r="O1" s="247"/>
      <c r="P1" s="248"/>
      <c r="Q1" s="249"/>
      <c r="R1" s="249"/>
      <c r="S1" s="249"/>
      <c r="T1" s="249"/>
      <c r="U1" s="249"/>
      <c r="V1" s="249"/>
      <c r="W1" s="249"/>
    </row>
    <row r="2" spans="1:23" x14ac:dyDescent="0.2">
      <c r="A2" s="659" t="s">
        <v>246</v>
      </c>
      <c r="B2" s="660"/>
      <c r="C2" s="660"/>
      <c r="D2" s="660"/>
      <c r="E2" s="660"/>
      <c r="F2" s="660"/>
      <c r="G2" s="660"/>
      <c r="H2" s="660"/>
      <c r="I2" s="660"/>
      <c r="J2" s="660"/>
      <c r="K2" s="660"/>
      <c r="L2" s="660"/>
      <c r="M2" s="660"/>
      <c r="N2" s="660"/>
      <c r="O2" s="247"/>
      <c r="P2" s="248"/>
      <c r="Q2" s="249"/>
      <c r="R2" s="249"/>
      <c r="S2" s="249"/>
      <c r="T2" s="249"/>
      <c r="U2" s="249"/>
      <c r="V2" s="249"/>
      <c r="W2" s="249"/>
    </row>
    <row r="3" spans="1:23" x14ac:dyDescent="0.2">
      <c r="A3" s="659" t="s">
        <v>247</v>
      </c>
      <c r="B3" s="660"/>
      <c r="C3" s="660"/>
      <c r="D3" s="660"/>
      <c r="E3" s="660"/>
      <c r="F3" s="660"/>
      <c r="G3" s="660"/>
      <c r="H3" s="660"/>
      <c r="I3" s="660"/>
      <c r="J3" s="660"/>
      <c r="K3" s="660"/>
      <c r="L3" s="660"/>
      <c r="M3" s="660"/>
      <c r="N3" s="660"/>
      <c r="O3" s="251"/>
      <c r="P3" s="248"/>
      <c r="Q3" s="249"/>
      <c r="R3" s="249"/>
      <c r="S3" s="249"/>
      <c r="T3" s="249"/>
      <c r="U3" s="249"/>
      <c r="V3" s="249"/>
      <c r="W3" s="249"/>
    </row>
    <row r="4" spans="1:23" x14ac:dyDescent="0.2">
      <c r="A4" s="659" t="str">
        <f>'Sch. 106 PGA Amort Rates'!A4</f>
        <v>Proposed Rates Effective November 1, 2024</v>
      </c>
      <c r="B4" s="660"/>
      <c r="C4" s="660"/>
      <c r="D4" s="660"/>
      <c r="E4" s="660"/>
      <c r="F4" s="660"/>
      <c r="G4" s="660"/>
      <c r="H4" s="660"/>
      <c r="I4" s="660"/>
      <c r="J4" s="660"/>
      <c r="K4" s="660"/>
      <c r="L4" s="660"/>
      <c r="M4" s="660"/>
      <c r="N4" s="660"/>
      <c r="O4" s="252"/>
      <c r="P4" s="252"/>
      <c r="Q4" s="253"/>
      <c r="R4" s="253"/>
      <c r="S4" s="253"/>
      <c r="T4" s="253"/>
      <c r="U4" s="253"/>
      <c r="V4" s="253"/>
      <c r="W4" s="253"/>
    </row>
    <row r="5" spans="1:23" x14ac:dyDescent="0.2">
      <c r="A5" s="254"/>
      <c r="B5" s="254"/>
      <c r="C5" s="254"/>
      <c r="D5" s="252"/>
      <c r="E5" s="252"/>
      <c r="F5" s="252"/>
      <c r="G5" s="252"/>
      <c r="H5" s="252"/>
      <c r="I5" s="252"/>
      <c r="J5" s="252"/>
      <c r="K5" s="252"/>
      <c r="L5" s="252"/>
      <c r="M5" s="254"/>
      <c r="N5" s="252"/>
      <c r="O5" s="252"/>
      <c r="P5" s="252"/>
      <c r="Q5" s="253"/>
      <c r="R5" s="253"/>
      <c r="S5" s="253"/>
      <c r="T5" s="253"/>
      <c r="U5" s="253"/>
      <c r="V5" s="253"/>
      <c r="W5" s="253"/>
    </row>
    <row r="6" spans="1:23" x14ac:dyDescent="0.2">
      <c r="A6" s="254" t="s">
        <v>184</v>
      </c>
      <c r="B6" s="254"/>
      <c r="C6" s="254"/>
      <c r="I6" s="254"/>
      <c r="J6" s="254"/>
      <c r="P6" s="255" t="str">
        <f>TEXT(D7,"MMM. YYYY")&amp;" - "&amp;TEXT(O7,"MMM. YYYY")</f>
        <v>Nov. 2024 - Oct. 2025</v>
      </c>
      <c r="Q6" s="255"/>
      <c r="R6" s="255"/>
      <c r="S6" s="255"/>
      <c r="T6" s="255"/>
      <c r="U6" s="255"/>
      <c r="V6" s="255"/>
      <c r="W6" s="255"/>
    </row>
    <row r="7" spans="1:23" x14ac:dyDescent="0.2">
      <c r="A7" s="256" t="s">
        <v>185</v>
      </c>
      <c r="B7" s="403">
        <f>EDATE(C7,-1)</f>
        <v>45536</v>
      </c>
      <c r="C7" s="403">
        <f>EDATE(D7,-1)</f>
        <v>45566</v>
      </c>
      <c r="D7" s="403">
        <v>45597</v>
      </c>
      <c r="E7" s="404">
        <f>EDATE(D7,1)</f>
        <v>45627</v>
      </c>
      <c r="F7" s="404">
        <f t="shared" ref="F7:O7" si="0">EDATE(E7,1)</f>
        <v>45658</v>
      </c>
      <c r="G7" s="404">
        <f t="shared" si="0"/>
        <v>45689</v>
      </c>
      <c r="H7" s="404">
        <f t="shared" si="0"/>
        <v>45717</v>
      </c>
      <c r="I7" s="404">
        <f t="shared" si="0"/>
        <v>45748</v>
      </c>
      <c r="J7" s="404">
        <f t="shared" si="0"/>
        <v>45778</v>
      </c>
      <c r="K7" s="404">
        <f t="shared" si="0"/>
        <v>45809</v>
      </c>
      <c r="L7" s="404">
        <f t="shared" si="0"/>
        <v>45839</v>
      </c>
      <c r="M7" s="404">
        <f t="shared" si="0"/>
        <v>45870</v>
      </c>
      <c r="N7" s="404">
        <f t="shared" si="0"/>
        <v>45901</v>
      </c>
      <c r="O7" s="404">
        <f t="shared" si="0"/>
        <v>45931</v>
      </c>
      <c r="P7" s="257" t="s">
        <v>10</v>
      </c>
      <c r="Q7" s="253"/>
      <c r="R7" s="253"/>
      <c r="S7" s="253"/>
      <c r="T7" s="253"/>
      <c r="U7" s="253"/>
      <c r="V7" s="253"/>
      <c r="W7" s="253"/>
    </row>
    <row r="8" spans="1:23" x14ac:dyDescent="0.2">
      <c r="A8" s="258">
        <v>23</v>
      </c>
      <c r="B8" s="579">
        <v>20168264</v>
      </c>
      <c r="C8" s="579">
        <v>42822302</v>
      </c>
      <c r="D8" s="579">
        <v>68561565</v>
      </c>
      <c r="E8" s="579">
        <v>88045090</v>
      </c>
      <c r="F8" s="579">
        <v>84091990</v>
      </c>
      <c r="G8" s="579">
        <v>72855060</v>
      </c>
      <c r="H8" s="579">
        <v>65707108</v>
      </c>
      <c r="I8" s="579">
        <v>45647376</v>
      </c>
      <c r="J8" s="579">
        <v>27871265</v>
      </c>
      <c r="K8" s="579">
        <v>19273637</v>
      </c>
      <c r="L8" s="579">
        <v>14492879</v>
      </c>
      <c r="M8" s="579">
        <v>14574848</v>
      </c>
      <c r="N8" s="579">
        <v>19979616</v>
      </c>
      <c r="O8" s="579">
        <v>42276981</v>
      </c>
      <c r="P8" s="259">
        <f>SUM(D8:O8)</f>
        <v>563377415</v>
      </c>
      <c r="Q8" s="259"/>
      <c r="R8" s="259"/>
      <c r="S8" s="259"/>
      <c r="T8" s="259"/>
      <c r="U8" s="259"/>
      <c r="V8" s="259"/>
      <c r="W8" s="259"/>
    </row>
    <row r="9" spans="1:23" x14ac:dyDescent="0.2">
      <c r="A9" s="258">
        <v>16</v>
      </c>
      <c r="B9" s="580">
        <v>513</v>
      </c>
      <c r="C9" s="580">
        <v>513</v>
      </c>
      <c r="D9" s="580">
        <v>513</v>
      </c>
      <c r="E9" s="580">
        <v>513</v>
      </c>
      <c r="F9" s="580">
        <v>513</v>
      </c>
      <c r="G9" s="580">
        <v>513</v>
      </c>
      <c r="H9" s="580">
        <v>513</v>
      </c>
      <c r="I9" s="580">
        <v>513</v>
      </c>
      <c r="J9" s="580">
        <v>513</v>
      </c>
      <c r="K9" s="580">
        <v>513</v>
      </c>
      <c r="L9" s="580">
        <v>513</v>
      </c>
      <c r="M9" s="580">
        <v>513</v>
      </c>
      <c r="N9" s="580">
        <v>513</v>
      </c>
      <c r="O9" s="580">
        <v>513</v>
      </c>
      <c r="P9" s="259">
        <f t="shared" ref="P9:P16" si="1">SUM(D9:O9)</f>
        <v>6156</v>
      </c>
      <c r="Q9" s="259"/>
      <c r="R9" s="259"/>
      <c r="S9" s="259"/>
      <c r="T9" s="259"/>
      <c r="U9" s="259"/>
      <c r="V9" s="259"/>
      <c r="W9" s="259"/>
    </row>
    <row r="10" spans="1:23" x14ac:dyDescent="0.2">
      <c r="A10" s="258">
        <v>31</v>
      </c>
      <c r="B10" s="580">
        <v>11480160</v>
      </c>
      <c r="C10" s="580">
        <v>19335828</v>
      </c>
      <c r="D10" s="580">
        <v>28059624</v>
      </c>
      <c r="E10" s="580">
        <v>34226937</v>
      </c>
      <c r="F10" s="580">
        <v>29692885</v>
      </c>
      <c r="G10" s="580">
        <v>26316395</v>
      </c>
      <c r="H10" s="580">
        <v>23569963</v>
      </c>
      <c r="I10" s="580">
        <v>16996414</v>
      </c>
      <c r="J10" s="580">
        <v>12050268</v>
      </c>
      <c r="K10" s="580">
        <v>9905036</v>
      </c>
      <c r="L10" s="580">
        <v>8713537</v>
      </c>
      <c r="M10" s="580">
        <v>9689232</v>
      </c>
      <c r="N10" s="580">
        <v>11580729</v>
      </c>
      <c r="O10" s="580">
        <v>19315268</v>
      </c>
      <c r="P10" s="259">
        <f t="shared" si="1"/>
        <v>230116288</v>
      </c>
      <c r="Q10" s="259"/>
      <c r="R10" s="259"/>
      <c r="S10" s="259"/>
      <c r="T10" s="259"/>
      <c r="U10" s="259"/>
      <c r="V10" s="259"/>
      <c r="W10" s="259"/>
    </row>
    <row r="11" spans="1:23" x14ac:dyDescent="0.2">
      <c r="A11" s="258">
        <v>41</v>
      </c>
      <c r="B11" s="580">
        <v>3725436</v>
      </c>
      <c r="C11" s="580">
        <v>5759243</v>
      </c>
      <c r="D11" s="580">
        <v>7645788</v>
      </c>
      <c r="E11" s="580">
        <v>8339839</v>
      </c>
      <c r="F11" s="580">
        <v>7128146</v>
      </c>
      <c r="G11" s="580">
        <v>6663689</v>
      </c>
      <c r="H11" s="580">
        <v>6195978</v>
      </c>
      <c r="I11" s="580">
        <v>4825720</v>
      </c>
      <c r="J11" s="580">
        <v>3787419</v>
      </c>
      <c r="K11" s="580">
        <v>3273804</v>
      </c>
      <c r="L11" s="580">
        <v>2790751</v>
      </c>
      <c r="M11" s="580">
        <v>3064107</v>
      </c>
      <c r="N11" s="580">
        <v>3691483</v>
      </c>
      <c r="O11" s="580">
        <v>5652301</v>
      </c>
      <c r="P11" s="259">
        <f t="shared" si="1"/>
        <v>63059025</v>
      </c>
      <c r="Q11" s="259"/>
      <c r="R11" s="259"/>
      <c r="S11" s="259"/>
      <c r="T11" s="259"/>
      <c r="U11" s="259"/>
      <c r="V11" s="259"/>
      <c r="W11" s="259"/>
    </row>
    <row r="12" spans="1:23" x14ac:dyDescent="0.2">
      <c r="A12" s="258">
        <v>85</v>
      </c>
      <c r="B12" s="580">
        <v>1050615</v>
      </c>
      <c r="C12" s="580">
        <v>1529560</v>
      </c>
      <c r="D12" s="580">
        <v>1521921</v>
      </c>
      <c r="E12" s="580">
        <v>1894548</v>
      </c>
      <c r="F12" s="580">
        <v>1910561</v>
      </c>
      <c r="G12" s="580">
        <v>1650567</v>
      </c>
      <c r="H12" s="580">
        <v>1719109</v>
      </c>
      <c r="I12" s="580">
        <v>1552464</v>
      </c>
      <c r="J12" s="580">
        <v>1422984</v>
      </c>
      <c r="K12" s="580">
        <v>1209166</v>
      </c>
      <c r="L12" s="580">
        <v>1112660</v>
      </c>
      <c r="M12" s="580">
        <v>1070071</v>
      </c>
      <c r="N12" s="580">
        <v>1005779</v>
      </c>
      <c r="O12" s="580">
        <v>1463922</v>
      </c>
      <c r="P12" s="259">
        <f t="shared" si="1"/>
        <v>17533752</v>
      </c>
      <c r="Q12" s="259"/>
      <c r="R12" s="259"/>
      <c r="S12" s="259"/>
      <c r="T12" s="259"/>
      <c r="U12" s="259"/>
      <c r="V12" s="259"/>
      <c r="W12" s="259"/>
    </row>
    <row r="13" spans="1:23" x14ac:dyDescent="0.2">
      <c r="A13" s="258">
        <v>86</v>
      </c>
      <c r="B13" s="580">
        <v>18421</v>
      </c>
      <c r="C13" s="580">
        <v>252428</v>
      </c>
      <c r="D13" s="580">
        <v>470457</v>
      </c>
      <c r="E13" s="580">
        <v>751774</v>
      </c>
      <c r="F13" s="580">
        <v>800487</v>
      </c>
      <c r="G13" s="580">
        <v>670382</v>
      </c>
      <c r="H13" s="580">
        <v>676505</v>
      </c>
      <c r="I13" s="580">
        <v>514139</v>
      </c>
      <c r="J13" s="580">
        <v>381780</v>
      </c>
      <c r="K13" s="580">
        <v>224267</v>
      </c>
      <c r="L13" s="580">
        <v>109878</v>
      </c>
      <c r="M13" s="580">
        <v>44384</v>
      </c>
      <c r="N13" s="580">
        <v>69259</v>
      </c>
      <c r="O13" s="580">
        <v>294326</v>
      </c>
      <c r="P13" s="259">
        <f t="shared" si="1"/>
        <v>5007638</v>
      </c>
      <c r="Q13" s="259"/>
      <c r="R13" s="259"/>
      <c r="S13" s="259"/>
      <c r="T13" s="259"/>
      <c r="U13" s="259"/>
      <c r="V13" s="259"/>
      <c r="W13" s="259"/>
    </row>
    <row r="14" spans="1:23" x14ac:dyDescent="0.2">
      <c r="A14" s="256">
        <v>87</v>
      </c>
      <c r="B14" s="580">
        <v>1087875</v>
      </c>
      <c r="C14" s="580">
        <v>1911160</v>
      </c>
      <c r="D14" s="580">
        <v>1765043</v>
      </c>
      <c r="E14" s="580">
        <v>2187646</v>
      </c>
      <c r="F14" s="580">
        <v>2060563</v>
      </c>
      <c r="G14" s="580">
        <v>1710298</v>
      </c>
      <c r="H14" s="580">
        <v>1713137</v>
      </c>
      <c r="I14" s="580">
        <v>1452440</v>
      </c>
      <c r="J14" s="580">
        <v>1346088</v>
      </c>
      <c r="K14" s="580">
        <v>1193038</v>
      </c>
      <c r="L14" s="580">
        <v>1170945</v>
      </c>
      <c r="M14" s="580">
        <v>1098169</v>
      </c>
      <c r="N14" s="580">
        <v>1005515</v>
      </c>
      <c r="O14" s="580">
        <v>1783820</v>
      </c>
      <c r="P14" s="259">
        <f t="shared" si="1"/>
        <v>18486702</v>
      </c>
      <c r="Q14" s="259"/>
      <c r="R14" s="259"/>
      <c r="S14" s="259"/>
      <c r="T14" s="259"/>
      <c r="U14" s="259"/>
      <c r="V14" s="259"/>
      <c r="W14" s="259"/>
    </row>
    <row r="15" spans="1:23" ht="12" thickBot="1" x14ac:dyDescent="0.25">
      <c r="A15" s="261" t="s">
        <v>10</v>
      </c>
      <c r="B15" s="405">
        <f t="shared" ref="B15:O15" si="2">SUM(B8:B14)</f>
        <v>37531284</v>
      </c>
      <c r="C15" s="405">
        <f t="shared" si="2"/>
        <v>71611034</v>
      </c>
      <c r="D15" s="405">
        <f t="shared" si="2"/>
        <v>108024911</v>
      </c>
      <c r="E15" s="405">
        <f t="shared" si="2"/>
        <v>135446347</v>
      </c>
      <c r="F15" s="405">
        <f t="shared" si="2"/>
        <v>125685145</v>
      </c>
      <c r="G15" s="405">
        <f t="shared" si="2"/>
        <v>109866904</v>
      </c>
      <c r="H15" s="405">
        <f t="shared" si="2"/>
        <v>99582313</v>
      </c>
      <c r="I15" s="405">
        <f t="shared" si="2"/>
        <v>70989066</v>
      </c>
      <c r="J15" s="405">
        <f t="shared" si="2"/>
        <v>46860317</v>
      </c>
      <c r="K15" s="405">
        <f t="shared" si="2"/>
        <v>35079461</v>
      </c>
      <c r="L15" s="405">
        <f t="shared" si="2"/>
        <v>28391163</v>
      </c>
      <c r="M15" s="405">
        <f t="shared" si="2"/>
        <v>29541324</v>
      </c>
      <c r="N15" s="405">
        <f t="shared" si="2"/>
        <v>37332894</v>
      </c>
      <c r="O15" s="405">
        <f t="shared" si="2"/>
        <v>70787131</v>
      </c>
      <c r="P15" s="406">
        <f>SUM(P8:P14)</f>
        <v>897586976</v>
      </c>
      <c r="Q15" s="262"/>
      <c r="R15" s="262"/>
      <c r="S15" s="262"/>
      <c r="T15" s="262"/>
      <c r="U15" s="262"/>
      <c r="V15" s="262"/>
      <c r="W15" s="262"/>
    </row>
    <row r="16" spans="1:23" ht="12" thickTop="1" x14ac:dyDescent="0.2">
      <c r="A16" s="263" t="s">
        <v>186</v>
      </c>
      <c r="B16" s="580">
        <v>17725040</v>
      </c>
      <c r="C16" s="580">
        <v>15515256</v>
      </c>
      <c r="D16" s="580">
        <v>15790970</v>
      </c>
      <c r="E16" s="580">
        <v>15834352</v>
      </c>
      <c r="F16" s="580">
        <v>14343644</v>
      </c>
      <c r="G16" s="580">
        <v>16972478</v>
      </c>
      <c r="H16" s="580">
        <v>14661441</v>
      </c>
      <c r="I16" s="580">
        <v>15942609</v>
      </c>
      <c r="J16" s="580">
        <v>15258759</v>
      </c>
      <c r="K16" s="580">
        <v>15594339</v>
      </c>
      <c r="L16" s="580">
        <v>15288476</v>
      </c>
      <c r="M16" s="580">
        <v>14934270</v>
      </c>
      <c r="N16" s="580">
        <v>15769742</v>
      </c>
      <c r="O16" s="580">
        <v>14846942</v>
      </c>
      <c r="P16" s="259">
        <f t="shared" si="1"/>
        <v>185238022</v>
      </c>
      <c r="Q16" s="259"/>
      <c r="R16" s="259"/>
      <c r="S16" s="259"/>
      <c r="T16" s="259"/>
      <c r="U16" s="259"/>
      <c r="V16" s="259"/>
      <c r="W16" s="259"/>
    </row>
    <row r="17" spans="1:23" x14ac:dyDescent="0.2">
      <c r="A17" s="12" t="s">
        <v>187</v>
      </c>
      <c r="B17" s="264">
        <v>0</v>
      </c>
      <c r="C17" s="264">
        <v>0</v>
      </c>
      <c r="D17" s="264">
        <v>0</v>
      </c>
      <c r="E17" s="264">
        <v>0</v>
      </c>
      <c r="F17" s="264">
        <v>0</v>
      </c>
      <c r="G17" s="264">
        <v>0</v>
      </c>
      <c r="H17" s="264">
        <v>0</v>
      </c>
      <c r="I17" s="264">
        <v>0</v>
      </c>
      <c r="J17" s="264">
        <v>0</v>
      </c>
      <c r="K17" s="264">
        <v>0</v>
      </c>
      <c r="L17" s="264">
        <v>0</v>
      </c>
      <c r="M17" s="264">
        <v>0</v>
      </c>
      <c r="N17" s="264">
        <v>0</v>
      </c>
      <c r="O17" s="264">
        <v>0</v>
      </c>
      <c r="P17" s="264">
        <v>0</v>
      </c>
      <c r="Q17" s="264"/>
      <c r="R17" s="264"/>
      <c r="S17" s="264"/>
      <c r="T17" s="264"/>
      <c r="U17" s="264"/>
      <c r="V17" s="264"/>
      <c r="W17" s="264"/>
    </row>
    <row r="18" spans="1:23" x14ac:dyDescent="0.2">
      <c r="A18" s="265"/>
      <c r="B18" s="265"/>
      <c r="C18" s="265"/>
      <c r="D18" s="266"/>
      <c r="E18" s="266"/>
      <c r="F18" s="266"/>
      <c r="G18" s="266"/>
      <c r="H18" s="266"/>
      <c r="I18" s="266"/>
      <c r="J18" s="266"/>
      <c r="K18" s="266"/>
      <c r="L18" s="266"/>
      <c r="M18" s="266"/>
      <c r="N18" s="266"/>
      <c r="O18" s="266"/>
      <c r="P18" s="267"/>
      <c r="Q18" s="267"/>
      <c r="R18" s="267"/>
      <c r="S18" s="267"/>
      <c r="T18" s="267"/>
      <c r="U18" s="267"/>
      <c r="V18" s="267"/>
      <c r="W18" s="267"/>
    </row>
    <row r="19" spans="1:23" x14ac:dyDescent="0.2">
      <c r="A19" s="268"/>
      <c r="B19" s="268"/>
      <c r="C19" s="268"/>
    </row>
    <row r="20" spans="1:23" x14ac:dyDescent="0.2">
      <c r="A20" s="254" t="s">
        <v>188</v>
      </c>
      <c r="B20" s="254"/>
      <c r="C20" s="254"/>
      <c r="I20" s="254"/>
      <c r="J20" s="254"/>
      <c r="P20" s="270" t="str">
        <f>TEXT(D21,"MMM. YYYY")&amp;" - "&amp;TEXT(O21,"MMM. YYYY")</f>
        <v>Nov. 2024 - Oct. 2025</v>
      </c>
      <c r="Q20" s="270"/>
      <c r="R20" s="270"/>
      <c r="S20" s="270"/>
      <c r="T20" s="270"/>
      <c r="U20" s="270"/>
      <c r="V20" s="270"/>
      <c r="W20" s="270"/>
    </row>
    <row r="21" spans="1:23" x14ac:dyDescent="0.2">
      <c r="A21" s="256" t="s">
        <v>185</v>
      </c>
      <c r="B21" s="404">
        <f t="shared" ref="B21:C21" si="3">B7</f>
        <v>45536</v>
      </c>
      <c r="C21" s="404">
        <f t="shared" si="3"/>
        <v>45566</v>
      </c>
      <c r="D21" s="404">
        <f>D7</f>
        <v>45597</v>
      </c>
      <c r="E21" s="404">
        <f>EDATE(D21,1)</f>
        <v>45627</v>
      </c>
      <c r="F21" s="404">
        <f t="shared" ref="F21:O21" si="4">EDATE(E21,1)</f>
        <v>45658</v>
      </c>
      <c r="G21" s="404">
        <f t="shared" si="4"/>
        <v>45689</v>
      </c>
      <c r="H21" s="404">
        <f t="shared" si="4"/>
        <v>45717</v>
      </c>
      <c r="I21" s="404">
        <f t="shared" si="4"/>
        <v>45748</v>
      </c>
      <c r="J21" s="404">
        <f t="shared" si="4"/>
        <v>45778</v>
      </c>
      <c r="K21" s="404">
        <f t="shared" si="4"/>
        <v>45809</v>
      </c>
      <c r="L21" s="404">
        <f t="shared" si="4"/>
        <v>45839</v>
      </c>
      <c r="M21" s="404">
        <f t="shared" si="4"/>
        <v>45870</v>
      </c>
      <c r="N21" s="404">
        <f t="shared" si="4"/>
        <v>45901</v>
      </c>
      <c r="O21" s="404">
        <f t="shared" si="4"/>
        <v>45931</v>
      </c>
      <c r="P21" s="257" t="s">
        <v>10</v>
      </c>
      <c r="Q21" s="253"/>
      <c r="R21" s="253"/>
      <c r="S21" s="253"/>
      <c r="T21" s="253"/>
      <c r="U21" s="253"/>
      <c r="V21" s="253"/>
      <c r="W21" s="253"/>
    </row>
    <row r="22" spans="1:23" x14ac:dyDescent="0.2">
      <c r="A22" s="258">
        <v>23</v>
      </c>
      <c r="B22" s="579">
        <v>0</v>
      </c>
      <c r="C22" s="579">
        <v>0</v>
      </c>
      <c r="D22" s="579">
        <v>0</v>
      </c>
      <c r="E22" s="579">
        <v>0</v>
      </c>
      <c r="F22" s="579">
        <v>0</v>
      </c>
      <c r="G22" s="579">
        <v>0</v>
      </c>
      <c r="H22" s="579">
        <v>0</v>
      </c>
      <c r="I22" s="579">
        <v>0</v>
      </c>
      <c r="J22" s="579">
        <v>0</v>
      </c>
      <c r="K22" s="579">
        <v>0</v>
      </c>
      <c r="L22" s="579">
        <v>0</v>
      </c>
      <c r="M22" s="579">
        <v>0</v>
      </c>
      <c r="N22" s="579">
        <v>0</v>
      </c>
      <c r="O22" s="579">
        <v>0</v>
      </c>
      <c r="P22" s="259">
        <f>SUM(D22:O22)</f>
        <v>0</v>
      </c>
      <c r="Q22" s="259"/>
      <c r="R22" s="259"/>
      <c r="S22" s="259"/>
      <c r="T22" s="259"/>
      <c r="U22" s="259"/>
      <c r="V22" s="259"/>
      <c r="W22" s="259"/>
    </row>
    <row r="23" spans="1:23" x14ac:dyDescent="0.2">
      <c r="A23" s="258">
        <v>16</v>
      </c>
      <c r="B23" s="580">
        <v>0</v>
      </c>
      <c r="C23" s="580">
        <v>0</v>
      </c>
      <c r="D23" s="580">
        <v>0</v>
      </c>
      <c r="E23" s="580">
        <v>0</v>
      </c>
      <c r="F23" s="580">
        <v>0</v>
      </c>
      <c r="G23" s="580">
        <v>0</v>
      </c>
      <c r="H23" s="580">
        <v>0</v>
      </c>
      <c r="I23" s="580">
        <v>0</v>
      </c>
      <c r="J23" s="580">
        <v>0</v>
      </c>
      <c r="K23" s="580">
        <v>0</v>
      </c>
      <c r="L23" s="580">
        <v>0</v>
      </c>
      <c r="M23" s="580">
        <v>0</v>
      </c>
      <c r="N23" s="580">
        <v>0</v>
      </c>
      <c r="O23" s="580">
        <v>0</v>
      </c>
      <c r="P23" s="259">
        <f t="shared" ref="P23:P28" si="5">SUM(D23:O23)</f>
        <v>0</v>
      </c>
      <c r="Q23" s="259"/>
      <c r="R23" s="259"/>
      <c r="S23" s="259"/>
      <c r="T23" s="259"/>
      <c r="U23" s="259"/>
      <c r="V23" s="259"/>
      <c r="W23" s="259"/>
    </row>
    <row r="24" spans="1:23" x14ac:dyDescent="0.2">
      <c r="A24" s="258">
        <v>31</v>
      </c>
      <c r="B24" s="580">
        <v>0</v>
      </c>
      <c r="C24" s="580">
        <v>0</v>
      </c>
      <c r="D24" s="580">
        <v>0</v>
      </c>
      <c r="E24" s="580">
        <v>0</v>
      </c>
      <c r="F24" s="580">
        <v>0</v>
      </c>
      <c r="G24" s="580">
        <v>0</v>
      </c>
      <c r="H24" s="580">
        <v>0</v>
      </c>
      <c r="I24" s="580">
        <v>0</v>
      </c>
      <c r="J24" s="580">
        <v>0</v>
      </c>
      <c r="K24" s="580">
        <v>0</v>
      </c>
      <c r="L24" s="580">
        <v>0</v>
      </c>
      <c r="M24" s="580">
        <v>0</v>
      </c>
      <c r="N24" s="580">
        <v>0</v>
      </c>
      <c r="O24" s="580">
        <v>0</v>
      </c>
      <c r="P24" s="259">
        <f t="shared" si="5"/>
        <v>0</v>
      </c>
      <c r="Q24" s="259"/>
      <c r="R24" s="259"/>
      <c r="S24" s="259"/>
      <c r="T24" s="259"/>
      <c r="U24" s="259"/>
      <c r="V24" s="259"/>
      <c r="W24" s="259"/>
    </row>
    <row r="25" spans="1:23" x14ac:dyDescent="0.2">
      <c r="A25" s="258">
        <v>41</v>
      </c>
      <c r="B25" s="580">
        <v>434244</v>
      </c>
      <c r="C25" s="580">
        <v>434244</v>
      </c>
      <c r="D25" s="580">
        <v>434244</v>
      </c>
      <c r="E25" s="580">
        <v>434244</v>
      </c>
      <c r="F25" s="580">
        <v>434244</v>
      </c>
      <c r="G25" s="580">
        <v>434244</v>
      </c>
      <c r="H25" s="580">
        <v>434244</v>
      </c>
      <c r="I25" s="580">
        <v>434244</v>
      </c>
      <c r="J25" s="580">
        <v>434244</v>
      </c>
      <c r="K25" s="580">
        <v>434244</v>
      </c>
      <c r="L25" s="580">
        <v>434244</v>
      </c>
      <c r="M25" s="580">
        <v>434244</v>
      </c>
      <c r="N25" s="580">
        <v>434244</v>
      </c>
      <c r="O25" s="580">
        <v>434244</v>
      </c>
      <c r="P25" s="259">
        <f t="shared" si="5"/>
        <v>5210928</v>
      </c>
      <c r="Q25" s="259"/>
      <c r="R25" s="259"/>
      <c r="S25" s="259"/>
      <c r="T25" s="259"/>
      <c r="U25" s="259"/>
      <c r="V25" s="259"/>
      <c r="W25" s="259"/>
    </row>
    <row r="26" spans="1:23" x14ac:dyDescent="0.2">
      <c r="A26" s="258">
        <v>85</v>
      </c>
      <c r="B26" s="580">
        <v>11785</v>
      </c>
      <c r="C26" s="580">
        <v>11785</v>
      </c>
      <c r="D26" s="580">
        <v>11785</v>
      </c>
      <c r="E26" s="580">
        <v>11785</v>
      </c>
      <c r="F26" s="580">
        <v>11785</v>
      </c>
      <c r="G26" s="580">
        <v>11785</v>
      </c>
      <c r="H26" s="580">
        <v>11785</v>
      </c>
      <c r="I26" s="580">
        <v>11785</v>
      </c>
      <c r="J26" s="580">
        <v>11785</v>
      </c>
      <c r="K26" s="580">
        <v>11785</v>
      </c>
      <c r="L26" s="580">
        <v>11785</v>
      </c>
      <c r="M26" s="580">
        <v>11785</v>
      </c>
      <c r="N26" s="580">
        <v>11785</v>
      </c>
      <c r="O26" s="580">
        <v>11785</v>
      </c>
      <c r="P26" s="259">
        <f t="shared" si="5"/>
        <v>141420</v>
      </c>
      <c r="Q26" s="259"/>
      <c r="R26" s="259"/>
      <c r="S26" s="259"/>
      <c r="T26" s="259"/>
      <c r="U26" s="259"/>
      <c r="V26" s="259"/>
      <c r="W26" s="259"/>
    </row>
    <row r="27" spans="1:23" x14ac:dyDescent="0.2">
      <c r="A27" s="258">
        <v>86</v>
      </c>
      <c r="B27" s="580">
        <v>2657</v>
      </c>
      <c r="C27" s="580">
        <v>2657</v>
      </c>
      <c r="D27" s="580">
        <v>2657</v>
      </c>
      <c r="E27" s="580">
        <v>2657</v>
      </c>
      <c r="F27" s="580">
        <v>2657</v>
      </c>
      <c r="G27" s="580">
        <v>2657</v>
      </c>
      <c r="H27" s="580">
        <v>2657</v>
      </c>
      <c r="I27" s="580">
        <v>2657</v>
      </c>
      <c r="J27" s="580">
        <v>2657</v>
      </c>
      <c r="K27" s="580">
        <v>2657</v>
      </c>
      <c r="L27" s="580">
        <v>2657</v>
      </c>
      <c r="M27" s="580">
        <v>2657</v>
      </c>
      <c r="N27" s="580">
        <v>2657</v>
      </c>
      <c r="O27" s="580">
        <v>2657</v>
      </c>
      <c r="P27" s="259">
        <f t="shared" si="5"/>
        <v>31884</v>
      </c>
      <c r="Q27" s="259"/>
      <c r="R27" s="259"/>
      <c r="S27" s="259"/>
      <c r="T27" s="259"/>
      <c r="U27" s="259"/>
      <c r="V27" s="259"/>
      <c r="W27" s="259"/>
    </row>
    <row r="28" spans="1:23" x14ac:dyDescent="0.2">
      <c r="A28" s="256">
        <v>87</v>
      </c>
      <c r="B28" s="580">
        <v>0</v>
      </c>
      <c r="C28" s="580">
        <v>0</v>
      </c>
      <c r="D28" s="580">
        <v>0</v>
      </c>
      <c r="E28" s="580">
        <v>0</v>
      </c>
      <c r="F28" s="580">
        <v>0</v>
      </c>
      <c r="G28" s="580">
        <v>0</v>
      </c>
      <c r="H28" s="580">
        <v>0</v>
      </c>
      <c r="I28" s="580">
        <v>0</v>
      </c>
      <c r="J28" s="580">
        <v>0</v>
      </c>
      <c r="K28" s="580">
        <v>0</v>
      </c>
      <c r="L28" s="580">
        <v>0</v>
      </c>
      <c r="M28" s="580">
        <v>0</v>
      </c>
      <c r="N28" s="580">
        <v>0</v>
      </c>
      <c r="O28" s="580">
        <v>0</v>
      </c>
      <c r="P28" s="259">
        <f t="shared" si="5"/>
        <v>0</v>
      </c>
      <c r="Q28" s="259"/>
      <c r="R28" s="259"/>
      <c r="S28" s="259"/>
      <c r="T28" s="259"/>
      <c r="U28" s="259"/>
      <c r="V28" s="259"/>
      <c r="W28" s="259"/>
    </row>
    <row r="29" spans="1:23" ht="12" thickBot="1" x14ac:dyDescent="0.25">
      <c r="A29" s="261" t="s">
        <v>10</v>
      </c>
      <c r="B29" s="405">
        <f t="shared" ref="B29:C29" si="6">SUM(B22:B28)</f>
        <v>448686</v>
      </c>
      <c r="C29" s="405">
        <f t="shared" si="6"/>
        <v>448686</v>
      </c>
      <c r="D29" s="405">
        <f>SUM(D22:D28)</f>
        <v>448686</v>
      </c>
      <c r="E29" s="405">
        <f t="shared" ref="E29:O29" si="7">SUM(E22:E28)</f>
        <v>448686</v>
      </c>
      <c r="F29" s="405">
        <f t="shared" si="7"/>
        <v>448686</v>
      </c>
      <c r="G29" s="405">
        <f t="shared" si="7"/>
        <v>448686</v>
      </c>
      <c r="H29" s="405">
        <f t="shared" si="7"/>
        <v>448686</v>
      </c>
      <c r="I29" s="405">
        <f t="shared" si="7"/>
        <v>448686</v>
      </c>
      <c r="J29" s="405">
        <f t="shared" si="7"/>
        <v>448686</v>
      </c>
      <c r="K29" s="405">
        <f t="shared" si="7"/>
        <v>448686</v>
      </c>
      <c r="L29" s="405">
        <f t="shared" si="7"/>
        <v>448686</v>
      </c>
      <c r="M29" s="405">
        <f t="shared" si="7"/>
        <v>448686</v>
      </c>
      <c r="N29" s="405">
        <f t="shared" si="7"/>
        <v>448686</v>
      </c>
      <c r="O29" s="405">
        <f t="shared" si="7"/>
        <v>448686</v>
      </c>
      <c r="P29" s="406">
        <f>SUM(P22:P28)</f>
        <v>5384232</v>
      </c>
      <c r="Q29" s="262"/>
      <c r="R29" s="262"/>
      <c r="S29" s="262"/>
      <c r="T29" s="262"/>
      <c r="U29" s="262"/>
      <c r="V29" s="262"/>
      <c r="W29" s="262"/>
    </row>
    <row r="30" spans="1:23" ht="12" thickTop="1" x14ac:dyDescent="0.2">
      <c r="A30" s="263" t="s">
        <v>186</v>
      </c>
      <c r="B30" s="271">
        <v>172403</v>
      </c>
      <c r="C30" s="271">
        <v>172403</v>
      </c>
      <c r="D30" s="271">
        <v>172403</v>
      </c>
      <c r="E30" s="271">
        <v>172403</v>
      </c>
      <c r="F30" s="271">
        <v>172403</v>
      </c>
      <c r="G30" s="271">
        <v>172403</v>
      </c>
      <c r="H30" s="271">
        <v>172403</v>
      </c>
      <c r="I30" s="271">
        <v>172403</v>
      </c>
      <c r="J30" s="271">
        <v>172403</v>
      </c>
      <c r="K30" s="271">
        <v>172403</v>
      </c>
      <c r="L30" s="271">
        <v>172403</v>
      </c>
      <c r="M30" s="271">
        <v>172403</v>
      </c>
      <c r="N30" s="271">
        <v>172403</v>
      </c>
      <c r="O30" s="271">
        <v>172403</v>
      </c>
      <c r="P30" s="259">
        <f>SUM(D30:O30)</f>
        <v>2068836</v>
      </c>
      <c r="Q30" s="259"/>
      <c r="R30" s="259"/>
      <c r="S30" s="259"/>
      <c r="T30" s="259"/>
      <c r="U30" s="259"/>
      <c r="V30" s="259"/>
      <c r="W30" s="259"/>
    </row>
    <row r="31" spans="1:23" x14ac:dyDescent="0.2">
      <c r="A31" s="12" t="s">
        <v>187</v>
      </c>
      <c r="B31" s="264">
        <v>0</v>
      </c>
      <c r="C31" s="264">
        <v>0</v>
      </c>
      <c r="D31" s="264">
        <v>0</v>
      </c>
      <c r="E31" s="264">
        <v>0</v>
      </c>
      <c r="F31" s="264">
        <v>0</v>
      </c>
      <c r="G31" s="264">
        <v>0</v>
      </c>
      <c r="H31" s="264">
        <v>0</v>
      </c>
      <c r="I31" s="264">
        <v>0</v>
      </c>
      <c r="J31" s="264">
        <v>0</v>
      </c>
      <c r="K31" s="264">
        <v>0</v>
      </c>
      <c r="L31" s="264">
        <v>0</v>
      </c>
      <c r="M31" s="264">
        <v>0</v>
      </c>
      <c r="N31" s="264">
        <v>0</v>
      </c>
      <c r="O31" s="264">
        <v>0</v>
      </c>
      <c r="P31" s="264">
        <v>0</v>
      </c>
      <c r="Q31" s="264"/>
      <c r="R31" s="264"/>
      <c r="S31" s="264"/>
      <c r="T31" s="264"/>
      <c r="U31" s="264"/>
      <c r="V31" s="264"/>
      <c r="W31" s="264"/>
    </row>
    <row r="32" spans="1:23" x14ac:dyDescent="0.2">
      <c r="A32" s="265"/>
      <c r="B32" s="265"/>
      <c r="C32" s="265"/>
      <c r="D32" s="264"/>
      <c r="E32" s="264"/>
      <c r="F32" s="264"/>
      <c r="G32" s="264"/>
      <c r="H32" s="264"/>
      <c r="I32" s="264"/>
      <c r="J32" s="264"/>
      <c r="K32" s="264"/>
      <c r="L32" s="264"/>
      <c r="M32" s="264"/>
      <c r="N32" s="264"/>
      <c r="O32" s="264"/>
      <c r="P32" s="264"/>
      <c r="Q32" s="264"/>
      <c r="R32" s="264"/>
      <c r="S32" s="264"/>
      <c r="T32" s="264"/>
      <c r="U32" s="264"/>
      <c r="V32" s="264"/>
      <c r="W32" s="264"/>
    </row>
    <row r="33" spans="1:23" x14ac:dyDescent="0.2">
      <c r="A33" s="12"/>
      <c r="B33" s="13"/>
      <c r="C33" s="13"/>
      <c r="D33" s="13"/>
      <c r="E33" s="13"/>
      <c r="F33" s="13"/>
      <c r="G33" s="13"/>
      <c r="H33" s="13"/>
      <c r="I33" s="13"/>
      <c r="J33" s="13"/>
      <c r="K33" s="13"/>
      <c r="L33" s="13"/>
      <c r="M33" s="13"/>
      <c r="N33" s="13"/>
    </row>
    <row r="34" spans="1:23" x14ac:dyDescent="0.2">
      <c r="A34" s="560" t="s">
        <v>262</v>
      </c>
      <c r="B34" s="407"/>
      <c r="C34" s="11"/>
      <c r="D34" s="14"/>
      <c r="E34" s="11"/>
      <c r="F34" s="13"/>
      <c r="G34" s="13"/>
      <c r="H34" s="13"/>
      <c r="I34" s="13"/>
      <c r="J34" s="13"/>
      <c r="K34" s="13"/>
      <c r="L34" s="13"/>
      <c r="M34" s="13"/>
      <c r="N34" s="13"/>
    </row>
    <row r="36" spans="1:23" x14ac:dyDescent="0.2">
      <c r="A36" s="272"/>
      <c r="B36" s="272"/>
      <c r="C36" s="272"/>
      <c r="D36" s="260"/>
      <c r="E36" s="260"/>
      <c r="F36" s="260"/>
      <c r="G36" s="260"/>
      <c r="H36" s="260"/>
      <c r="I36" s="260"/>
      <c r="J36" s="260"/>
      <c r="K36" s="260"/>
      <c r="L36" s="260"/>
      <c r="M36" s="260"/>
      <c r="N36" s="260"/>
      <c r="O36" s="260"/>
      <c r="P36" s="260"/>
      <c r="Q36" s="271"/>
      <c r="R36" s="271"/>
      <c r="S36" s="271"/>
      <c r="T36" s="271"/>
      <c r="U36" s="271"/>
      <c r="V36" s="271"/>
      <c r="W36" s="271"/>
    </row>
    <row r="37" spans="1:23" x14ac:dyDescent="0.2">
      <c r="A37" s="272"/>
      <c r="B37" s="272"/>
      <c r="C37" s="272"/>
      <c r="D37" s="260"/>
      <c r="E37" s="260"/>
      <c r="F37" s="260"/>
      <c r="G37" s="260"/>
      <c r="H37" s="260"/>
      <c r="I37" s="260"/>
      <c r="J37" s="260"/>
      <c r="K37" s="260"/>
      <c r="L37" s="260"/>
      <c r="M37" s="260"/>
      <c r="N37" s="260"/>
      <c r="O37" s="260"/>
      <c r="P37" s="260"/>
      <c r="Q37" s="271"/>
      <c r="R37" s="271"/>
      <c r="S37" s="271"/>
      <c r="T37" s="271"/>
      <c r="U37" s="271"/>
      <c r="V37" s="271"/>
      <c r="W37" s="271"/>
    </row>
    <row r="38" spans="1:23" x14ac:dyDescent="0.2">
      <c r="D38" s="260"/>
      <c r="E38" s="260"/>
      <c r="F38" s="260"/>
      <c r="G38" s="260"/>
      <c r="H38" s="260"/>
      <c r="I38" s="260"/>
      <c r="J38" s="260"/>
      <c r="K38" s="260"/>
      <c r="L38" s="260"/>
      <c r="M38" s="260"/>
      <c r="N38" s="260"/>
      <c r="O38" s="260"/>
      <c r="P38" s="260"/>
      <c r="Q38" s="271"/>
      <c r="R38" s="271"/>
      <c r="S38" s="271"/>
      <c r="T38" s="271"/>
      <c r="U38" s="271"/>
      <c r="V38" s="271"/>
      <c r="W38" s="271"/>
    </row>
    <row r="39" spans="1:23" x14ac:dyDescent="0.2">
      <c r="A39" s="272"/>
      <c r="B39" s="272"/>
      <c r="C39" s="272"/>
      <c r="D39" s="260"/>
      <c r="E39" s="260"/>
      <c r="F39" s="260"/>
      <c r="G39" s="260"/>
      <c r="H39" s="260"/>
      <c r="I39" s="260"/>
      <c r="J39" s="260"/>
      <c r="K39" s="260"/>
      <c r="L39" s="260"/>
      <c r="M39" s="260"/>
      <c r="N39" s="260"/>
      <c r="O39" s="260"/>
      <c r="P39" s="260"/>
      <c r="Q39" s="271"/>
      <c r="R39" s="271"/>
      <c r="S39" s="271"/>
      <c r="T39" s="271"/>
      <c r="U39" s="271"/>
      <c r="V39" s="271"/>
      <c r="W39" s="271"/>
    </row>
    <row r="40" spans="1:23" x14ac:dyDescent="0.2">
      <c r="A40" s="272"/>
      <c r="B40" s="272"/>
      <c r="C40" s="272"/>
      <c r="D40" s="260"/>
      <c r="E40" s="260"/>
      <c r="F40" s="260"/>
      <c r="G40" s="260"/>
      <c r="H40" s="260"/>
      <c r="I40" s="260"/>
      <c r="J40" s="260"/>
      <c r="K40" s="260"/>
      <c r="L40" s="260"/>
      <c r="M40" s="260"/>
      <c r="N40" s="260"/>
      <c r="O40" s="260"/>
      <c r="P40" s="260"/>
      <c r="Q40" s="271"/>
      <c r="R40" s="271"/>
      <c r="S40" s="271"/>
      <c r="T40" s="271"/>
      <c r="U40" s="271"/>
      <c r="V40" s="271"/>
      <c r="W40" s="271"/>
    </row>
    <row r="41" spans="1:23" x14ac:dyDescent="0.2">
      <c r="A41" s="272"/>
      <c r="B41" s="272"/>
      <c r="C41" s="272"/>
      <c r="D41" s="260"/>
      <c r="E41" s="260"/>
      <c r="F41" s="260"/>
      <c r="G41" s="260"/>
      <c r="H41" s="260"/>
      <c r="I41" s="260"/>
      <c r="J41" s="260"/>
      <c r="K41" s="260"/>
      <c r="L41" s="260"/>
      <c r="M41" s="260"/>
      <c r="N41" s="260"/>
      <c r="O41" s="260"/>
      <c r="P41" s="260"/>
      <c r="Q41" s="271"/>
      <c r="R41" s="271"/>
      <c r="S41" s="271"/>
      <c r="T41" s="271"/>
      <c r="U41" s="271"/>
      <c r="V41" s="271"/>
      <c r="W41" s="271"/>
    </row>
    <row r="42" spans="1:23" x14ac:dyDescent="0.2">
      <c r="A42" s="272"/>
      <c r="B42" s="272"/>
      <c r="C42" s="272"/>
      <c r="D42" s="260"/>
      <c r="E42" s="260"/>
      <c r="F42" s="260"/>
      <c r="G42" s="260"/>
      <c r="H42" s="260"/>
      <c r="I42" s="260"/>
      <c r="J42" s="260"/>
      <c r="K42" s="260"/>
      <c r="L42" s="260"/>
      <c r="M42" s="260"/>
      <c r="N42" s="260"/>
      <c r="O42" s="260"/>
      <c r="P42" s="260"/>
      <c r="Q42" s="271"/>
      <c r="R42" s="271"/>
      <c r="S42" s="271"/>
      <c r="T42" s="271"/>
      <c r="U42" s="271"/>
      <c r="V42" s="271"/>
      <c r="W42" s="271"/>
    </row>
    <row r="43" spans="1:23" x14ac:dyDescent="0.2">
      <c r="A43" s="272"/>
      <c r="B43" s="272"/>
      <c r="C43" s="272"/>
      <c r="D43" s="260"/>
      <c r="E43" s="260"/>
      <c r="F43" s="260"/>
      <c r="G43" s="260"/>
      <c r="H43" s="260"/>
      <c r="I43" s="260"/>
      <c r="J43" s="260"/>
      <c r="K43" s="260"/>
      <c r="L43" s="260"/>
      <c r="M43" s="260"/>
      <c r="N43" s="260"/>
      <c r="O43" s="260"/>
      <c r="P43" s="260"/>
      <c r="Q43" s="271"/>
      <c r="R43" s="271"/>
      <c r="S43" s="271"/>
      <c r="T43" s="271"/>
      <c r="U43" s="271"/>
      <c r="V43" s="271"/>
      <c r="W43" s="271"/>
    </row>
    <row r="44" spans="1:23" x14ac:dyDescent="0.2">
      <c r="A44" s="272"/>
      <c r="B44" s="272"/>
      <c r="C44" s="272"/>
      <c r="D44" s="260"/>
      <c r="E44" s="260"/>
      <c r="F44" s="260"/>
      <c r="G44" s="260"/>
      <c r="H44" s="260"/>
      <c r="I44" s="260"/>
      <c r="J44" s="260"/>
      <c r="K44" s="260"/>
      <c r="L44" s="260"/>
      <c r="M44" s="260"/>
      <c r="N44" s="260"/>
      <c r="O44" s="260"/>
      <c r="P44" s="260"/>
      <c r="Q44" s="271"/>
      <c r="R44" s="271"/>
      <c r="S44" s="271"/>
      <c r="T44" s="271"/>
      <c r="U44" s="271"/>
      <c r="V44" s="271"/>
      <c r="W44" s="271"/>
    </row>
    <row r="45" spans="1:23" x14ac:dyDescent="0.2">
      <c r="A45" s="272"/>
      <c r="B45" s="272"/>
      <c r="C45" s="272"/>
      <c r="D45" s="260"/>
      <c r="E45" s="260"/>
      <c r="F45" s="260"/>
      <c r="G45" s="260"/>
      <c r="H45" s="260"/>
      <c r="I45" s="260"/>
      <c r="J45" s="260"/>
      <c r="K45" s="260"/>
      <c r="L45" s="260"/>
      <c r="M45" s="260"/>
      <c r="N45" s="260"/>
      <c r="O45" s="260"/>
      <c r="P45" s="260"/>
      <c r="Q45" s="271"/>
      <c r="R45" s="271"/>
      <c r="S45" s="271"/>
      <c r="T45" s="271"/>
      <c r="U45" s="271"/>
      <c r="V45" s="271"/>
      <c r="W45" s="271"/>
    </row>
    <row r="46" spans="1:23" x14ac:dyDescent="0.2">
      <c r="D46" s="260"/>
      <c r="E46" s="260"/>
      <c r="F46" s="260"/>
      <c r="G46" s="260"/>
      <c r="H46" s="260"/>
      <c r="I46" s="260"/>
      <c r="J46" s="260"/>
      <c r="K46" s="260"/>
      <c r="L46" s="260"/>
      <c r="M46" s="260"/>
      <c r="N46" s="260"/>
      <c r="O46" s="260"/>
      <c r="P46" s="260"/>
      <c r="Q46" s="271"/>
      <c r="R46" s="271"/>
      <c r="S46" s="271"/>
      <c r="T46" s="271"/>
      <c r="U46" s="271"/>
      <c r="V46" s="271"/>
      <c r="W46" s="271"/>
    </row>
    <row r="48" spans="1:23" x14ac:dyDescent="0.2">
      <c r="D48" s="260"/>
      <c r="E48" s="260"/>
      <c r="F48" s="260"/>
      <c r="G48" s="260"/>
      <c r="H48" s="260"/>
      <c r="I48" s="260"/>
      <c r="J48" s="260"/>
      <c r="K48" s="260"/>
      <c r="L48" s="260"/>
      <c r="M48" s="260"/>
      <c r="N48" s="260"/>
      <c r="O48" s="260"/>
      <c r="P48" s="260"/>
      <c r="Q48" s="271"/>
      <c r="R48" s="271"/>
      <c r="S48" s="271"/>
      <c r="T48" s="271"/>
      <c r="U48" s="271"/>
      <c r="V48" s="271"/>
      <c r="W48" s="271"/>
    </row>
    <row r="49" spans="4:15" x14ac:dyDescent="0.2">
      <c r="D49" s="260"/>
      <c r="E49" s="260"/>
      <c r="F49" s="260"/>
      <c r="G49" s="260"/>
      <c r="H49" s="260"/>
      <c r="I49" s="260"/>
      <c r="J49" s="260"/>
      <c r="K49" s="260"/>
      <c r="L49" s="260"/>
      <c r="M49" s="260"/>
      <c r="N49" s="260"/>
      <c r="O49" s="260"/>
    </row>
  </sheetData>
  <mergeCells count="4">
    <mergeCell ref="A1:N1"/>
    <mergeCell ref="A2:N2"/>
    <mergeCell ref="A3:N3"/>
    <mergeCell ref="A4:N4"/>
  </mergeCells>
  <printOptions horizontalCentered="1"/>
  <pageMargins left="0.75" right="0.75" top="1" bottom="1" header="0.5" footer="0.5"/>
  <pageSetup scale="73"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63"/>
  <sheetViews>
    <sheetView zoomScaleNormal="100" workbookViewId="0">
      <pane ySplit="7" topLeftCell="A8" activePane="bottomLeft" state="frozen"/>
      <selection pane="bottomLeft" activeCell="O31" sqref="O31"/>
    </sheetView>
  </sheetViews>
  <sheetFormatPr defaultColWidth="8.85546875" defaultRowHeight="11.25" x14ac:dyDescent="0.2"/>
  <cols>
    <col min="1" max="1" width="2.42578125" style="275" customWidth="1"/>
    <col min="2" max="2" width="3.85546875" style="275" customWidth="1"/>
    <col min="3" max="3" width="1" style="275" customWidth="1"/>
    <col min="4" max="4" width="61.28515625" style="275" customWidth="1"/>
    <col min="5" max="5" width="14.85546875" style="275" customWidth="1"/>
    <col min="6" max="6" width="12" style="275" bestFit="1" customWidth="1"/>
    <col min="7" max="7" width="11.140625" style="275" bestFit="1" customWidth="1"/>
    <col min="8" max="9" width="12.140625" style="275" bestFit="1" customWidth="1"/>
    <col min="10" max="11" width="10.85546875" style="275" bestFit="1" customWidth="1"/>
    <col min="12" max="12" width="11.85546875" style="275" bestFit="1" customWidth="1"/>
    <col min="13" max="13" width="11.5703125" style="275" bestFit="1" customWidth="1"/>
    <col min="14" max="14" width="12.42578125" style="275" customWidth="1"/>
    <col min="15" max="15" width="11.85546875" style="275" bestFit="1" customWidth="1"/>
    <col min="16" max="17" width="12.5703125" style="275" customWidth="1"/>
    <col min="18" max="16384" width="8.85546875" style="275"/>
  </cols>
  <sheetData>
    <row r="1" spans="1:13" x14ac:dyDescent="0.2">
      <c r="A1" s="273" t="s">
        <v>1</v>
      </c>
      <c r="B1" s="274"/>
      <c r="C1" s="274"/>
      <c r="D1" s="274"/>
      <c r="E1" s="274"/>
      <c r="F1" s="274"/>
      <c r="G1" s="273"/>
      <c r="H1" s="274"/>
      <c r="I1" s="274"/>
      <c r="J1" s="274"/>
      <c r="K1" s="274"/>
      <c r="L1" s="274"/>
      <c r="M1" s="274"/>
    </row>
    <row r="2" spans="1:13" x14ac:dyDescent="0.2">
      <c r="A2" s="273" t="s">
        <v>254</v>
      </c>
      <c r="B2" s="274"/>
      <c r="C2" s="274"/>
      <c r="D2" s="274"/>
      <c r="E2" s="274"/>
      <c r="F2" s="274"/>
      <c r="G2" s="273"/>
      <c r="H2" s="274"/>
      <c r="I2" s="274"/>
      <c r="J2" s="274"/>
      <c r="K2" s="274"/>
      <c r="L2" s="274"/>
      <c r="M2" s="274"/>
    </row>
    <row r="3" spans="1:13" x14ac:dyDescent="0.2">
      <c r="A3" s="273" t="s">
        <v>189</v>
      </c>
      <c r="B3" s="273"/>
      <c r="C3" s="273"/>
      <c r="D3" s="273"/>
      <c r="E3" s="273"/>
      <c r="F3" s="273"/>
      <c r="G3" s="273"/>
      <c r="H3" s="273"/>
      <c r="I3" s="273"/>
      <c r="J3" s="273"/>
      <c r="K3" s="273"/>
      <c r="L3" s="273"/>
      <c r="M3" s="273"/>
    </row>
    <row r="4" spans="1:13" x14ac:dyDescent="0.2">
      <c r="A4" s="565" t="s">
        <v>257</v>
      </c>
      <c r="B4" s="565"/>
      <c r="C4" s="273"/>
      <c r="D4" s="273"/>
      <c r="E4" s="565"/>
      <c r="F4" s="273"/>
      <c r="G4" s="273"/>
      <c r="H4" s="273"/>
      <c r="I4" s="273"/>
      <c r="J4" s="273"/>
      <c r="K4" s="273"/>
      <c r="L4" s="273"/>
      <c r="M4" s="273"/>
    </row>
    <row r="5" spans="1:13" x14ac:dyDescent="0.2">
      <c r="A5" s="273"/>
      <c r="B5" s="273"/>
      <c r="C5" s="273"/>
      <c r="D5" s="276"/>
      <c r="E5" s="273"/>
      <c r="F5" s="273"/>
      <c r="G5" s="273"/>
      <c r="H5" s="273"/>
      <c r="I5" s="273"/>
      <c r="J5" s="273"/>
      <c r="K5" s="273"/>
      <c r="L5" s="273"/>
      <c r="M5" s="273"/>
    </row>
    <row r="6" spans="1:13" ht="23.25" customHeight="1" x14ac:dyDescent="0.2">
      <c r="B6" s="277"/>
      <c r="D6" s="278" t="s">
        <v>91</v>
      </c>
      <c r="E6" s="278" t="s">
        <v>92</v>
      </c>
      <c r="F6" s="278" t="s">
        <v>93</v>
      </c>
      <c r="G6" s="278" t="s">
        <v>94</v>
      </c>
      <c r="H6" s="278" t="s">
        <v>190</v>
      </c>
      <c r="I6" s="278" t="s">
        <v>98</v>
      </c>
      <c r="J6" s="279" t="s">
        <v>191</v>
      </c>
      <c r="K6" s="278" t="s">
        <v>95</v>
      </c>
      <c r="L6" s="278" t="s">
        <v>96</v>
      </c>
      <c r="M6" s="278" t="s">
        <v>97</v>
      </c>
    </row>
    <row r="7" spans="1:13" ht="33.75" x14ac:dyDescent="0.2">
      <c r="B7" s="275">
        <v>1</v>
      </c>
      <c r="D7" s="280" t="s">
        <v>8</v>
      </c>
      <c r="E7" s="281" t="s">
        <v>192</v>
      </c>
      <c r="F7" s="281" t="s">
        <v>10</v>
      </c>
      <c r="G7" s="282" t="s">
        <v>193</v>
      </c>
      <c r="H7" s="283" t="s">
        <v>194</v>
      </c>
      <c r="I7" s="283" t="s">
        <v>195</v>
      </c>
      <c r="J7" s="283" t="s">
        <v>196</v>
      </c>
      <c r="K7" s="283" t="s">
        <v>197</v>
      </c>
      <c r="L7" s="283" t="s">
        <v>198</v>
      </c>
      <c r="M7" s="284" t="s">
        <v>199</v>
      </c>
    </row>
    <row r="8" spans="1:13" x14ac:dyDescent="0.2">
      <c r="B8" s="275">
        <f>B7+1</f>
        <v>2</v>
      </c>
      <c r="D8" s="285" t="s">
        <v>200</v>
      </c>
      <c r="E8" s="286" t="s">
        <v>201</v>
      </c>
      <c r="F8" s="287">
        <f>SUM(G8:M8)</f>
        <v>1140752508.5224547</v>
      </c>
      <c r="G8" s="581">
        <v>620844874.32387149</v>
      </c>
      <c r="H8" s="581">
        <v>222203870.67539161</v>
      </c>
      <c r="I8" s="581">
        <v>82012496.764967203</v>
      </c>
      <c r="J8" s="581">
        <v>88879730.522698998</v>
      </c>
      <c r="K8" s="581">
        <v>7491654.8276905455</v>
      </c>
      <c r="L8" s="581">
        <v>119319881.4078348</v>
      </c>
      <c r="M8" s="288">
        <v>0</v>
      </c>
    </row>
    <row r="9" spans="1:13" x14ac:dyDescent="0.2">
      <c r="B9" s="275">
        <f t="shared" ref="B9:B21" si="0">B8+1</f>
        <v>3</v>
      </c>
      <c r="D9" s="285" t="s">
        <v>90</v>
      </c>
      <c r="E9" s="289"/>
      <c r="F9" s="287"/>
      <c r="G9" s="290">
        <f t="shared" ref="G9:L9" si="1">G8/$F8</f>
        <v>0.54424151574123025</v>
      </c>
      <c r="H9" s="291">
        <f t="shared" si="1"/>
        <v>0.19478709800357868</v>
      </c>
      <c r="I9" s="291">
        <f t="shared" si="1"/>
        <v>7.1893330194112703E-2</v>
      </c>
      <c r="J9" s="291">
        <f t="shared" si="1"/>
        <v>7.7913245737955328E-2</v>
      </c>
      <c r="K9" s="291">
        <f t="shared" si="1"/>
        <v>6.5672920039369599E-3</v>
      </c>
      <c r="L9" s="291">
        <f t="shared" si="1"/>
        <v>0.10459751831918596</v>
      </c>
      <c r="M9" s="292">
        <f>M8/$F8</f>
        <v>0</v>
      </c>
    </row>
    <row r="10" spans="1:13" x14ac:dyDescent="0.2">
      <c r="B10" s="275">
        <f t="shared" si="0"/>
        <v>4</v>
      </c>
      <c r="D10" s="285"/>
      <c r="E10" s="289"/>
      <c r="F10" s="287"/>
      <c r="G10" s="293"/>
      <c r="H10" s="294"/>
      <c r="I10" s="294"/>
      <c r="J10" s="294"/>
      <c r="K10" s="294"/>
      <c r="L10" s="294"/>
      <c r="M10" s="295"/>
    </row>
    <row r="11" spans="1:13" x14ac:dyDescent="0.2">
      <c r="B11" s="275">
        <f t="shared" si="0"/>
        <v>5</v>
      </c>
      <c r="D11" s="285" t="s">
        <v>202</v>
      </c>
      <c r="E11" s="286" t="s">
        <v>201</v>
      </c>
      <c r="F11" s="287">
        <f>SUM(G11:M11)</f>
        <v>953115343.37899733</v>
      </c>
      <c r="G11" s="582">
        <v>620844874.32387149</v>
      </c>
      <c r="H11" s="582">
        <v>222166912.14539161</v>
      </c>
      <c r="I11" s="582">
        <v>62517991.156948172</v>
      </c>
      <c r="J11" s="582">
        <v>19992939.502740223</v>
      </c>
      <c r="K11" s="582">
        <v>5773170.4876905456</v>
      </c>
      <c r="L11" s="582">
        <v>21819455.762355208</v>
      </c>
      <c r="M11" s="288"/>
    </row>
    <row r="12" spans="1:13" x14ac:dyDescent="0.2">
      <c r="B12" s="275">
        <f t="shared" si="0"/>
        <v>6</v>
      </c>
      <c r="D12" s="285" t="s">
        <v>90</v>
      </c>
      <c r="E12" s="289"/>
      <c r="F12" s="287"/>
      <c r="G12" s="290">
        <f t="shared" ref="G12:M12" si="2">G11/$F11</f>
        <v>0.65138482832816846</v>
      </c>
      <c r="H12" s="291">
        <f t="shared" si="2"/>
        <v>0.23309551534210171</v>
      </c>
      <c r="I12" s="291">
        <f t="shared" si="2"/>
        <v>6.5593311020792661E-2</v>
      </c>
      <c r="J12" s="291">
        <f t="shared" si="2"/>
        <v>2.0976411345830386E-2</v>
      </c>
      <c r="K12" s="291">
        <f t="shared" si="2"/>
        <v>6.0571582734398376E-3</v>
      </c>
      <c r="L12" s="291">
        <f t="shared" si="2"/>
        <v>2.2892775689666876E-2</v>
      </c>
      <c r="M12" s="292">
        <f t="shared" si="2"/>
        <v>0</v>
      </c>
    </row>
    <row r="13" spans="1:13" x14ac:dyDescent="0.2">
      <c r="B13" s="275">
        <f t="shared" si="0"/>
        <v>7</v>
      </c>
      <c r="D13" s="285"/>
      <c r="E13" s="289"/>
      <c r="F13" s="287"/>
      <c r="G13" s="293"/>
      <c r="H13" s="294"/>
      <c r="I13" s="294"/>
      <c r="J13" s="294"/>
      <c r="K13" s="294"/>
      <c r="L13" s="294"/>
      <c r="M13" s="295"/>
    </row>
    <row r="14" spans="1:13" x14ac:dyDescent="0.2">
      <c r="B14" s="275">
        <f t="shared" si="0"/>
        <v>8</v>
      </c>
      <c r="D14" s="285" t="s">
        <v>203</v>
      </c>
      <c r="E14" s="286" t="s">
        <v>201</v>
      </c>
      <c r="F14" s="287">
        <f t="shared" ref="F14:F17" si="3">SUM(G14:M14)</f>
        <v>716143122.74986231</v>
      </c>
      <c r="G14" s="582">
        <v>424612257.90986878</v>
      </c>
      <c r="H14" s="582">
        <v>146721274.39194626</v>
      </c>
      <c r="I14" s="582">
        <v>44979557.172003679</v>
      </c>
      <c r="J14" s="582">
        <v>41765772.219842479</v>
      </c>
      <c r="K14" s="582">
        <v>4315203.25819562</v>
      </c>
      <c r="L14" s="582">
        <v>53749057.798005626</v>
      </c>
      <c r="M14" s="288">
        <v>0</v>
      </c>
    </row>
    <row r="15" spans="1:13" x14ac:dyDescent="0.2">
      <c r="B15" s="275">
        <f t="shared" si="0"/>
        <v>9</v>
      </c>
      <c r="D15" s="285" t="s">
        <v>90</v>
      </c>
      <c r="E15" s="289"/>
      <c r="F15" s="287"/>
      <c r="G15" s="290">
        <f t="shared" ref="G15:M15" si="4">G14/$F14</f>
        <v>0.5929153606606361</v>
      </c>
      <c r="H15" s="291">
        <f t="shared" si="4"/>
        <v>0.20487702769323909</v>
      </c>
      <c r="I15" s="291">
        <f t="shared" si="4"/>
        <v>6.2808055740715865E-2</v>
      </c>
      <c r="J15" s="291">
        <f t="shared" si="4"/>
        <v>5.8320426312926575E-2</v>
      </c>
      <c r="K15" s="291">
        <f t="shared" si="4"/>
        <v>6.0256157199778818E-3</v>
      </c>
      <c r="L15" s="291">
        <f t="shared" si="4"/>
        <v>7.5053513872504696E-2</v>
      </c>
      <c r="M15" s="292">
        <f t="shared" si="4"/>
        <v>0</v>
      </c>
    </row>
    <row r="16" spans="1:13" x14ac:dyDescent="0.2">
      <c r="B16" s="275">
        <f t="shared" si="0"/>
        <v>10</v>
      </c>
      <c r="D16" s="285"/>
      <c r="E16" s="289"/>
      <c r="F16" s="287"/>
      <c r="G16" s="293"/>
      <c r="H16" s="294"/>
      <c r="I16" s="294"/>
      <c r="J16" s="294"/>
      <c r="K16" s="294"/>
      <c r="L16" s="294"/>
      <c r="M16" s="295"/>
    </row>
    <row r="17" spans="2:14" x14ac:dyDescent="0.2">
      <c r="B17" s="275">
        <f t="shared" si="0"/>
        <v>11</v>
      </c>
      <c r="D17" s="285" t="s">
        <v>204</v>
      </c>
      <c r="E17" s="286" t="s">
        <v>201</v>
      </c>
      <c r="F17" s="287">
        <f t="shared" si="3"/>
        <v>633843859.46692252</v>
      </c>
      <c r="G17" s="582">
        <v>424612257.90986878</v>
      </c>
      <c r="H17" s="582">
        <v>146697982.93194625</v>
      </c>
      <c r="I17" s="582">
        <v>36289085.62542785</v>
      </c>
      <c r="J17" s="582">
        <v>11243304.220912216</v>
      </c>
      <c r="K17" s="582">
        <v>3670961.1381956204</v>
      </c>
      <c r="L17" s="582">
        <v>11330267.640571874</v>
      </c>
      <c r="M17" s="288"/>
    </row>
    <row r="18" spans="2:14" x14ac:dyDescent="0.2">
      <c r="B18" s="275">
        <f t="shared" si="0"/>
        <v>12</v>
      </c>
      <c r="D18" s="285" t="s">
        <v>90</v>
      </c>
      <c r="E18" s="289"/>
      <c r="F18" s="287"/>
      <c r="G18" s="290">
        <f t="shared" ref="G18:M18" si="5">G17/$F17</f>
        <v>0.66990040459960853</v>
      </c>
      <c r="H18" s="291">
        <f t="shared" si="5"/>
        <v>0.23144183025662293</v>
      </c>
      <c r="I18" s="291">
        <f t="shared" si="5"/>
        <v>5.7252405436171327E-2</v>
      </c>
      <c r="J18" s="291">
        <f t="shared" si="5"/>
        <v>1.7738286887196631E-2</v>
      </c>
      <c r="K18" s="291">
        <f t="shared" si="5"/>
        <v>5.7915858667195808E-3</v>
      </c>
      <c r="L18" s="291">
        <f t="shared" si="5"/>
        <v>1.7875486953681137E-2</v>
      </c>
      <c r="M18" s="292">
        <f t="shared" si="5"/>
        <v>0</v>
      </c>
    </row>
    <row r="19" spans="2:14" x14ac:dyDescent="0.2">
      <c r="B19" s="275">
        <f t="shared" si="0"/>
        <v>13</v>
      </c>
      <c r="D19" s="285"/>
      <c r="E19" s="289"/>
      <c r="F19" s="287"/>
      <c r="G19" s="293"/>
      <c r="H19" s="294"/>
      <c r="I19" s="294"/>
      <c r="J19" s="294"/>
      <c r="K19" s="294"/>
      <c r="L19" s="294"/>
      <c r="M19" s="295"/>
    </row>
    <row r="20" spans="2:14" x14ac:dyDescent="0.2">
      <c r="B20" s="275">
        <f t="shared" si="0"/>
        <v>14</v>
      </c>
      <c r="D20" s="285" t="s">
        <v>205</v>
      </c>
      <c r="E20" s="286" t="s">
        <v>201</v>
      </c>
      <c r="F20" s="287">
        <f>SUM(G20:M20)</f>
        <v>9513986.6299762093</v>
      </c>
      <c r="G20" s="582">
        <v>6800522.7102754265</v>
      </c>
      <c r="H20" s="582">
        <v>2215708.7608185471</v>
      </c>
      <c r="I20" s="582">
        <v>486433.94146557047</v>
      </c>
      <c r="J20" s="582">
        <v>8063.8863333333338</v>
      </c>
      <c r="K20" s="582">
        <v>3257.331083333333</v>
      </c>
      <c r="L20" s="582">
        <v>0</v>
      </c>
      <c r="M20" s="288"/>
    </row>
    <row r="21" spans="2:14" x14ac:dyDescent="0.2">
      <c r="B21" s="275">
        <f t="shared" si="0"/>
        <v>15</v>
      </c>
      <c r="D21" s="296" t="s">
        <v>90</v>
      </c>
      <c r="E21" s="297"/>
      <c r="F21" s="298"/>
      <c r="G21" s="299">
        <f t="shared" ref="G21:M21" si="6">G20/$F20</f>
        <v>0.71479212392927571</v>
      </c>
      <c r="H21" s="300">
        <f t="shared" si="6"/>
        <v>0.23288962314046133</v>
      </c>
      <c r="I21" s="300">
        <f t="shared" si="6"/>
        <v>5.1128297777183952E-2</v>
      </c>
      <c r="J21" s="300">
        <f t="shared" si="6"/>
        <v>8.4758226461303097E-4</v>
      </c>
      <c r="K21" s="300">
        <f t="shared" si="6"/>
        <v>3.4237288846615484E-4</v>
      </c>
      <c r="L21" s="300">
        <f t="shared" si="6"/>
        <v>0</v>
      </c>
      <c r="M21" s="301">
        <f t="shared" si="6"/>
        <v>0</v>
      </c>
    </row>
    <row r="22" spans="2:14" x14ac:dyDescent="0.2">
      <c r="D22" s="302"/>
      <c r="E22" s="302"/>
      <c r="F22" s="302"/>
      <c r="G22" s="303"/>
      <c r="H22" s="303"/>
      <c r="I22" s="303"/>
      <c r="J22" s="303"/>
      <c r="K22" s="303"/>
      <c r="L22" s="303"/>
      <c r="M22" s="304"/>
      <c r="N22" s="304"/>
    </row>
    <row r="23" spans="2:14" x14ac:dyDescent="0.2">
      <c r="B23" s="275">
        <f>B21+1</f>
        <v>16</v>
      </c>
      <c r="D23" s="305" t="s">
        <v>206</v>
      </c>
      <c r="E23" s="302"/>
      <c r="F23" s="302"/>
      <c r="G23" s="302"/>
      <c r="H23" s="302"/>
      <c r="I23" s="302"/>
      <c r="J23" s="302"/>
      <c r="K23" s="302"/>
      <c r="L23" s="302"/>
    </row>
    <row r="24" spans="2:14" x14ac:dyDescent="0.2">
      <c r="B24" s="275">
        <f>B23+1</f>
        <v>17</v>
      </c>
      <c r="D24" s="306" t="s">
        <v>8</v>
      </c>
      <c r="E24" s="306" t="s">
        <v>207</v>
      </c>
      <c r="F24" s="281" t="s">
        <v>10</v>
      </c>
      <c r="G24" s="307" t="s">
        <v>202</v>
      </c>
      <c r="H24" s="307" t="s">
        <v>208</v>
      </c>
      <c r="I24" s="307" t="s">
        <v>209</v>
      </c>
      <c r="J24" s="308" t="s">
        <v>210</v>
      </c>
      <c r="K24" s="302"/>
      <c r="L24" s="302"/>
    </row>
    <row r="25" spans="2:14" x14ac:dyDescent="0.2">
      <c r="B25" s="275">
        <f t="shared" ref="B25:B29" si="7">B24+1</f>
        <v>18</v>
      </c>
      <c r="D25" s="309" t="s">
        <v>211</v>
      </c>
      <c r="E25" s="309" t="s">
        <v>212</v>
      </c>
      <c r="F25" s="310">
        <f>SUM(G25:J25)</f>
        <v>1</v>
      </c>
      <c r="G25" s="583">
        <v>0.27745620077450889</v>
      </c>
      <c r="H25" s="583">
        <v>0.42662186752804077</v>
      </c>
      <c r="I25" s="583">
        <v>0.29592193169745035</v>
      </c>
      <c r="J25" s="584">
        <v>0</v>
      </c>
      <c r="K25" s="302"/>
      <c r="L25" s="302"/>
    </row>
    <row r="26" spans="2:14" x14ac:dyDescent="0.2">
      <c r="B26" s="275">
        <f t="shared" si="7"/>
        <v>19</v>
      </c>
      <c r="D26" s="289" t="s">
        <v>213</v>
      </c>
      <c r="E26" s="289" t="s">
        <v>214</v>
      </c>
      <c r="F26" s="311">
        <f t="shared" ref="F26:F29" si="8">SUM(G26:J26)</f>
        <v>1</v>
      </c>
      <c r="G26" s="585"/>
      <c r="H26" s="586">
        <v>9.2976695787655078E-2</v>
      </c>
      <c r="I26" s="586">
        <v>0.69702330421234493</v>
      </c>
      <c r="J26" s="587">
        <v>0.20999999999999996</v>
      </c>
      <c r="K26" s="302"/>
      <c r="L26" s="302"/>
    </row>
    <row r="27" spans="2:14" x14ac:dyDescent="0.2">
      <c r="B27" s="275">
        <f t="shared" si="7"/>
        <v>20</v>
      </c>
      <c r="D27" s="289" t="s">
        <v>215</v>
      </c>
      <c r="E27" s="289" t="s">
        <v>216</v>
      </c>
      <c r="F27" s="311">
        <f t="shared" si="8"/>
        <v>1</v>
      </c>
      <c r="G27" s="585"/>
      <c r="H27" s="586">
        <v>9.2976695787655078E-2</v>
      </c>
      <c r="I27" s="586">
        <v>0.69702330421234493</v>
      </c>
      <c r="J27" s="587">
        <v>0.20999999999999996</v>
      </c>
      <c r="K27" s="302"/>
      <c r="L27" s="302"/>
    </row>
    <row r="28" spans="2:14" x14ac:dyDescent="0.2">
      <c r="B28" s="275">
        <f t="shared" si="7"/>
        <v>21</v>
      </c>
      <c r="D28" s="289" t="s">
        <v>217</v>
      </c>
      <c r="E28" s="289" t="s">
        <v>218</v>
      </c>
      <c r="F28" s="311">
        <f t="shared" si="8"/>
        <v>0</v>
      </c>
      <c r="G28" s="585"/>
      <c r="H28" s="585"/>
      <c r="I28" s="588"/>
      <c r="J28" s="587"/>
      <c r="K28" s="302"/>
      <c r="L28" s="302"/>
    </row>
    <row r="29" spans="2:14" x14ac:dyDescent="0.2">
      <c r="B29" s="275">
        <f t="shared" si="7"/>
        <v>22</v>
      </c>
      <c r="D29" s="297" t="s">
        <v>219</v>
      </c>
      <c r="E29" s="297" t="s">
        <v>220</v>
      </c>
      <c r="F29" s="312">
        <f t="shared" si="8"/>
        <v>1</v>
      </c>
      <c r="G29" s="589"/>
      <c r="H29" s="590">
        <v>1</v>
      </c>
      <c r="I29" s="590"/>
      <c r="J29" s="591">
        <v>0</v>
      </c>
      <c r="K29" s="302"/>
      <c r="L29" s="302"/>
    </row>
    <row r="30" spans="2:14" x14ac:dyDescent="0.2">
      <c r="D30" s="313"/>
      <c r="E30" s="313"/>
      <c r="F30" s="314"/>
      <c r="G30" s="313"/>
      <c r="H30" s="313"/>
      <c r="I30" s="313"/>
      <c r="J30" s="313"/>
      <c r="K30" s="302"/>
      <c r="L30" s="302"/>
    </row>
    <row r="31" spans="2:14" x14ac:dyDescent="0.2">
      <c r="B31" s="275">
        <f>B29+1</f>
        <v>23</v>
      </c>
      <c r="D31" s="315" t="s">
        <v>221</v>
      </c>
      <c r="E31" s="313"/>
      <c r="F31" s="302"/>
      <c r="G31" s="302"/>
      <c r="H31" s="302"/>
      <c r="I31" s="302"/>
      <c r="J31" s="302"/>
      <c r="K31" s="302"/>
      <c r="L31" s="302"/>
    </row>
    <row r="32" spans="2:14" x14ac:dyDescent="0.2">
      <c r="B32" s="275">
        <f>B31+1</f>
        <v>24</v>
      </c>
      <c r="D32" s="306" t="s">
        <v>8</v>
      </c>
      <c r="E32" s="306" t="s">
        <v>207</v>
      </c>
      <c r="F32" s="281" t="s">
        <v>10</v>
      </c>
      <c r="G32" s="316" t="s">
        <v>202</v>
      </c>
      <c r="H32" s="316" t="s">
        <v>208</v>
      </c>
      <c r="I32" s="316" t="s">
        <v>209</v>
      </c>
      <c r="J32" s="317" t="s">
        <v>210</v>
      </c>
      <c r="K32" s="302"/>
      <c r="L32" s="302"/>
    </row>
    <row r="33" spans="2:13" x14ac:dyDescent="0.2">
      <c r="B33" s="275">
        <f t="shared" ref="B33:B38" si="9">B32+1</f>
        <v>25</v>
      </c>
      <c r="D33" s="289" t="s">
        <v>211</v>
      </c>
      <c r="E33" s="289" t="s">
        <v>212</v>
      </c>
      <c r="F33" s="592">
        <v>120331553.95709854</v>
      </c>
      <c r="G33" s="318">
        <f>G25*F33</f>
        <v>33386735.794229385</v>
      </c>
      <c r="H33" s="318">
        <f>H25*F33</f>
        <v>51336072.271728583</v>
      </c>
      <c r="I33" s="318">
        <f>I25*F33</f>
        <v>35608745.891140573</v>
      </c>
      <c r="J33" s="318">
        <f>J25*F33</f>
        <v>0</v>
      </c>
      <c r="K33" s="302"/>
      <c r="L33" s="302"/>
    </row>
    <row r="34" spans="2:13" x14ac:dyDescent="0.2">
      <c r="B34" s="275">
        <f t="shared" si="9"/>
        <v>26</v>
      </c>
      <c r="D34" s="289" t="s">
        <v>213</v>
      </c>
      <c r="E34" s="289" t="s">
        <v>214</v>
      </c>
      <c r="F34" s="592">
        <v>6844028.2941000005</v>
      </c>
      <c r="G34" s="318">
        <f t="shared" ref="G34:G37" si="10">G26*F34</f>
        <v>0</v>
      </c>
      <c r="H34" s="318">
        <f t="shared" ref="H34:H37" si="11">H26*F34</f>
        <v>636335.13666263968</v>
      </c>
      <c r="I34" s="318">
        <f t="shared" ref="I34:I37" si="12">I26*F34</f>
        <v>4770447.2156763608</v>
      </c>
      <c r="J34" s="318">
        <f t="shared" ref="J34:J37" si="13">J26*F34</f>
        <v>1437245.9417609998</v>
      </c>
      <c r="K34" s="302"/>
      <c r="L34" s="302"/>
    </row>
    <row r="35" spans="2:13" x14ac:dyDescent="0.2">
      <c r="B35" s="275">
        <f t="shared" si="9"/>
        <v>27</v>
      </c>
      <c r="D35" s="289" t="s">
        <v>215</v>
      </c>
      <c r="E35" s="289" t="s">
        <v>216</v>
      </c>
      <c r="F35" s="592">
        <v>521597.32604999997</v>
      </c>
      <c r="G35" s="318">
        <f t="shared" si="10"/>
        <v>0</v>
      </c>
      <c r="H35" s="318">
        <f t="shared" si="11"/>
        <v>48496.395907805185</v>
      </c>
      <c r="I35" s="318">
        <f t="shared" si="12"/>
        <v>363565.49167169479</v>
      </c>
      <c r="J35" s="318">
        <f t="shared" si="13"/>
        <v>109535.43847049998</v>
      </c>
      <c r="K35" s="302"/>
      <c r="L35" s="302"/>
    </row>
    <row r="36" spans="2:13" x14ac:dyDescent="0.2">
      <c r="B36" s="275">
        <f t="shared" si="9"/>
        <v>28</v>
      </c>
      <c r="D36" s="289" t="s">
        <v>217</v>
      </c>
      <c r="E36" s="289" t="s">
        <v>218</v>
      </c>
      <c r="F36" s="592"/>
      <c r="G36" s="318">
        <f t="shared" si="10"/>
        <v>0</v>
      </c>
      <c r="H36" s="318">
        <f t="shared" si="11"/>
        <v>0</v>
      </c>
      <c r="I36" s="318">
        <f t="shared" si="12"/>
        <v>0</v>
      </c>
      <c r="J36" s="318">
        <f t="shared" si="13"/>
        <v>0</v>
      </c>
      <c r="K36" s="302"/>
      <c r="L36" s="302"/>
    </row>
    <row r="37" spans="2:13" x14ac:dyDescent="0.2">
      <c r="B37" s="275">
        <f t="shared" si="9"/>
        <v>29</v>
      </c>
      <c r="D37" s="297" t="s">
        <v>222</v>
      </c>
      <c r="E37" s="297" t="s">
        <v>220</v>
      </c>
      <c r="F37" s="592">
        <v>5438883.0993599985</v>
      </c>
      <c r="G37" s="318">
        <f t="shared" si="10"/>
        <v>0</v>
      </c>
      <c r="H37" s="318">
        <f t="shared" si="11"/>
        <v>5438883.0993599985</v>
      </c>
      <c r="I37" s="318">
        <f t="shared" si="12"/>
        <v>0</v>
      </c>
      <c r="J37" s="318">
        <f t="shared" si="13"/>
        <v>0</v>
      </c>
      <c r="K37" s="302"/>
      <c r="L37" s="302"/>
    </row>
    <row r="38" spans="2:13" x14ac:dyDescent="0.2">
      <c r="B38" s="275">
        <f t="shared" si="9"/>
        <v>30</v>
      </c>
      <c r="D38" s="319" t="s">
        <v>10</v>
      </c>
      <c r="E38" s="319"/>
      <c r="F38" s="320">
        <f>SUM(F33:F37)</f>
        <v>133136062.67660855</v>
      </c>
      <c r="G38" s="321">
        <f>SUM(G33:G37)</f>
        <v>33386735.794229385</v>
      </c>
      <c r="H38" s="321">
        <f t="shared" ref="H38:J38" si="14">SUM(H33:H37)</f>
        <v>57459786.903659023</v>
      </c>
      <c r="I38" s="321">
        <f t="shared" si="14"/>
        <v>40742758.598488629</v>
      </c>
      <c r="J38" s="322">
        <f t="shared" si="14"/>
        <v>1546781.3802314999</v>
      </c>
      <c r="K38" s="302"/>
      <c r="L38" s="302"/>
    </row>
    <row r="39" spans="2:13" x14ac:dyDescent="0.2">
      <c r="D39" s="313"/>
      <c r="E39" s="313"/>
      <c r="F39" s="302"/>
      <c r="G39" s="302"/>
      <c r="H39" s="302"/>
      <c r="I39" s="302"/>
      <c r="J39" s="302"/>
      <c r="K39" s="302"/>
      <c r="L39" s="302"/>
    </row>
    <row r="40" spans="2:13" ht="33.75" x14ac:dyDescent="0.2">
      <c r="B40" s="275">
        <f>B38+1</f>
        <v>31</v>
      </c>
      <c r="D40" s="323" t="s">
        <v>8</v>
      </c>
      <c r="E40" s="324"/>
      <c r="F40" s="281" t="s">
        <v>10</v>
      </c>
      <c r="G40" s="282" t="s">
        <v>193</v>
      </c>
      <c r="H40" s="283" t="s">
        <v>194</v>
      </c>
      <c r="I40" s="283" t="s">
        <v>195</v>
      </c>
      <c r="J40" s="283" t="s">
        <v>196</v>
      </c>
      <c r="K40" s="283" t="s">
        <v>197</v>
      </c>
      <c r="L40" s="283" t="s">
        <v>198</v>
      </c>
      <c r="M40" s="284" t="s">
        <v>199</v>
      </c>
    </row>
    <row r="41" spans="2:13" x14ac:dyDescent="0.2">
      <c r="B41" s="275">
        <f>B40+1</f>
        <v>32</v>
      </c>
      <c r="D41" s="285"/>
      <c r="E41" s="313"/>
      <c r="F41" s="289"/>
      <c r="G41" s="313"/>
      <c r="H41" s="313"/>
      <c r="I41" s="313"/>
      <c r="J41" s="313"/>
      <c r="K41" s="313"/>
      <c r="L41" s="313"/>
      <c r="M41" s="325"/>
    </row>
    <row r="42" spans="2:13" x14ac:dyDescent="0.2">
      <c r="B42" s="275">
        <f t="shared" ref="B42:B47" si="15">B41+1</f>
        <v>33</v>
      </c>
      <c r="D42" s="285" t="s">
        <v>202</v>
      </c>
      <c r="E42" s="313"/>
      <c r="F42" s="326">
        <f>G38</f>
        <v>33386735.794229385</v>
      </c>
      <c r="G42" s="318">
        <f>$F42*G12</f>
        <v>21747613.163762026</v>
      </c>
      <c r="H42" s="318">
        <f t="shared" ref="H42:M42" si="16">$F42*H12</f>
        <v>7782298.3855464915</v>
      </c>
      <c r="I42" s="318">
        <f t="shared" si="16"/>
        <v>2189946.5449199192</v>
      </c>
      <c r="J42" s="318">
        <f t="shared" si="16"/>
        <v>700333.90351431468</v>
      </c>
      <c r="K42" s="318">
        <f t="shared" si="16"/>
        <v>202228.74293916649</v>
      </c>
      <c r="L42" s="318">
        <f t="shared" si="16"/>
        <v>764315.05354746536</v>
      </c>
      <c r="M42" s="327">
        <f t="shared" si="16"/>
        <v>0</v>
      </c>
    </row>
    <row r="43" spans="2:13" x14ac:dyDescent="0.2">
      <c r="B43" s="275">
        <f t="shared" si="15"/>
        <v>34</v>
      </c>
      <c r="D43" s="285" t="s">
        <v>208</v>
      </c>
      <c r="E43" s="313"/>
      <c r="F43" s="326">
        <f>H38</f>
        <v>57459786.903659023</v>
      </c>
      <c r="G43" s="318">
        <f t="shared" ref="G43:M43" si="17">$F43*G18</f>
        <v>38492334.494968466</v>
      </c>
      <c r="H43" s="318">
        <f t="shared" si="17"/>
        <v>13298598.247138377</v>
      </c>
      <c r="I43" s="318">
        <f t="shared" si="17"/>
        <v>3289711.0160842938</v>
      </c>
      <c r="J43" s="318">
        <f t="shared" si="17"/>
        <v>1019238.1845742876</v>
      </c>
      <c r="K43" s="318">
        <f t="shared" si="17"/>
        <v>332783.28973595047</v>
      </c>
      <c r="L43" s="318">
        <f t="shared" si="17"/>
        <v>1027121.6711576551</v>
      </c>
      <c r="M43" s="327">
        <f t="shared" si="17"/>
        <v>0</v>
      </c>
    </row>
    <row r="44" spans="2:13" x14ac:dyDescent="0.2">
      <c r="B44" s="275">
        <f t="shared" si="15"/>
        <v>35</v>
      </c>
      <c r="D44" s="285" t="s">
        <v>209</v>
      </c>
      <c r="E44" s="313"/>
      <c r="F44" s="326">
        <f>I38</f>
        <v>40742758.598488629</v>
      </c>
      <c r="G44" s="318">
        <f t="shared" ref="G44:M44" si="18">$F44*G21</f>
        <v>29122602.953351449</v>
      </c>
      <c r="H44" s="318">
        <f t="shared" si="18"/>
        <v>9488565.6957048066</v>
      </c>
      <c r="I44" s="318">
        <f t="shared" si="18"/>
        <v>2083107.8938874486</v>
      </c>
      <c r="J44" s="318">
        <f t="shared" si="18"/>
        <v>34532.839599489031</v>
      </c>
      <c r="K44" s="318">
        <f t="shared" si="18"/>
        <v>13949.215945443819</v>
      </c>
      <c r="L44" s="318">
        <f t="shared" si="18"/>
        <v>0</v>
      </c>
      <c r="M44" s="327">
        <f t="shared" si="18"/>
        <v>0</v>
      </c>
    </row>
    <row r="45" spans="2:13" x14ac:dyDescent="0.2">
      <c r="B45" s="275">
        <f t="shared" si="15"/>
        <v>36</v>
      </c>
      <c r="D45" s="285" t="s">
        <v>210</v>
      </c>
      <c r="E45" s="313"/>
      <c r="F45" s="326">
        <f>J38</f>
        <v>1546781.3802314999</v>
      </c>
      <c r="G45" s="318">
        <f t="shared" ref="G45:L45" si="19">$F45*G9</f>
        <v>841822.64289750368</v>
      </c>
      <c r="H45" s="318">
        <f t="shared" si="19"/>
        <v>301293.05630126386</v>
      </c>
      <c r="I45" s="318">
        <f t="shared" si="19"/>
        <v>111203.26450708862</v>
      </c>
      <c r="J45" s="318">
        <f t="shared" si="19"/>
        <v>120514.75778087057</v>
      </c>
      <c r="K45" s="318">
        <f t="shared" si="19"/>
        <v>10158.164990232905</v>
      </c>
      <c r="L45" s="318">
        <f t="shared" si="19"/>
        <v>161789.49375454005</v>
      </c>
      <c r="M45" s="327">
        <f>$F45*M9</f>
        <v>0</v>
      </c>
    </row>
    <row r="46" spans="2:13" x14ac:dyDescent="0.2">
      <c r="B46" s="275">
        <f t="shared" si="15"/>
        <v>37</v>
      </c>
      <c r="D46" s="285"/>
      <c r="E46" s="313"/>
      <c r="F46" s="326"/>
      <c r="G46" s="318"/>
      <c r="H46" s="318"/>
      <c r="I46" s="318"/>
      <c r="J46" s="318"/>
      <c r="K46" s="318"/>
      <c r="L46" s="318"/>
      <c r="M46" s="327"/>
    </row>
    <row r="47" spans="2:13" x14ac:dyDescent="0.2">
      <c r="B47" s="275">
        <f t="shared" si="15"/>
        <v>38</v>
      </c>
      <c r="D47" s="328" t="s">
        <v>10</v>
      </c>
      <c r="E47" s="329"/>
      <c r="F47" s="330">
        <f>SUM(F42:F45)</f>
        <v>133136062.67660853</v>
      </c>
      <c r="G47" s="331">
        <f t="shared" ref="G47:M47" si="20">SUM(G42:G45)</f>
        <v>90204373.254979447</v>
      </c>
      <c r="H47" s="331">
        <f t="shared" si="20"/>
        <v>30870755.384690937</v>
      </c>
      <c r="I47" s="331">
        <f t="shared" si="20"/>
        <v>7673968.71939875</v>
      </c>
      <c r="J47" s="331">
        <f t="shared" si="20"/>
        <v>1874619.685468962</v>
      </c>
      <c r="K47" s="331">
        <f t="shared" si="20"/>
        <v>559119.41361079377</v>
      </c>
      <c r="L47" s="331">
        <f t="shared" si="20"/>
        <v>1953226.2184596607</v>
      </c>
      <c r="M47" s="332">
        <f t="shared" si="20"/>
        <v>0</v>
      </c>
    </row>
    <row r="48" spans="2:13" x14ac:dyDescent="0.2">
      <c r="D48" s="333"/>
      <c r="E48" s="313"/>
      <c r="F48" s="294"/>
      <c r="G48" s="294"/>
      <c r="H48" s="294"/>
      <c r="I48" s="294"/>
      <c r="J48" s="294"/>
      <c r="K48" s="294"/>
      <c r="L48" s="294"/>
      <c r="M48" s="334"/>
    </row>
    <row r="49" spans="2:13" x14ac:dyDescent="0.2">
      <c r="B49" s="275">
        <f>B47+1</f>
        <v>39</v>
      </c>
      <c r="D49" s="328" t="s">
        <v>202</v>
      </c>
      <c r="E49" s="329"/>
      <c r="F49" s="335">
        <f>SUM(G49:M49)</f>
        <v>953115343.37899733</v>
      </c>
      <c r="G49" s="335">
        <f>G11</f>
        <v>620844874.32387149</v>
      </c>
      <c r="H49" s="335">
        <f t="shared" ref="H49:M49" si="21">H11</f>
        <v>222166912.14539161</v>
      </c>
      <c r="I49" s="335">
        <f t="shared" si="21"/>
        <v>62517991.156948172</v>
      </c>
      <c r="J49" s="335">
        <f t="shared" si="21"/>
        <v>19992939.502740223</v>
      </c>
      <c r="K49" s="335">
        <f t="shared" si="21"/>
        <v>5773170.4876905456</v>
      </c>
      <c r="L49" s="335">
        <f t="shared" si="21"/>
        <v>21819455.762355208</v>
      </c>
      <c r="M49" s="336">
        <f t="shared" si="21"/>
        <v>0</v>
      </c>
    </row>
    <row r="50" spans="2:13" x14ac:dyDescent="0.2">
      <c r="D50" s="313"/>
      <c r="E50" s="313"/>
      <c r="F50" s="294"/>
      <c r="G50" s="294"/>
      <c r="H50" s="294"/>
      <c r="I50" s="294"/>
      <c r="J50" s="294"/>
      <c r="K50" s="294"/>
      <c r="L50" s="294"/>
      <c r="M50" s="334"/>
    </row>
    <row r="51" spans="2:13" x14ac:dyDescent="0.2">
      <c r="B51" s="275">
        <f>B49+1</f>
        <v>40</v>
      </c>
      <c r="D51" s="315" t="s">
        <v>223</v>
      </c>
      <c r="E51" s="313"/>
      <c r="F51" s="294"/>
      <c r="G51" s="294"/>
      <c r="H51" s="294"/>
      <c r="I51" s="294"/>
      <c r="J51" s="294"/>
      <c r="K51" s="294"/>
      <c r="L51" s="294"/>
      <c r="M51" s="334"/>
    </row>
    <row r="52" spans="2:13" x14ac:dyDescent="0.2">
      <c r="B52" s="275">
        <f>B51+1</f>
        <v>41</v>
      </c>
      <c r="D52" s="337" t="s">
        <v>224</v>
      </c>
      <c r="E52" s="333"/>
      <c r="F52" s="338"/>
      <c r="G52" s="339">
        <f>ROUND(SUM(G42:G44)/G49,5)</f>
        <v>0.14394000000000001</v>
      </c>
      <c r="H52" s="339">
        <f>ROUND(SUM(H42:H44)/H49,5)</f>
        <v>0.1376</v>
      </c>
      <c r="I52" s="339">
        <f t="shared" ref="I52:J52" si="22">ROUND(SUM(I42:I44)/I49,5)</f>
        <v>0.12096999999999999</v>
      </c>
      <c r="J52" s="339">
        <f t="shared" si="22"/>
        <v>8.7739999999999999E-2</v>
      </c>
      <c r="K52" s="339">
        <f>ROUND(SUM(K42:K44)/K49,5)</f>
        <v>9.5089999999999994E-2</v>
      </c>
      <c r="L52" s="339">
        <f>ROUND(SUM(L42:L44)/L49,5)</f>
        <v>8.2100000000000006E-2</v>
      </c>
      <c r="M52" s="340"/>
    </row>
    <row r="53" spans="2:13" x14ac:dyDescent="0.2">
      <c r="B53" s="275">
        <f t="shared" ref="B53:B54" si="23">B52+1</f>
        <v>42</v>
      </c>
      <c r="D53" s="285" t="s">
        <v>225</v>
      </c>
      <c r="E53" s="313"/>
      <c r="F53" s="341"/>
      <c r="G53" s="342">
        <f>ROUND($F$45/$F$8,5)</f>
        <v>1.3600000000000001E-3</v>
      </c>
      <c r="H53" s="342">
        <f t="shared" ref="H53:L53" si="24">ROUND($F$45/$F$8,5)</f>
        <v>1.3600000000000001E-3</v>
      </c>
      <c r="I53" s="342">
        <f t="shared" si="24"/>
        <v>1.3600000000000001E-3</v>
      </c>
      <c r="J53" s="342">
        <f t="shared" si="24"/>
        <v>1.3600000000000001E-3</v>
      </c>
      <c r="K53" s="342">
        <f t="shared" si="24"/>
        <v>1.3600000000000001E-3</v>
      </c>
      <c r="L53" s="342">
        <f t="shared" si="24"/>
        <v>1.3600000000000001E-3</v>
      </c>
      <c r="M53" s="343"/>
    </row>
    <row r="54" spans="2:13" x14ac:dyDescent="0.2">
      <c r="B54" s="275">
        <f t="shared" si="23"/>
        <v>43</v>
      </c>
      <c r="D54" s="328" t="s">
        <v>10</v>
      </c>
      <c r="E54" s="329"/>
      <c r="F54" s="344"/>
      <c r="G54" s="345">
        <f>SUM(G52:G53)</f>
        <v>0.14530000000000001</v>
      </c>
      <c r="H54" s="345">
        <f t="shared" ref="H54:M54" si="25">SUM(H52:H53)</f>
        <v>0.13896</v>
      </c>
      <c r="I54" s="345">
        <f t="shared" si="25"/>
        <v>0.12232999999999999</v>
      </c>
      <c r="J54" s="345">
        <f t="shared" si="25"/>
        <v>8.9099999999999999E-2</v>
      </c>
      <c r="K54" s="345">
        <f t="shared" si="25"/>
        <v>9.6449999999999994E-2</v>
      </c>
      <c r="L54" s="345">
        <f t="shared" si="25"/>
        <v>8.3460000000000006E-2</v>
      </c>
      <c r="M54" s="346">
        <f t="shared" si="25"/>
        <v>0</v>
      </c>
    </row>
    <row r="55" spans="2:13" x14ac:dyDescent="0.2">
      <c r="D55" s="313"/>
      <c r="E55" s="313"/>
      <c r="F55" s="302"/>
      <c r="G55" s="302"/>
      <c r="H55" s="302"/>
      <c r="I55" s="302"/>
      <c r="J55" s="302"/>
      <c r="K55" s="302"/>
      <c r="L55" s="302"/>
    </row>
    <row r="56" spans="2:13" x14ac:dyDescent="0.2">
      <c r="D56" s="302" t="s">
        <v>258</v>
      </c>
      <c r="E56" s="313"/>
      <c r="F56" s="302"/>
      <c r="G56" s="302"/>
      <c r="H56" s="302"/>
      <c r="I56" s="302"/>
      <c r="J56" s="302"/>
      <c r="K56" s="302"/>
      <c r="L56" s="302"/>
    </row>
    <row r="57" spans="2:13" x14ac:dyDescent="0.2">
      <c r="D57" s="11"/>
      <c r="E57" s="313"/>
      <c r="F57" s="302"/>
      <c r="G57" s="302"/>
      <c r="H57" s="302"/>
      <c r="I57" s="302"/>
      <c r="J57" s="302"/>
      <c r="K57" s="302"/>
      <c r="L57" s="302"/>
    </row>
    <row r="58" spans="2:13" x14ac:dyDescent="0.2">
      <c r="D58" s="313"/>
      <c r="E58" s="313"/>
      <c r="F58" s="302"/>
      <c r="G58" s="302"/>
      <c r="H58" s="302"/>
      <c r="I58" s="302"/>
      <c r="J58" s="302"/>
      <c r="K58" s="302"/>
      <c r="L58" s="302"/>
    </row>
    <row r="59" spans="2:13" x14ac:dyDescent="0.2">
      <c r="D59" s="313"/>
      <c r="E59" s="313"/>
      <c r="F59" s="302"/>
      <c r="G59" s="302"/>
      <c r="H59" s="302"/>
      <c r="I59" s="302"/>
      <c r="J59" s="302"/>
      <c r="K59" s="302"/>
      <c r="L59" s="302"/>
    </row>
    <row r="60" spans="2:13" x14ac:dyDescent="0.2">
      <c r="D60" s="347"/>
      <c r="E60" s="347"/>
    </row>
    <row r="61" spans="2:13" x14ac:dyDescent="0.2">
      <c r="D61" s="347"/>
      <c r="E61" s="347"/>
    </row>
    <row r="62" spans="2:13" x14ac:dyDescent="0.2">
      <c r="D62" s="347"/>
      <c r="E62" s="347"/>
    </row>
    <row r="63" spans="2:13" x14ac:dyDescent="0.2">
      <c r="D63" s="347"/>
      <c r="E63" s="347"/>
    </row>
  </sheetData>
  <printOptions horizontalCentered="1"/>
  <pageMargins left="0.5" right="0.5" top="0.75" bottom="0.75" header="0.5" footer="0.3"/>
  <pageSetup scale="73" orientation="landscape" r:id="rId1"/>
  <headerFooter>
    <oddHeader xml:space="preserve">&amp;R
</oddHeader>
    <oddFooter>&amp;L&amp;F
&amp;A&amp;RPage &amp;P of &amp;N</oddFooter>
  </headerFooter>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26"/>
  <sheetViews>
    <sheetView zoomScaleNormal="100" workbookViewId="0">
      <selection activeCell="R25" sqref="R25"/>
    </sheetView>
  </sheetViews>
  <sheetFormatPr defaultColWidth="9.140625" defaultRowHeight="11.25" x14ac:dyDescent="0.2"/>
  <cols>
    <col min="1" max="1" width="25.42578125" style="24" customWidth="1"/>
    <col min="2" max="2" width="12.85546875" style="24" customWidth="1"/>
    <col min="3" max="3" width="13.85546875" style="24" customWidth="1"/>
    <col min="4" max="16384" width="9.140625" style="24"/>
  </cols>
  <sheetData>
    <row r="1" spans="1:10" x14ac:dyDescent="0.2">
      <c r="A1" s="348" t="str">
        <f>'Summary Rates'!$A$1</f>
        <v>Puget Sound Energy</v>
      </c>
      <c r="B1" s="348"/>
      <c r="C1" s="348"/>
      <c r="D1" s="348"/>
      <c r="E1" s="348"/>
      <c r="F1" s="348"/>
      <c r="G1" s="348"/>
      <c r="H1" s="348"/>
      <c r="I1" s="348"/>
      <c r="J1" s="348"/>
    </row>
    <row r="2" spans="1:10" ht="12.95" customHeight="1" x14ac:dyDescent="0.2">
      <c r="A2" s="348" t="str">
        <f>'Summary Rates'!$A$2</f>
        <v xml:space="preserve">2024 Gas Schedule 106 PGA Deferral Amortization Tracker Filing </v>
      </c>
      <c r="B2" s="348"/>
      <c r="C2" s="348"/>
      <c r="D2" s="348"/>
      <c r="E2" s="348"/>
      <c r="F2" s="348"/>
      <c r="G2" s="348"/>
      <c r="H2" s="348"/>
      <c r="I2" s="348"/>
      <c r="J2" s="348"/>
    </row>
    <row r="3" spans="1:10" ht="12.95" customHeight="1" x14ac:dyDescent="0.2">
      <c r="A3" s="659" t="s">
        <v>226</v>
      </c>
      <c r="B3" s="659"/>
      <c r="C3" s="659"/>
      <c r="D3" s="659"/>
      <c r="E3" s="659"/>
      <c r="F3" s="659"/>
      <c r="G3" s="659"/>
      <c r="H3" s="659"/>
      <c r="I3" s="659"/>
      <c r="J3" s="659"/>
    </row>
    <row r="4" spans="1:10" x14ac:dyDescent="0.2">
      <c r="A4" s="659"/>
      <c r="B4" s="659"/>
      <c r="C4" s="659"/>
      <c r="D4" s="659"/>
      <c r="E4" s="659"/>
      <c r="F4" s="659"/>
      <c r="G4" s="659"/>
      <c r="H4" s="659"/>
      <c r="I4" s="659"/>
      <c r="J4" s="659"/>
    </row>
    <row r="6" spans="1:10" x14ac:dyDescent="0.2">
      <c r="A6" s="349" t="s">
        <v>227</v>
      </c>
      <c r="B6" s="350" t="s">
        <v>228</v>
      </c>
      <c r="C6" s="351" t="s">
        <v>229</v>
      </c>
    </row>
    <row r="7" spans="1:10" x14ac:dyDescent="0.2">
      <c r="A7" s="352"/>
      <c r="B7" s="353"/>
      <c r="C7" s="354"/>
    </row>
    <row r="8" spans="1:10" x14ac:dyDescent="0.2">
      <c r="A8" s="368" t="s">
        <v>261</v>
      </c>
      <c r="B8" s="369">
        <v>8.5000000000000006E-2</v>
      </c>
      <c r="C8" s="356">
        <f>B8/12</f>
        <v>7.0833333333333338E-3</v>
      </c>
      <c r="D8" s="103"/>
      <c r="E8" s="103"/>
      <c r="F8" s="103"/>
    </row>
    <row r="9" spans="1:10" x14ac:dyDescent="0.2">
      <c r="A9" s="357"/>
      <c r="B9" s="358"/>
      <c r="C9" s="359"/>
    </row>
    <row r="12" spans="1:10" x14ac:dyDescent="0.2">
      <c r="A12" s="24" t="s">
        <v>230</v>
      </c>
    </row>
    <row r="13" spans="1:10" x14ac:dyDescent="0.2">
      <c r="A13" s="103" t="s">
        <v>231</v>
      </c>
    </row>
    <row r="26" spans="1:1" x14ac:dyDescent="0.2">
      <c r="A26" s="355"/>
    </row>
  </sheetData>
  <mergeCells count="2">
    <mergeCell ref="A3:J3"/>
    <mergeCell ref="A4:J4"/>
  </mergeCells>
  <pageMargins left="0.7" right="0.7" top="0.75" bottom="0.75" header="0.3" footer="0.3"/>
  <pageSetup scale="75" orientation="landscape" horizontalDpi="90" verticalDpi="90" r:id="rId1"/>
  <headerFooter>
    <oddFooter>&amp;L&amp;F
&amp;A&amp;RPage &amp;P of &amp;N</oddFooter>
  </headerFooter>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I28"/>
  <sheetViews>
    <sheetView zoomScaleNormal="100" workbookViewId="0">
      <selection activeCell="J29" sqref="J29"/>
    </sheetView>
  </sheetViews>
  <sheetFormatPr defaultColWidth="9.140625" defaultRowHeight="11.25" x14ac:dyDescent="0.2"/>
  <cols>
    <col min="1" max="1" width="5.85546875" style="8" customWidth="1"/>
    <col min="2" max="2" width="64.7109375" style="8" customWidth="1"/>
    <col min="3" max="3" width="3.42578125" style="8" customWidth="1"/>
    <col min="4" max="4" width="9.140625" style="8" customWidth="1"/>
    <col min="5" max="5" width="12.140625" style="8" customWidth="1"/>
    <col min="6" max="8" width="9.140625" style="8"/>
    <col min="9" max="9" width="8.85546875" style="8" bestFit="1" customWidth="1"/>
    <col min="10" max="16384" width="9.140625" style="8"/>
  </cols>
  <sheetData>
    <row r="2" spans="1:9" ht="15" customHeight="1" x14ac:dyDescent="0.2">
      <c r="B2" s="662" t="s">
        <v>402</v>
      </c>
      <c r="C2" s="662"/>
      <c r="D2" s="662"/>
      <c r="E2" s="662"/>
    </row>
    <row r="3" spans="1:9" ht="12.75" customHeight="1" x14ac:dyDescent="0.2">
      <c r="B3" s="662" t="s">
        <v>403</v>
      </c>
      <c r="C3" s="662"/>
      <c r="D3" s="662"/>
      <c r="E3" s="662"/>
    </row>
    <row r="4" spans="1:9" ht="12.75" customHeight="1" x14ac:dyDescent="0.2">
      <c r="B4" s="662" t="s">
        <v>242</v>
      </c>
      <c r="C4" s="662"/>
      <c r="D4" s="662"/>
      <c r="E4" s="662"/>
      <c r="F4" s="7"/>
      <c r="G4" s="7"/>
      <c r="H4" s="7"/>
      <c r="I4" s="7"/>
    </row>
    <row r="5" spans="1:9" ht="12.75" customHeight="1" x14ac:dyDescent="0.2">
      <c r="A5" s="21"/>
      <c r="B5" s="662" t="s">
        <v>399</v>
      </c>
      <c r="C5" s="662"/>
      <c r="D5" s="662"/>
      <c r="E5" s="662"/>
      <c r="F5" s="7"/>
      <c r="G5" s="7"/>
      <c r="H5" s="7"/>
      <c r="I5" s="7"/>
    </row>
    <row r="6" spans="1:9" ht="12.75" customHeight="1" x14ac:dyDescent="0.2">
      <c r="A6" s="20"/>
      <c r="B6" s="662" t="s">
        <v>400</v>
      </c>
      <c r="C6" s="662"/>
      <c r="D6" s="662"/>
      <c r="E6" s="662"/>
      <c r="F6" s="7"/>
      <c r="G6" s="7"/>
      <c r="H6" s="7"/>
      <c r="I6" s="7"/>
    </row>
    <row r="7" spans="1:9" ht="12.75" customHeight="1" x14ac:dyDescent="0.2">
      <c r="A7" s="20"/>
      <c r="B7" s="661" t="s">
        <v>401</v>
      </c>
      <c r="C7" s="661"/>
      <c r="D7" s="661"/>
      <c r="E7" s="661"/>
      <c r="F7" s="7"/>
      <c r="G7" s="7"/>
      <c r="H7" s="7"/>
      <c r="I7" s="7"/>
    </row>
    <row r="8" spans="1:9" x14ac:dyDescent="0.2">
      <c r="A8" s="360"/>
      <c r="B8" s="360"/>
      <c r="C8" s="360"/>
      <c r="D8" s="360"/>
      <c r="E8" s="360"/>
      <c r="F8" s="7"/>
      <c r="G8" s="7"/>
      <c r="H8" s="7"/>
      <c r="I8" s="7"/>
    </row>
    <row r="9" spans="1:9" x14ac:dyDescent="0.2">
      <c r="A9" s="21" t="s">
        <v>232</v>
      </c>
      <c r="B9" s="360"/>
      <c r="C9" s="360"/>
      <c r="D9" s="360"/>
      <c r="E9" s="360"/>
      <c r="F9" s="7"/>
      <c r="G9" s="7"/>
      <c r="H9" s="7"/>
      <c r="I9" s="7"/>
    </row>
    <row r="10" spans="1:9" x14ac:dyDescent="0.2">
      <c r="A10" s="361" t="s">
        <v>233</v>
      </c>
      <c r="B10" s="362" t="s">
        <v>234</v>
      </c>
      <c r="C10" s="363"/>
      <c r="D10" s="363"/>
      <c r="E10" s="364" t="s">
        <v>235</v>
      </c>
      <c r="F10" s="7"/>
      <c r="G10" s="7"/>
      <c r="H10" s="7"/>
      <c r="I10" s="7"/>
    </row>
    <row r="11" spans="1:9" x14ac:dyDescent="0.2">
      <c r="A11" s="7"/>
      <c r="B11" s="7"/>
      <c r="C11" s="7"/>
      <c r="D11" s="7"/>
      <c r="E11" s="9"/>
      <c r="F11" s="7"/>
      <c r="G11" s="7"/>
      <c r="H11" s="7"/>
      <c r="I11" s="7"/>
    </row>
    <row r="12" spans="1:9" x14ac:dyDescent="0.2">
      <c r="A12" s="9">
        <v>1</v>
      </c>
      <c r="B12" s="10" t="s">
        <v>236</v>
      </c>
      <c r="C12" s="7"/>
      <c r="D12" s="7"/>
      <c r="E12" s="390">
        <v>4.1980000000000003E-3</v>
      </c>
      <c r="F12" s="7"/>
      <c r="G12" s="7"/>
      <c r="H12" s="7"/>
      <c r="I12" s="7"/>
    </row>
    <row r="13" spans="1:9" x14ac:dyDescent="0.2">
      <c r="A13" s="9">
        <v>2</v>
      </c>
      <c r="B13" s="402" t="s">
        <v>237</v>
      </c>
      <c r="C13" s="564"/>
      <c r="D13" s="564"/>
      <c r="E13" s="390">
        <v>5.0000000000000001E-3</v>
      </c>
      <c r="F13" s="387"/>
      <c r="G13" s="7"/>
      <c r="H13" s="7"/>
      <c r="I13" s="7"/>
    </row>
    <row r="14" spans="1:9" x14ac:dyDescent="0.2">
      <c r="A14" s="9">
        <v>3</v>
      </c>
      <c r="B14" s="10" t="str">
        <f>"STATE UTILITY TAX - NET OF BAD DEBTS ( "&amp;D14*100&amp;"% - ( LINE 1 * "&amp;D14*100&amp;"%) )"</f>
        <v>STATE UTILITY TAX - NET OF BAD DEBTS ( 3.852% - ( LINE 1 * 3.852%) )</v>
      </c>
      <c r="C14" s="7"/>
      <c r="D14" s="388">
        <v>3.8519999999999999E-2</v>
      </c>
      <c r="E14" s="3">
        <v>3.8358000000000003E-2</v>
      </c>
      <c r="F14" s="7"/>
      <c r="G14" s="7"/>
      <c r="H14" s="7"/>
      <c r="I14" s="7"/>
    </row>
    <row r="15" spans="1:9" x14ac:dyDescent="0.2">
      <c r="A15" s="9">
        <v>4</v>
      </c>
      <c r="B15" s="10"/>
      <c r="C15" s="7"/>
      <c r="D15" s="7"/>
      <c r="E15" s="4"/>
      <c r="F15" s="7"/>
      <c r="G15" s="7"/>
      <c r="H15" s="7"/>
      <c r="I15" s="7"/>
    </row>
    <row r="16" spans="1:9" x14ac:dyDescent="0.2">
      <c r="A16" s="9">
        <v>5</v>
      </c>
      <c r="B16" s="10" t="s">
        <v>238</v>
      </c>
      <c r="C16" s="7"/>
      <c r="D16" s="7"/>
      <c r="E16" s="5">
        <f>ROUND(SUM(E12:E14),6)</f>
        <v>4.7556000000000001E-2</v>
      </c>
      <c r="F16" s="7"/>
      <c r="G16" s="7"/>
      <c r="H16" s="7"/>
      <c r="I16" s="7"/>
    </row>
    <row r="17" spans="1:9" x14ac:dyDescent="0.2">
      <c r="A17" s="9">
        <v>6</v>
      </c>
      <c r="B17" s="7"/>
      <c r="C17" s="7"/>
      <c r="D17" s="7"/>
      <c r="E17" s="5"/>
      <c r="F17" s="7"/>
      <c r="G17" s="7"/>
      <c r="H17" s="7"/>
      <c r="I17" s="7"/>
    </row>
    <row r="18" spans="1:9" x14ac:dyDescent="0.2">
      <c r="A18" s="9">
        <v>7</v>
      </c>
      <c r="B18" s="7" t="s">
        <v>239</v>
      </c>
      <c r="C18" s="7"/>
      <c r="D18" s="7"/>
      <c r="E18" s="5">
        <f>ROUND(1-E16,6)</f>
        <v>0.95244399999999996</v>
      </c>
      <c r="F18" s="7"/>
      <c r="G18" s="7"/>
      <c r="H18" s="5"/>
      <c r="I18" s="7"/>
    </row>
    <row r="19" spans="1:9" x14ac:dyDescent="0.2">
      <c r="A19" s="9">
        <v>8</v>
      </c>
      <c r="B19" s="10" t="s">
        <v>240</v>
      </c>
      <c r="C19" s="7"/>
      <c r="D19" s="389">
        <v>0.21</v>
      </c>
      <c r="E19" s="5">
        <f>ROUND((E18)*D19,6)</f>
        <v>0.200013</v>
      </c>
      <c r="F19" s="7"/>
      <c r="G19" s="7"/>
      <c r="H19" s="7"/>
      <c r="I19" s="7"/>
    </row>
    <row r="20" spans="1:9" x14ac:dyDescent="0.2">
      <c r="A20" s="9">
        <v>9</v>
      </c>
      <c r="B20" s="10" t="s">
        <v>241</v>
      </c>
      <c r="C20" s="7"/>
      <c r="D20" s="7"/>
      <c r="E20" s="6">
        <f>ROUND(1-E19-E16,6)</f>
        <v>0.75243099999999996</v>
      </c>
      <c r="F20" s="7"/>
      <c r="G20" s="7"/>
      <c r="H20" s="7"/>
      <c r="I20" s="7"/>
    </row>
    <row r="21" spans="1:9" x14ac:dyDescent="0.2">
      <c r="A21" s="7"/>
      <c r="B21" s="7"/>
      <c r="C21" s="7"/>
      <c r="D21" s="7"/>
      <c r="E21" s="9"/>
      <c r="F21" s="7"/>
      <c r="G21" s="7"/>
      <c r="H21" s="7"/>
      <c r="I21" s="7"/>
    </row>
    <row r="22" spans="1:9" x14ac:dyDescent="0.2">
      <c r="F22" s="7"/>
      <c r="G22" s="7"/>
      <c r="H22" s="7"/>
      <c r="I22" s="7"/>
    </row>
    <row r="23" spans="1:9" x14ac:dyDescent="0.2">
      <c r="A23" s="365" t="s">
        <v>259</v>
      </c>
      <c r="F23" s="7"/>
      <c r="G23" s="7"/>
      <c r="H23" s="7"/>
      <c r="I23" s="7"/>
    </row>
    <row r="24" spans="1:9" x14ac:dyDescent="0.2">
      <c r="E24" s="366"/>
      <c r="F24" s="7"/>
      <c r="G24" s="7"/>
      <c r="H24" s="7"/>
      <c r="I24" s="7"/>
    </row>
    <row r="25" spans="1:9" ht="12" thickBot="1" x14ac:dyDescent="0.25">
      <c r="B25" s="8" t="s">
        <v>49</v>
      </c>
      <c r="E25" s="2">
        <f>1/E18</f>
        <v>1.0499304946012575</v>
      </c>
      <c r="F25" s="7"/>
      <c r="G25" s="7"/>
      <c r="H25" s="7"/>
      <c r="I25" s="367"/>
    </row>
    <row r="26" spans="1:9" ht="12" thickTop="1" x14ac:dyDescent="0.2">
      <c r="F26" s="7"/>
      <c r="G26" s="7"/>
      <c r="H26" s="7"/>
      <c r="I26" s="7"/>
    </row>
    <row r="28" spans="1:9" x14ac:dyDescent="0.2">
      <c r="B28" s="7"/>
    </row>
  </sheetData>
  <mergeCells count="6">
    <mergeCell ref="B7:E7"/>
    <mergeCell ref="B2:E2"/>
    <mergeCell ref="B3:E3"/>
    <mergeCell ref="B4:E4"/>
    <mergeCell ref="B5:E5"/>
    <mergeCell ref="B6:E6"/>
  </mergeCells>
  <printOptions horizontalCentered="1"/>
  <pageMargins left="0.68" right="0.56000000000000005" top="1" bottom="1" header="0.5" footer="0.5"/>
  <pageSetup scale="96" orientation="portrait" r:id="rId1"/>
  <headerFooter alignWithMargins="0">
    <oddFooter>&amp;L&amp;F
&amp;A&amp;RPage &amp;P of &amp;N</oddFoot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2"/>
  <sheetViews>
    <sheetView tabSelected="1" zoomScaleNormal="100" workbookViewId="0">
      <pane ySplit="7" topLeftCell="A8" activePane="bottomLeft" state="frozen"/>
      <selection activeCell="A2" sqref="A2"/>
      <selection pane="bottomLeft" activeCell="B5" sqref="B5"/>
    </sheetView>
  </sheetViews>
  <sheetFormatPr defaultColWidth="8.7109375" defaultRowHeight="11.25" x14ac:dyDescent="0.2"/>
  <cols>
    <col min="1" max="1" width="5.42578125" style="79" customWidth="1"/>
    <col min="2" max="2" width="50.140625" style="73" customWidth="1"/>
    <col min="3" max="4" width="11.5703125" style="73" customWidth="1"/>
    <col min="5" max="6" width="12" style="73" customWidth="1"/>
    <col min="7" max="9" width="11.5703125" style="73" customWidth="1"/>
    <col min="10" max="16384" width="8.7109375" style="73"/>
  </cols>
  <sheetData>
    <row r="1" spans="1:18" x14ac:dyDescent="0.2">
      <c r="A1" s="71" t="str">
        <f>'Sch. 106 PGA Amort Rates'!$A$1</f>
        <v>Puget Sound Energy</v>
      </c>
      <c r="B1" s="72"/>
      <c r="C1" s="72"/>
      <c r="D1" s="72"/>
      <c r="E1" s="72"/>
      <c r="F1" s="72"/>
      <c r="G1" s="72"/>
      <c r="H1" s="72"/>
      <c r="I1" s="72"/>
    </row>
    <row r="2" spans="1:18" s="24" customFormat="1" x14ac:dyDescent="0.2">
      <c r="A2" s="70" t="s">
        <v>404</v>
      </c>
      <c r="B2" s="22"/>
      <c r="C2" s="22"/>
      <c r="D2" s="22"/>
      <c r="E2" s="22"/>
      <c r="F2" s="22"/>
      <c r="G2" s="22"/>
      <c r="H2" s="22"/>
      <c r="I2" s="22"/>
    </row>
    <row r="3" spans="1:18" s="24" customFormat="1" x14ac:dyDescent="0.2">
      <c r="A3" s="70" t="s">
        <v>407</v>
      </c>
      <c r="B3" s="22"/>
      <c r="C3" s="22"/>
      <c r="D3" s="22"/>
      <c r="E3" s="22"/>
      <c r="F3" s="22"/>
      <c r="G3" s="22"/>
      <c r="H3" s="22"/>
      <c r="I3" s="22"/>
      <c r="J3" s="103"/>
      <c r="K3" s="103"/>
      <c r="L3" s="103"/>
    </row>
    <row r="4" spans="1:18" s="24" customFormat="1" x14ac:dyDescent="0.2">
      <c r="A4" s="70" t="str">
        <f>'Sch. 106 PGA Amort Rates'!$A$4</f>
        <v>Proposed Rates Effective November 1, 2024</v>
      </c>
      <c r="B4" s="22"/>
      <c r="C4" s="22"/>
      <c r="D4" s="22"/>
      <c r="E4" s="22"/>
      <c r="F4" s="22"/>
      <c r="G4" s="22"/>
      <c r="H4" s="22"/>
      <c r="I4" s="22"/>
    </row>
    <row r="5" spans="1:18" s="24" customFormat="1" x14ac:dyDescent="0.2">
      <c r="A5" s="74"/>
      <c r="B5" s="74"/>
      <c r="C5" s="74"/>
    </row>
    <row r="6" spans="1:18" s="23" customFormat="1" x14ac:dyDescent="0.2">
      <c r="A6" s="26" t="s">
        <v>3</v>
      </c>
      <c r="C6" s="75" t="s">
        <v>4</v>
      </c>
      <c r="D6" s="76"/>
      <c r="E6" s="75" t="s">
        <v>5</v>
      </c>
      <c r="F6" s="76"/>
      <c r="G6" s="75" t="s">
        <v>6</v>
      </c>
      <c r="H6" s="77"/>
      <c r="I6" s="76"/>
    </row>
    <row r="7" spans="1:18" s="23" customFormat="1" x14ac:dyDescent="0.2">
      <c r="A7" s="32" t="s">
        <v>7</v>
      </c>
      <c r="B7" s="33" t="s">
        <v>8</v>
      </c>
      <c r="C7" s="38">
        <v>23</v>
      </c>
      <c r="D7" s="37">
        <v>16</v>
      </c>
      <c r="E7" s="36">
        <v>31</v>
      </c>
      <c r="F7" s="36">
        <v>41</v>
      </c>
      <c r="G7" s="38">
        <v>85</v>
      </c>
      <c r="H7" s="36">
        <v>86</v>
      </c>
      <c r="I7" s="37">
        <v>87</v>
      </c>
    </row>
    <row r="8" spans="1:18" s="23" customFormat="1" x14ac:dyDescent="0.2">
      <c r="A8" s="26"/>
      <c r="B8" s="39" t="s">
        <v>11</v>
      </c>
      <c r="C8" s="40" t="s">
        <v>12</v>
      </c>
      <c r="D8" s="40" t="s">
        <v>13</v>
      </c>
      <c r="E8" s="39" t="s">
        <v>14</v>
      </c>
      <c r="F8" s="40" t="s">
        <v>15</v>
      </c>
      <c r="G8" s="40" t="s">
        <v>16</v>
      </c>
      <c r="H8" s="39" t="s">
        <v>17</v>
      </c>
      <c r="I8" s="40" t="s">
        <v>18</v>
      </c>
      <c r="J8" s="40"/>
      <c r="K8" s="41"/>
    </row>
    <row r="9" spans="1:18" s="23" customFormat="1" x14ac:dyDescent="0.2">
      <c r="B9" s="42" t="s">
        <v>56</v>
      </c>
      <c r="C9" s="78"/>
      <c r="D9" s="78"/>
      <c r="E9" s="78"/>
      <c r="F9" s="78"/>
      <c r="G9" s="78"/>
      <c r="H9" s="78"/>
      <c r="I9" s="78"/>
      <c r="K9" s="392"/>
    </row>
    <row r="10" spans="1:18" s="24" customFormat="1" x14ac:dyDescent="0.2">
      <c r="A10" s="95">
        <v>1</v>
      </c>
      <c r="B10" s="44" t="s">
        <v>57</v>
      </c>
      <c r="C10" s="81">
        <v>-0.16732</v>
      </c>
      <c r="D10" s="81">
        <v>-0.16732</v>
      </c>
      <c r="E10" s="81">
        <v>-0.16730999999999999</v>
      </c>
      <c r="F10" s="81">
        <v>-0.1673</v>
      </c>
      <c r="G10" s="81">
        <v>-0.16728999999999999</v>
      </c>
      <c r="H10" s="81">
        <v>-0.16728999999999999</v>
      </c>
      <c r="I10" s="81">
        <v>-0.16728999999999999</v>
      </c>
      <c r="J10" s="385"/>
      <c r="R10" s="400"/>
    </row>
    <row r="11" spans="1:18" s="24" customFormat="1" x14ac:dyDescent="0.2">
      <c r="A11" s="95">
        <f t="shared" ref="A11:A31" si="0">A10+1</f>
        <v>2</v>
      </c>
      <c r="B11" s="54" t="s">
        <v>58</v>
      </c>
      <c r="C11" s="81"/>
      <c r="D11" s="391">
        <v>-3.18</v>
      </c>
      <c r="E11" s="81"/>
      <c r="F11" s="81"/>
      <c r="G11" s="81"/>
      <c r="H11" s="81"/>
      <c r="I11" s="81"/>
      <c r="J11" s="81"/>
      <c r="R11" s="400"/>
    </row>
    <row r="12" spans="1:18" x14ac:dyDescent="0.2">
      <c r="A12" s="79">
        <f t="shared" si="0"/>
        <v>3</v>
      </c>
      <c r="B12" s="44"/>
      <c r="C12" s="81"/>
      <c r="D12" s="81"/>
      <c r="E12" s="81"/>
      <c r="F12" s="81"/>
      <c r="G12" s="81"/>
      <c r="H12" s="81"/>
      <c r="I12" s="81"/>
      <c r="J12" s="566"/>
      <c r="R12" s="80"/>
    </row>
    <row r="13" spans="1:18" s="24" customFormat="1" x14ac:dyDescent="0.2">
      <c r="A13" s="95">
        <f t="shared" si="0"/>
        <v>4</v>
      </c>
      <c r="B13" s="44" t="s">
        <v>250</v>
      </c>
      <c r="C13" s="81">
        <v>0</v>
      </c>
      <c r="D13" s="81">
        <v>0</v>
      </c>
      <c r="E13" s="81">
        <v>0</v>
      </c>
      <c r="F13" s="81">
        <v>0</v>
      </c>
      <c r="G13" s="81">
        <v>0</v>
      </c>
      <c r="H13" s="81">
        <v>0</v>
      </c>
      <c r="I13" s="81">
        <v>0</v>
      </c>
      <c r="J13" s="385"/>
    </row>
    <row r="14" spans="1:18" s="24" customFormat="1" x14ac:dyDescent="0.2">
      <c r="A14" s="95">
        <f t="shared" si="0"/>
        <v>5</v>
      </c>
      <c r="B14" s="54" t="s">
        <v>58</v>
      </c>
      <c r="C14" s="81"/>
      <c r="D14" s="391">
        <v>0</v>
      </c>
      <c r="E14" s="81"/>
      <c r="F14" s="81"/>
      <c r="G14" s="81"/>
      <c r="H14" s="81"/>
      <c r="I14" s="81"/>
      <c r="J14" s="385"/>
    </row>
    <row r="15" spans="1:18" x14ac:dyDescent="0.2">
      <c r="A15" s="79">
        <f t="shared" si="0"/>
        <v>6</v>
      </c>
      <c r="B15" s="44"/>
      <c r="C15" s="81"/>
      <c r="D15" s="391"/>
      <c r="E15" s="81"/>
      <c r="F15" s="81"/>
      <c r="G15" s="81"/>
      <c r="H15" s="81"/>
      <c r="I15" s="81"/>
      <c r="J15" s="566"/>
    </row>
    <row r="16" spans="1:18" s="24" customFormat="1" x14ac:dyDescent="0.2">
      <c r="A16" s="95">
        <f t="shared" si="0"/>
        <v>7</v>
      </c>
      <c r="B16" s="44" t="s">
        <v>251</v>
      </c>
      <c r="C16" s="81">
        <v>-3.4410000000000003E-2</v>
      </c>
      <c r="D16" s="81">
        <v>-3.4410000000000003E-2</v>
      </c>
      <c r="E16" s="81">
        <v>-3.2890000000000003E-2</v>
      </c>
      <c r="F16" s="81">
        <v>-2.8920000000000001E-2</v>
      </c>
      <c r="G16" s="81">
        <v>-2.0979999999999999E-2</v>
      </c>
      <c r="H16" s="81">
        <v>-2.273E-2</v>
      </c>
      <c r="I16" s="81">
        <v>-1.9619999999999999E-2</v>
      </c>
      <c r="J16" s="385"/>
    </row>
    <row r="17" spans="1:10" s="24" customFormat="1" x14ac:dyDescent="0.2">
      <c r="A17" s="95">
        <f t="shared" si="0"/>
        <v>8</v>
      </c>
      <c r="B17" s="54" t="s">
        <v>58</v>
      </c>
      <c r="C17" s="81"/>
      <c r="D17" s="391">
        <v>-0.65</v>
      </c>
      <c r="E17" s="81"/>
      <c r="F17" s="81"/>
      <c r="G17" s="81"/>
      <c r="H17" s="81"/>
      <c r="I17" s="81"/>
      <c r="J17" s="385"/>
    </row>
    <row r="18" spans="1:10" x14ac:dyDescent="0.2">
      <c r="A18" s="79">
        <f t="shared" si="0"/>
        <v>9</v>
      </c>
      <c r="B18" s="44"/>
      <c r="C18" s="47"/>
      <c r="D18" s="82"/>
      <c r="E18" s="47"/>
      <c r="F18" s="47"/>
      <c r="G18" s="47"/>
      <c r="H18" s="47"/>
      <c r="I18" s="47"/>
    </row>
    <row r="19" spans="1:10" x14ac:dyDescent="0.2">
      <c r="A19" s="79">
        <f t="shared" si="0"/>
        <v>10</v>
      </c>
      <c r="B19" s="44" t="s">
        <v>59</v>
      </c>
      <c r="C19" s="61">
        <f>C10+C13+C16</f>
        <v>-0.20172999999999999</v>
      </c>
      <c r="D19" s="61">
        <f t="shared" ref="D19:I19" si="1">D10+D13+D16</f>
        <v>-0.20172999999999999</v>
      </c>
      <c r="E19" s="61">
        <f t="shared" si="1"/>
        <v>-0.20019999999999999</v>
      </c>
      <c r="F19" s="61">
        <f t="shared" si="1"/>
        <v>-0.19622000000000001</v>
      </c>
      <c r="G19" s="61">
        <f t="shared" si="1"/>
        <v>-0.18826999999999999</v>
      </c>
      <c r="H19" s="61">
        <f t="shared" si="1"/>
        <v>-0.19001999999999999</v>
      </c>
      <c r="I19" s="61">
        <f t="shared" si="1"/>
        <v>-0.18690999999999999</v>
      </c>
    </row>
    <row r="20" spans="1:10" x14ac:dyDescent="0.2">
      <c r="A20" s="79">
        <f t="shared" si="0"/>
        <v>11</v>
      </c>
      <c r="B20" s="54" t="s">
        <v>58</v>
      </c>
      <c r="C20" s="47"/>
      <c r="D20" s="83">
        <f>SUM(D11,D14,D17)</f>
        <v>-3.83</v>
      </c>
      <c r="E20" s="47"/>
      <c r="F20" s="47"/>
      <c r="G20" s="47"/>
      <c r="H20" s="47"/>
      <c r="I20" s="47"/>
    </row>
    <row r="21" spans="1:10" x14ac:dyDescent="0.2">
      <c r="A21" s="79">
        <f t="shared" si="0"/>
        <v>12</v>
      </c>
      <c r="B21" s="54"/>
      <c r="C21" s="47"/>
      <c r="D21" s="83"/>
      <c r="E21" s="47"/>
      <c r="F21" s="47"/>
      <c r="G21" s="47"/>
      <c r="H21" s="47"/>
      <c r="I21" s="47"/>
    </row>
    <row r="22" spans="1:10" x14ac:dyDescent="0.2">
      <c r="A22" s="79">
        <f t="shared" si="0"/>
        <v>13</v>
      </c>
      <c r="B22" s="24"/>
      <c r="C22" s="24"/>
      <c r="D22" s="24"/>
      <c r="E22" s="24"/>
      <c r="F22" s="24"/>
      <c r="G22" s="24"/>
      <c r="H22" s="24"/>
      <c r="I22" s="24"/>
    </row>
    <row r="23" spans="1:10" x14ac:dyDescent="0.2">
      <c r="A23" s="79">
        <f t="shared" si="0"/>
        <v>14</v>
      </c>
      <c r="B23" s="42" t="s">
        <v>60</v>
      </c>
      <c r="C23" s="47"/>
      <c r="D23" s="82"/>
      <c r="E23" s="47"/>
      <c r="F23" s="47"/>
      <c r="G23" s="47"/>
      <c r="H23" s="47"/>
      <c r="I23" s="47"/>
    </row>
    <row r="24" spans="1:10" x14ac:dyDescent="0.2">
      <c r="A24" s="79">
        <f t="shared" si="0"/>
        <v>15</v>
      </c>
      <c r="B24" s="44" t="s">
        <v>61</v>
      </c>
      <c r="C24" s="47">
        <f>'Sch. 106 PGA Amort Rates'!E40</f>
        <v>-5.883E-2</v>
      </c>
      <c r="D24" s="47">
        <f>'Sch. 106 PGA Amort Rates'!F40</f>
        <v>-5.883E-2</v>
      </c>
      <c r="E24" s="47">
        <f>'Sch. 106 PGA Amort Rates'!G40</f>
        <v>-5.8819999999999997E-2</v>
      </c>
      <c r="F24" s="47">
        <f>'Sch. 106 PGA Amort Rates'!H40</f>
        <v>-5.8779999999999999E-2</v>
      </c>
      <c r="G24" s="47">
        <f>'Sch. 106 PGA Amort Rates'!I40</f>
        <v>-5.8689999999999999E-2</v>
      </c>
      <c r="H24" s="47">
        <f>'Sch. 106 PGA Amort Rates'!J40</f>
        <v>-5.8709999999999998E-2</v>
      </c>
      <c r="I24" s="47">
        <f>'Sch. 106 PGA Amort Rates'!K40</f>
        <v>-5.8680000000000003E-2</v>
      </c>
    </row>
    <row r="25" spans="1:10" x14ac:dyDescent="0.2">
      <c r="A25" s="79">
        <f t="shared" si="0"/>
        <v>16</v>
      </c>
      <c r="B25" s="54" t="s">
        <v>62</v>
      </c>
      <c r="C25" s="47"/>
      <c r="D25" s="82">
        <f>'Sch. 106 PGA Amort Rates'!F41</f>
        <v>-1.1200000000000001</v>
      </c>
      <c r="E25" s="47"/>
      <c r="F25" s="47"/>
      <c r="G25" s="47"/>
      <c r="H25" s="47"/>
      <c r="I25" s="47"/>
    </row>
    <row r="26" spans="1:10" x14ac:dyDescent="0.2">
      <c r="A26" s="79">
        <f t="shared" si="0"/>
        <v>17</v>
      </c>
      <c r="B26" s="42"/>
      <c r="C26" s="47"/>
      <c r="D26" s="82"/>
      <c r="E26" s="47"/>
      <c r="F26" s="47"/>
      <c r="G26" s="47"/>
      <c r="H26" s="47"/>
      <c r="I26" s="47"/>
    </row>
    <row r="27" spans="1:10" x14ac:dyDescent="0.2">
      <c r="A27" s="79">
        <f t="shared" si="0"/>
        <v>18</v>
      </c>
      <c r="B27" s="44" t="s">
        <v>256</v>
      </c>
      <c r="C27" s="81">
        <v>0</v>
      </c>
      <c r="D27" s="81">
        <v>0</v>
      </c>
      <c r="E27" s="81">
        <v>0</v>
      </c>
      <c r="F27" s="81">
        <v>0</v>
      </c>
      <c r="G27" s="81">
        <v>0</v>
      </c>
      <c r="H27" s="81">
        <v>0</v>
      </c>
      <c r="I27" s="81">
        <v>0</v>
      </c>
    </row>
    <row r="28" spans="1:10" x14ac:dyDescent="0.2">
      <c r="A28" s="79">
        <f t="shared" si="0"/>
        <v>19</v>
      </c>
      <c r="B28" s="54" t="s">
        <v>62</v>
      </c>
      <c r="C28" s="81"/>
      <c r="D28" s="391">
        <v>0</v>
      </c>
      <c r="E28" s="81"/>
      <c r="F28" s="81"/>
      <c r="G28" s="81"/>
      <c r="H28" s="81"/>
      <c r="I28" s="81"/>
    </row>
    <row r="29" spans="1:10" x14ac:dyDescent="0.2">
      <c r="A29" s="79">
        <f t="shared" si="0"/>
        <v>20</v>
      </c>
      <c r="B29" s="44"/>
      <c r="C29" s="47"/>
      <c r="D29" s="82"/>
      <c r="E29" s="47"/>
      <c r="F29" s="47"/>
      <c r="G29" s="47"/>
      <c r="H29" s="47"/>
      <c r="I29" s="47"/>
    </row>
    <row r="30" spans="1:10" x14ac:dyDescent="0.2">
      <c r="A30" s="79">
        <f t="shared" si="0"/>
        <v>21</v>
      </c>
      <c r="B30" s="84" t="s">
        <v>63</v>
      </c>
      <c r="C30" s="85">
        <f>C24+C27</f>
        <v>-5.883E-2</v>
      </c>
      <c r="D30" s="85">
        <f t="shared" ref="D30:I30" si="2">D24+D27</f>
        <v>-5.883E-2</v>
      </c>
      <c r="E30" s="85">
        <f t="shared" si="2"/>
        <v>-5.8819999999999997E-2</v>
      </c>
      <c r="F30" s="85">
        <f t="shared" si="2"/>
        <v>-5.8779999999999999E-2</v>
      </c>
      <c r="G30" s="85">
        <f t="shared" si="2"/>
        <v>-5.8689999999999999E-2</v>
      </c>
      <c r="H30" s="85">
        <f t="shared" si="2"/>
        <v>-5.8709999999999998E-2</v>
      </c>
      <c r="I30" s="85">
        <f t="shared" si="2"/>
        <v>-5.8680000000000003E-2</v>
      </c>
    </row>
    <row r="31" spans="1:10" x14ac:dyDescent="0.2">
      <c r="A31" s="79">
        <f t="shared" si="0"/>
        <v>22</v>
      </c>
      <c r="B31" s="66" t="s">
        <v>64</v>
      </c>
      <c r="C31" s="86"/>
      <c r="D31" s="87">
        <f>D25+D28</f>
        <v>-1.1200000000000001</v>
      </c>
      <c r="E31" s="86"/>
      <c r="F31" s="86"/>
      <c r="G31" s="86"/>
      <c r="H31" s="86"/>
      <c r="I31" s="86"/>
    </row>
    <row r="33" spans="1:11" x14ac:dyDescent="0.2">
      <c r="B33" s="88"/>
      <c r="C33" s="89"/>
      <c r="D33" s="89"/>
      <c r="E33" s="89"/>
      <c r="F33" s="89"/>
      <c r="G33" s="89"/>
      <c r="H33" s="89"/>
      <c r="I33" s="89"/>
    </row>
    <row r="34" spans="1:11" ht="12.6" customHeight="1" x14ac:dyDescent="0.2">
      <c r="A34" s="44" t="s">
        <v>54</v>
      </c>
      <c r="B34" s="396"/>
      <c r="C34" s="397"/>
      <c r="D34" s="398"/>
      <c r="E34" s="397"/>
      <c r="F34" s="397"/>
      <c r="G34" s="397"/>
      <c r="H34" s="397"/>
      <c r="I34" s="397"/>
    </row>
    <row r="35" spans="1:11" ht="14.25" customHeight="1" x14ac:dyDescent="0.2">
      <c r="A35" s="399" t="s">
        <v>55</v>
      </c>
      <c r="B35" s="44" t="s">
        <v>408</v>
      </c>
      <c r="C35" s="44"/>
      <c r="D35" s="44"/>
      <c r="E35" s="44"/>
      <c r="F35" s="44"/>
      <c r="G35" s="44"/>
      <c r="H35" s="44"/>
      <c r="I35" s="44"/>
      <c r="J35" s="24"/>
      <c r="K35" s="24"/>
    </row>
    <row r="36" spans="1:11" ht="14.45" customHeight="1" x14ac:dyDescent="0.2">
      <c r="A36" s="399" t="s">
        <v>65</v>
      </c>
      <c r="B36" s="44" t="s">
        <v>409</v>
      </c>
      <c r="C36" s="44"/>
      <c r="D36" s="44"/>
      <c r="E36" s="44"/>
      <c r="F36" s="44"/>
      <c r="G36" s="44"/>
      <c r="H36" s="44"/>
      <c r="I36" s="44"/>
      <c r="J36" s="24"/>
      <c r="K36" s="24"/>
    </row>
    <row r="37" spans="1:11" ht="14.45" customHeight="1" x14ac:dyDescent="0.2">
      <c r="A37" s="69"/>
      <c r="B37" s="24"/>
      <c r="C37" s="24"/>
      <c r="D37" s="24"/>
      <c r="E37" s="24"/>
      <c r="F37" s="24"/>
      <c r="G37" s="24"/>
      <c r="H37" s="24"/>
      <c r="I37" s="24"/>
    </row>
    <row r="38" spans="1:11" x14ac:dyDescent="0.2">
      <c r="A38" s="69"/>
    </row>
    <row r="40" spans="1:11" x14ac:dyDescent="0.2">
      <c r="C40" s="90"/>
      <c r="D40" s="91"/>
      <c r="E40" s="91"/>
      <c r="F40" s="91"/>
      <c r="G40" s="91"/>
      <c r="H40" s="91"/>
      <c r="I40" s="91"/>
    </row>
    <row r="41" spans="1:11" x14ac:dyDescent="0.2">
      <c r="C41" s="90"/>
    </row>
    <row r="42" spans="1:11" x14ac:dyDescent="0.2">
      <c r="C42" s="24"/>
    </row>
  </sheetData>
  <pageMargins left="0.7" right="0.7" top="0.75" bottom="0.75" header="0.3" footer="0.3"/>
  <pageSetup scale="89" orientation="landscape" horizontalDpi="90" verticalDpi="90" r:id="rId1"/>
  <headerFooter>
    <oddFooter>&amp;L&amp;F
&amp;A&amp;RPage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6"/>
  <sheetViews>
    <sheetView zoomScaleNormal="100" workbookViewId="0">
      <pane ySplit="8" topLeftCell="A9" activePane="bottomLeft" state="frozen"/>
      <selection activeCell="A2" sqref="A2"/>
      <selection pane="bottomLeft" activeCell="D15" sqref="D15"/>
    </sheetView>
  </sheetViews>
  <sheetFormatPr defaultColWidth="9.140625" defaultRowHeight="11.25" x14ac:dyDescent="0.2"/>
  <cols>
    <col min="1" max="1" width="4.5703125" style="24" bestFit="1" customWidth="1"/>
    <col min="2" max="2" width="46.85546875" style="24" customWidth="1"/>
    <col min="3" max="3" width="14.28515625" style="25" bestFit="1" customWidth="1"/>
    <col min="4" max="4" width="11.5703125" style="24" bestFit="1" customWidth="1"/>
    <col min="5" max="5" width="10.7109375" style="24" bestFit="1" customWidth="1"/>
    <col min="6" max="6" width="9.140625" style="24" bestFit="1" customWidth="1"/>
    <col min="7" max="7" width="10.7109375" style="24" bestFit="1" customWidth="1"/>
    <col min="8" max="9" width="9.85546875" style="24" bestFit="1" customWidth="1"/>
    <col min="10" max="10" width="9.140625" style="24" bestFit="1" customWidth="1"/>
    <col min="11" max="11" width="9.85546875" style="24" bestFit="1" customWidth="1"/>
    <col min="12" max="13" width="9.140625" style="70"/>
    <col min="14" max="14" width="10.28515625" style="70" bestFit="1" customWidth="1"/>
    <col min="15" max="16384" width="9.140625" style="70"/>
  </cols>
  <sheetData>
    <row r="1" spans="1:12" s="23" customFormat="1" x14ac:dyDescent="0.2">
      <c r="A1" s="22" t="s">
        <v>1</v>
      </c>
      <c r="B1" s="22"/>
      <c r="C1" s="22"/>
      <c r="D1" s="22"/>
      <c r="E1" s="22"/>
      <c r="F1" s="22"/>
      <c r="G1" s="22"/>
      <c r="H1" s="22"/>
      <c r="I1" s="22"/>
      <c r="J1" s="22"/>
      <c r="K1" s="22"/>
    </row>
    <row r="2" spans="1:12" s="23" customFormat="1" x14ac:dyDescent="0.2">
      <c r="A2" s="22" t="s">
        <v>405</v>
      </c>
      <c r="B2" s="22"/>
      <c r="C2" s="22"/>
      <c r="D2" s="22"/>
      <c r="E2" s="22"/>
      <c r="F2" s="22"/>
      <c r="G2" s="22"/>
      <c r="H2" s="22"/>
      <c r="I2" s="22"/>
      <c r="J2" s="22"/>
      <c r="K2" s="22"/>
    </row>
    <row r="3" spans="1:12" s="23" customFormat="1" x14ac:dyDescent="0.2">
      <c r="A3" s="22" t="s">
        <v>2</v>
      </c>
      <c r="B3" s="22"/>
      <c r="C3" s="22"/>
      <c r="D3" s="22"/>
      <c r="E3" s="22"/>
      <c r="F3" s="22"/>
      <c r="G3" s="22"/>
      <c r="H3" s="22"/>
      <c r="I3" s="22"/>
      <c r="J3" s="22"/>
      <c r="K3" s="22"/>
    </row>
    <row r="4" spans="1:12" s="23" customFormat="1" x14ac:dyDescent="0.2">
      <c r="A4" s="22" t="s">
        <v>260</v>
      </c>
      <c r="B4" s="22"/>
      <c r="C4" s="22"/>
      <c r="D4" s="22"/>
      <c r="E4" s="22"/>
      <c r="F4" s="22"/>
      <c r="G4" s="22"/>
      <c r="H4" s="22"/>
      <c r="I4" s="22"/>
      <c r="J4" s="22"/>
      <c r="K4" s="22"/>
    </row>
    <row r="5" spans="1:12" s="24" customFormat="1" x14ac:dyDescent="0.2">
      <c r="C5" s="25"/>
    </row>
    <row r="6" spans="1:12" s="23" customFormat="1" x14ac:dyDescent="0.2">
      <c r="A6" s="26" t="s">
        <v>3</v>
      </c>
      <c r="C6" s="27"/>
      <c r="D6" s="28"/>
      <c r="E6" s="29" t="s">
        <v>4</v>
      </c>
      <c r="F6" s="30"/>
      <c r="G6" s="29" t="s">
        <v>5</v>
      </c>
      <c r="H6" s="29"/>
      <c r="I6" s="31" t="s">
        <v>6</v>
      </c>
      <c r="J6" s="29"/>
      <c r="K6" s="30"/>
    </row>
    <row r="7" spans="1:12" s="23" customFormat="1" x14ac:dyDescent="0.2">
      <c r="A7" s="32" t="s">
        <v>7</v>
      </c>
      <c r="B7" s="33" t="s">
        <v>8</v>
      </c>
      <c r="C7" s="34" t="s">
        <v>9</v>
      </c>
      <c r="D7" s="35" t="s">
        <v>10</v>
      </c>
      <c r="E7" s="36">
        <v>23</v>
      </c>
      <c r="F7" s="37">
        <v>16</v>
      </c>
      <c r="G7" s="36">
        <v>31</v>
      </c>
      <c r="H7" s="36">
        <v>41</v>
      </c>
      <c r="I7" s="38">
        <v>85</v>
      </c>
      <c r="J7" s="36">
        <v>86</v>
      </c>
      <c r="K7" s="37">
        <v>87</v>
      </c>
    </row>
    <row r="8" spans="1:12" s="23" customFormat="1" x14ac:dyDescent="0.2">
      <c r="A8" s="26"/>
      <c r="B8" s="39" t="s">
        <v>11</v>
      </c>
      <c r="C8" s="40" t="s">
        <v>12</v>
      </c>
      <c r="D8" s="40" t="s">
        <v>13</v>
      </c>
      <c r="E8" s="39" t="s">
        <v>14</v>
      </c>
      <c r="F8" s="40" t="s">
        <v>15</v>
      </c>
      <c r="G8" s="40" t="s">
        <v>16</v>
      </c>
      <c r="H8" s="39" t="s">
        <v>17</v>
      </c>
      <c r="I8" s="40" t="s">
        <v>18</v>
      </c>
      <c r="J8" s="40" t="s">
        <v>19</v>
      </c>
      <c r="K8" s="41" t="s">
        <v>20</v>
      </c>
    </row>
    <row r="9" spans="1:12" s="24" customFormat="1" x14ac:dyDescent="0.2">
      <c r="B9" s="42" t="s">
        <v>21</v>
      </c>
      <c r="C9" s="43"/>
    </row>
    <row r="10" spans="1:12" s="24" customFormat="1" x14ac:dyDescent="0.2">
      <c r="A10" s="25">
        <v>1</v>
      </c>
      <c r="B10" s="44" t="str">
        <f>"Projected Volume "&amp;'Therm Forecast'!P6&amp;" (therms)"</f>
        <v>Projected Volume Nov. 2024 - Oct. 2025 (therms)</v>
      </c>
      <c r="C10" s="25" t="s">
        <v>22</v>
      </c>
      <c r="D10" s="45">
        <f>SUM(E10:K10)</f>
        <v>897586976</v>
      </c>
      <c r="E10" s="401">
        <f>'Therm Forecast'!$P$8</f>
        <v>563377415</v>
      </c>
      <c r="F10" s="401">
        <f>'Therm Forecast'!$P$9</f>
        <v>6156</v>
      </c>
      <c r="G10" s="401">
        <f>'Therm Forecast'!$P$10</f>
        <v>230116288</v>
      </c>
      <c r="H10" s="401">
        <f>'Therm Forecast'!$P$11</f>
        <v>63059025</v>
      </c>
      <c r="I10" s="401">
        <f>'Therm Forecast'!$P$12</f>
        <v>17533752</v>
      </c>
      <c r="J10" s="401">
        <f>'Therm Forecast'!$P$13</f>
        <v>5007638</v>
      </c>
      <c r="K10" s="401">
        <f>'Therm Forecast'!$P$14</f>
        <v>18486702</v>
      </c>
    </row>
    <row r="11" spans="1:12" s="24" customFormat="1" x14ac:dyDescent="0.2">
      <c r="A11" s="25">
        <f>A10+1</f>
        <v>2</v>
      </c>
      <c r="B11" s="44"/>
      <c r="C11" s="25"/>
      <c r="E11" s="46"/>
      <c r="F11" s="46"/>
      <c r="G11" s="46"/>
      <c r="H11" s="46"/>
      <c r="I11" s="46"/>
      <c r="J11" s="46"/>
      <c r="K11" s="46"/>
    </row>
    <row r="12" spans="1:12" s="24" customFormat="1" x14ac:dyDescent="0.2">
      <c r="A12" s="25">
        <f t="shared" ref="A12:A41" si="0">A11+1</f>
        <v>3</v>
      </c>
      <c r="B12" s="44" t="s">
        <v>249</v>
      </c>
      <c r="C12" s="25" t="s">
        <v>22</v>
      </c>
      <c r="D12" s="47"/>
      <c r="E12" s="47">
        <f>'Gas Resource Allocation Study'!G52</f>
        <v>0.14394000000000001</v>
      </c>
      <c r="F12" s="47">
        <f>'Gas Resource Allocation Study'!G52</f>
        <v>0.14394000000000001</v>
      </c>
      <c r="G12" s="47">
        <f>'Gas Resource Allocation Study'!H52</f>
        <v>0.1376</v>
      </c>
      <c r="H12" s="47">
        <f>'Gas Resource Allocation Study'!I52</f>
        <v>0.12096999999999999</v>
      </c>
      <c r="I12" s="47">
        <f>'Gas Resource Allocation Study'!J52</f>
        <v>8.7739999999999999E-2</v>
      </c>
      <c r="J12" s="47">
        <f>'Gas Resource Allocation Study'!K52</f>
        <v>9.5089999999999994E-2</v>
      </c>
      <c r="K12" s="47">
        <f>'Gas Resource Allocation Study'!L52</f>
        <v>8.2100000000000006E-2</v>
      </c>
      <c r="L12" s="385"/>
    </row>
    <row r="13" spans="1:12" s="24" customFormat="1" x14ac:dyDescent="0.2">
      <c r="A13" s="25">
        <f t="shared" si="0"/>
        <v>4</v>
      </c>
      <c r="B13" s="44" t="s">
        <v>23</v>
      </c>
      <c r="C13" s="25" t="s">
        <v>24</v>
      </c>
      <c r="D13" s="48">
        <f>SUM(E13:K13)</f>
        <v>123918028.62489001</v>
      </c>
      <c r="E13" s="48">
        <f>E10*E12</f>
        <v>81092545.115100011</v>
      </c>
      <c r="F13" s="48">
        <f t="shared" ref="F13:K13" si="1">F10*F12</f>
        <v>886.09464000000003</v>
      </c>
      <c r="G13" s="48">
        <f t="shared" si="1"/>
        <v>31664001.228799999</v>
      </c>
      <c r="H13" s="48">
        <f t="shared" si="1"/>
        <v>7628250.2542499993</v>
      </c>
      <c r="I13" s="48">
        <f t="shared" si="1"/>
        <v>1538411.4004800001</v>
      </c>
      <c r="J13" s="48">
        <f t="shared" si="1"/>
        <v>476176.29741999996</v>
      </c>
      <c r="K13" s="48">
        <f t="shared" si="1"/>
        <v>1517758.2342000001</v>
      </c>
    </row>
    <row r="14" spans="1:12" s="24" customFormat="1" x14ac:dyDescent="0.2">
      <c r="A14" s="25">
        <f t="shared" si="0"/>
        <v>5</v>
      </c>
      <c r="B14" s="44"/>
      <c r="C14" s="25"/>
      <c r="F14" s="49"/>
    </row>
    <row r="15" spans="1:12" s="24" customFormat="1" x14ac:dyDescent="0.2">
      <c r="A15" s="25">
        <f t="shared" si="0"/>
        <v>6</v>
      </c>
      <c r="B15" s="44" t="s">
        <v>25</v>
      </c>
      <c r="C15" s="25" t="s">
        <v>26</v>
      </c>
      <c r="D15" s="97">
        <f>'Sch. 106 Amort Balances'!C37</f>
        <v>-285236.37</v>
      </c>
      <c r="E15" s="50">
        <f>$D15*(E13/$D13)</f>
        <v>-186660.03211453921</v>
      </c>
      <c r="F15" s="50">
        <f>$D15*(F13/$D13)</f>
        <v>-2.039625883293712</v>
      </c>
      <c r="G15" s="50">
        <f t="shared" ref="G15:K15" si="2">$D15*(G13/$D13)</f>
        <v>-72884.671184676597</v>
      </c>
      <c r="H15" s="50">
        <f t="shared" si="2"/>
        <v>-17558.820424430214</v>
      </c>
      <c r="I15" s="50">
        <f t="shared" si="2"/>
        <v>-3541.1383501576502</v>
      </c>
      <c r="J15" s="50">
        <f t="shared" si="2"/>
        <v>-1096.0697169196249</v>
      </c>
      <c r="K15" s="50">
        <f t="shared" si="2"/>
        <v>-3493.5985833933946</v>
      </c>
    </row>
    <row r="16" spans="1:12" s="24" customFormat="1" x14ac:dyDescent="0.2">
      <c r="A16" s="25">
        <f t="shared" si="0"/>
        <v>7</v>
      </c>
      <c r="B16" s="44" t="s">
        <v>27</v>
      </c>
      <c r="C16" s="25" t="s">
        <v>28</v>
      </c>
      <c r="D16" s="51">
        <f>SUM(E16:K16)</f>
        <v>1</v>
      </c>
      <c r="E16" s="52">
        <f>E15/$D$15</f>
        <v>0.65440473847896474</v>
      </c>
      <c r="F16" s="52">
        <f>F15/$D$15</f>
        <v>7.1506515220822368E-6</v>
      </c>
      <c r="G16" s="52">
        <f t="shared" ref="G16:K16" si="3">G15/$D$15</f>
        <v>0.25552376502574548</v>
      </c>
      <c r="H16" s="52">
        <f t="shared" si="3"/>
        <v>6.1558841267087411E-2</v>
      </c>
      <c r="I16" s="52">
        <f t="shared" si="3"/>
        <v>1.2414750440687666E-2</v>
      </c>
      <c r="J16" s="52">
        <f t="shared" si="3"/>
        <v>3.8426716653266373E-3</v>
      </c>
      <c r="K16" s="52">
        <f t="shared" si="3"/>
        <v>1.2248082470665977E-2</v>
      </c>
    </row>
    <row r="17" spans="1:17" s="24" customFormat="1" x14ac:dyDescent="0.2">
      <c r="A17" s="25">
        <f t="shared" si="0"/>
        <v>8</v>
      </c>
      <c r="B17" s="44"/>
      <c r="C17" s="25"/>
      <c r="D17" s="50"/>
      <c r="E17" s="50"/>
      <c r="F17" s="50"/>
      <c r="G17" s="50"/>
      <c r="H17" s="50"/>
      <c r="I17" s="50"/>
      <c r="J17" s="50"/>
      <c r="K17" s="50"/>
    </row>
    <row r="18" spans="1:17" s="24" customFormat="1" x14ac:dyDescent="0.2">
      <c r="A18" s="25">
        <f t="shared" si="0"/>
        <v>9</v>
      </c>
      <c r="B18" s="44" t="s">
        <v>29</v>
      </c>
      <c r="C18" s="25" t="s">
        <v>30</v>
      </c>
      <c r="E18" s="53">
        <f t="shared" ref="E18:K18" si="4">ROUND(E15/E10,5)</f>
        <v>-3.3E-4</v>
      </c>
      <c r="F18" s="53">
        <f t="shared" si="4"/>
        <v>-3.3E-4</v>
      </c>
      <c r="G18" s="53">
        <f t="shared" si="4"/>
        <v>-3.2000000000000003E-4</v>
      </c>
      <c r="H18" s="53">
        <f t="shared" si="4"/>
        <v>-2.7999999999999998E-4</v>
      </c>
      <c r="I18" s="53">
        <f t="shared" si="4"/>
        <v>-2.0000000000000001E-4</v>
      </c>
      <c r="J18" s="53">
        <f t="shared" si="4"/>
        <v>-2.2000000000000001E-4</v>
      </c>
      <c r="K18" s="53">
        <f t="shared" si="4"/>
        <v>-1.9000000000000001E-4</v>
      </c>
    </row>
    <row r="19" spans="1:17" s="24" customFormat="1" x14ac:dyDescent="0.2">
      <c r="A19" s="25">
        <f t="shared" si="0"/>
        <v>10</v>
      </c>
      <c r="B19" s="54" t="s">
        <v>31</v>
      </c>
      <c r="C19" s="25" t="s">
        <v>32</v>
      </c>
      <c r="F19" s="49">
        <f>ROUND(F18*19,2)</f>
        <v>-0.01</v>
      </c>
    </row>
    <row r="20" spans="1:17" s="24" customFormat="1" x14ac:dyDescent="0.2">
      <c r="A20" s="25">
        <f t="shared" si="0"/>
        <v>11</v>
      </c>
      <c r="B20" s="55"/>
      <c r="C20" s="25"/>
      <c r="F20" s="49"/>
    </row>
    <row r="21" spans="1:17" s="24" customFormat="1" x14ac:dyDescent="0.2">
      <c r="A21" s="25">
        <f t="shared" si="0"/>
        <v>12</v>
      </c>
      <c r="B21" s="55"/>
      <c r="C21" s="25"/>
      <c r="F21" s="49"/>
    </row>
    <row r="22" spans="1:17" s="24" customFormat="1" x14ac:dyDescent="0.2">
      <c r="A22" s="25">
        <f t="shared" si="0"/>
        <v>13</v>
      </c>
      <c r="B22" s="56" t="s">
        <v>33</v>
      </c>
      <c r="C22" s="27"/>
    </row>
    <row r="23" spans="1:17" s="24" customFormat="1" x14ac:dyDescent="0.2">
      <c r="A23" s="25">
        <f t="shared" si="0"/>
        <v>14</v>
      </c>
      <c r="B23" s="44" t="s">
        <v>34</v>
      </c>
      <c r="C23" s="25" t="s">
        <v>22</v>
      </c>
      <c r="D23" s="97">
        <f>'Sch. 106 Amort Balances'!C38</f>
        <v>-49994235.870000005</v>
      </c>
      <c r="M23" s="57"/>
      <c r="N23" s="58"/>
      <c r="O23" s="58"/>
      <c r="P23" s="58"/>
      <c r="Q23" s="58"/>
    </row>
    <row r="24" spans="1:17" s="24" customFormat="1" x14ac:dyDescent="0.2">
      <c r="A24" s="25">
        <f t="shared" si="0"/>
        <v>15</v>
      </c>
      <c r="B24" s="44" t="str">
        <f>B10</f>
        <v>Projected Volume Nov. 2024 - Oct. 2025 (therms)</v>
      </c>
      <c r="C24" s="59" t="s">
        <v>35</v>
      </c>
      <c r="D24" s="45">
        <f>SUM(E24:K24)</f>
        <v>897586976</v>
      </c>
      <c r="E24" s="45">
        <f t="shared" ref="E24:K24" si="5">E10</f>
        <v>563377415</v>
      </c>
      <c r="F24" s="45">
        <f t="shared" si="5"/>
        <v>6156</v>
      </c>
      <c r="G24" s="45">
        <f t="shared" si="5"/>
        <v>230116288</v>
      </c>
      <c r="H24" s="45">
        <f t="shared" si="5"/>
        <v>63059025</v>
      </c>
      <c r="I24" s="45">
        <f t="shared" si="5"/>
        <v>17533752</v>
      </c>
      <c r="J24" s="45">
        <f t="shared" si="5"/>
        <v>5007638</v>
      </c>
      <c r="K24" s="45">
        <f t="shared" si="5"/>
        <v>18486702</v>
      </c>
    </row>
    <row r="25" spans="1:17" s="24" customFormat="1" x14ac:dyDescent="0.2">
      <c r="A25" s="25">
        <f t="shared" si="0"/>
        <v>16</v>
      </c>
      <c r="B25" s="44"/>
      <c r="C25" s="59"/>
      <c r="D25" s="45"/>
      <c r="E25" s="45"/>
      <c r="F25" s="45"/>
      <c r="G25" s="45"/>
      <c r="H25" s="45"/>
      <c r="I25" s="45"/>
      <c r="J25" s="45"/>
      <c r="K25" s="45"/>
    </row>
    <row r="26" spans="1:17" s="24" customFormat="1" x14ac:dyDescent="0.2">
      <c r="A26" s="25">
        <f t="shared" si="0"/>
        <v>17</v>
      </c>
      <c r="B26" s="44" t="s">
        <v>36</v>
      </c>
      <c r="C26" s="25" t="s">
        <v>37</v>
      </c>
      <c r="D26" s="60">
        <f>ROUND(D23/D24,5)</f>
        <v>-5.57E-2</v>
      </c>
      <c r="E26" s="60">
        <f t="shared" ref="E26:K26" si="6">$D$26</f>
        <v>-5.57E-2</v>
      </c>
      <c r="F26" s="60">
        <f t="shared" si="6"/>
        <v>-5.57E-2</v>
      </c>
      <c r="G26" s="60">
        <f t="shared" si="6"/>
        <v>-5.57E-2</v>
      </c>
      <c r="H26" s="60">
        <f t="shared" si="6"/>
        <v>-5.57E-2</v>
      </c>
      <c r="I26" s="60">
        <f t="shared" si="6"/>
        <v>-5.57E-2</v>
      </c>
      <c r="J26" s="60">
        <f t="shared" si="6"/>
        <v>-5.57E-2</v>
      </c>
      <c r="K26" s="60">
        <f t="shared" si="6"/>
        <v>-5.57E-2</v>
      </c>
    </row>
    <row r="27" spans="1:17" s="24" customFormat="1" x14ac:dyDescent="0.2">
      <c r="A27" s="25">
        <f t="shared" si="0"/>
        <v>18</v>
      </c>
      <c r="B27" s="54" t="s">
        <v>38</v>
      </c>
      <c r="C27" s="25" t="s">
        <v>39</v>
      </c>
      <c r="D27" s="50"/>
      <c r="F27" s="49">
        <f>ROUND(F26*19,2)</f>
        <v>-1.06</v>
      </c>
    </row>
    <row r="28" spans="1:17" s="24" customFormat="1" x14ac:dyDescent="0.2">
      <c r="A28" s="25">
        <f t="shared" si="0"/>
        <v>19</v>
      </c>
      <c r="C28" s="25"/>
    </row>
    <row r="29" spans="1:17" s="24" customFormat="1" x14ac:dyDescent="0.2">
      <c r="A29" s="25">
        <f t="shared" si="0"/>
        <v>20</v>
      </c>
      <c r="C29" s="25"/>
    </row>
    <row r="30" spans="1:17" s="24" customFormat="1" x14ac:dyDescent="0.2">
      <c r="A30" s="25">
        <f t="shared" si="0"/>
        <v>21</v>
      </c>
      <c r="B30" s="56" t="s">
        <v>40</v>
      </c>
      <c r="C30" s="27"/>
    </row>
    <row r="31" spans="1:17" s="24" customFormat="1" x14ac:dyDescent="0.2">
      <c r="A31" s="25">
        <f t="shared" si="0"/>
        <v>22</v>
      </c>
      <c r="B31" s="44" t="s">
        <v>29</v>
      </c>
      <c r="C31" s="59" t="s">
        <v>41</v>
      </c>
      <c r="E31" s="60">
        <f>E18</f>
        <v>-3.3E-4</v>
      </c>
      <c r="F31" s="60">
        <f t="shared" ref="F31:K31" si="7">F18</f>
        <v>-3.3E-4</v>
      </c>
      <c r="G31" s="60">
        <f t="shared" si="7"/>
        <v>-3.2000000000000003E-4</v>
      </c>
      <c r="H31" s="60">
        <f t="shared" si="7"/>
        <v>-2.7999999999999998E-4</v>
      </c>
      <c r="I31" s="60">
        <f t="shared" si="7"/>
        <v>-2.0000000000000001E-4</v>
      </c>
      <c r="J31" s="60">
        <f t="shared" si="7"/>
        <v>-2.2000000000000001E-4</v>
      </c>
      <c r="K31" s="60">
        <f t="shared" si="7"/>
        <v>-1.9000000000000001E-4</v>
      </c>
    </row>
    <row r="32" spans="1:17" s="24" customFormat="1" x14ac:dyDescent="0.2">
      <c r="A32" s="25">
        <f t="shared" si="0"/>
        <v>23</v>
      </c>
      <c r="B32" s="54" t="s">
        <v>31</v>
      </c>
      <c r="C32" s="59" t="s">
        <v>42</v>
      </c>
      <c r="F32" s="49">
        <f>F19</f>
        <v>-0.01</v>
      </c>
    </row>
    <row r="33" spans="1:14" s="24" customFormat="1" x14ac:dyDescent="0.2">
      <c r="A33" s="25">
        <f t="shared" si="0"/>
        <v>24</v>
      </c>
      <c r="B33" s="44" t="s">
        <v>43</v>
      </c>
      <c r="C33" s="59" t="s">
        <v>44</v>
      </c>
      <c r="D33" s="50"/>
      <c r="E33" s="60">
        <f t="shared" ref="E33:K33" si="8">E26</f>
        <v>-5.57E-2</v>
      </c>
      <c r="F33" s="60">
        <f t="shared" si="8"/>
        <v>-5.57E-2</v>
      </c>
      <c r="G33" s="60">
        <f t="shared" si="8"/>
        <v>-5.57E-2</v>
      </c>
      <c r="H33" s="60">
        <f t="shared" si="8"/>
        <v>-5.57E-2</v>
      </c>
      <c r="I33" s="60">
        <f t="shared" si="8"/>
        <v>-5.57E-2</v>
      </c>
      <c r="J33" s="60">
        <f t="shared" si="8"/>
        <v>-5.57E-2</v>
      </c>
      <c r="K33" s="60">
        <f t="shared" si="8"/>
        <v>-5.57E-2</v>
      </c>
    </row>
    <row r="34" spans="1:14" s="24" customFormat="1" x14ac:dyDescent="0.2">
      <c r="A34" s="25">
        <f t="shared" si="0"/>
        <v>25</v>
      </c>
      <c r="B34" s="54" t="s">
        <v>31</v>
      </c>
      <c r="C34" s="59" t="s">
        <v>45</v>
      </c>
      <c r="F34" s="49">
        <f>F27</f>
        <v>-1.06</v>
      </c>
    </row>
    <row r="35" spans="1:14" s="24" customFormat="1" x14ac:dyDescent="0.2">
      <c r="A35" s="25">
        <f t="shared" si="0"/>
        <v>26</v>
      </c>
      <c r="B35" s="44" t="s">
        <v>46</v>
      </c>
      <c r="C35" s="25" t="s">
        <v>47</v>
      </c>
      <c r="E35" s="61">
        <f>E31+E33</f>
        <v>-5.6029999999999996E-2</v>
      </c>
      <c r="F35" s="61">
        <f t="shared" ref="F35:K35" si="9">F31+F33</f>
        <v>-5.6029999999999996E-2</v>
      </c>
      <c r="G35" s="61">
        <f t="shared" si="9"/>
        <v>-5.602E-2</v>
      </c>
      <c r="H35" s="61">
        <f t="shared" si="9"/>
        <v>-5.5980000000000002E-2</v>
      </c>
      <c r="I35" s="61">
        <f t="shared" si="9"/>
        <v>-5.5899999999999998E-2</v>
      </c>
      <c r="J35" s="61">
        <f t="shared" si="9"/>
        <v>-5.5919999999999997E-2</v>
      </c>
      <c r="K35" s="61">
        <f t="shared" si="9"/>
        <v>-5.5890000000000002E-2</v>
      </c>
    </row>
    <row r="36" spans="1:14" s="24" customFormat="1" x14ac:dyDescent="0.2">
      <c r="A36" s="25">
        <f t="shared" si="0"/>
        <v>27</v>
      </c>
      <c r="B36" s="54" t="s">
        <v>31</v>
      </c>
      <c r="C36" s="59" t="s">
        <v>48</v>
      </c>
      <c r="F36" s="49">
        <f>F32+F34</f>
        <v>-1.07</v>
      </c>
    </row>
    <row r="37" spans="1:14" s="24" customFormat="1" x14ac:dyDescent="0.2">
      <c r="A37" s="25">
        <f t="shared" si="0"/>
        <v>28</v>
      </c>
      <c r="B37" s="44"/>
      <c r="C37" s="25"/>
    </row>
    <row r="38" spans="1:14" s="24" customFormat="1" x14ac:dyDescent="0.2">
      <c r="A38" s="25">
        <f t="shared" si="0"/>
        <v>29</v>
      </c>
      <c r="B38" s="44" t="s">
        <v>49</v>
      </c>
      <c r="C38" s="25" t="s">
        <v>22</v>
      </c>
      <c r="D38" s="62">
        <f>'Conversion Factor'!E25-1</f>
        <v>4.9930494601257536E-2</v>
      </c>
      <c r="N38" s="63"/>
    </row>
    <row r="39" spans="1:14" s="24" customFormat="1" x14ac:dyDescent="0.2">
      <c r="A39" s="25">
        <f t="shared" si="0"/>
        <v>30</v>
      </c>
      <c r="B39" s="44"/>
      <c r="C39" s="25"/>
      <c r="D39" s="23"/>
      <c r="N39" s="49"/>
    </row>
    <row r="40" spans="1:14" s="24" customFormat="1" x14ac:dyDescent="0.2">
      <c r="A40" s="25">
        <f t="shared" si="0"/>
        <v>31</v>
      </c>
      <c r="B40" s="64" t="s">
        <v>50</v>
      </c>
      <c r="C40" s="59" t="s">
        <v>51</v>
      </c>
      <c r="D40" s="23"/>
      <c r="E40" s="65">
        <f t="shared" ref="E40:K40" si="10">ROUND(E35*(1+$D$38),5)</f>
        <v>-5.883E-2</v>
      </c>
      <c r="F40" s="65">
        <f t="shared" si="10"/>
        <v>-5.883E-2</v>
      </c>
      <c r="G40" s="65">
        <f t="shared" si="10"/>
        <v>-5.8819999999999997E-2</v>
      </c>
      <c r="H40" s="65">
        <f t="shared" si="10"/>
        <v>-5.8779999999999999E-2</v>
      </c>
      <c r="I40" s="65">
        <f t="shared" si="10"/>
        <v>-5.8689999999999999E-2</v>
      </c>
      <c r="J40" s="65">
        <f t="shared" si="10"/>
        <v>-5.8709999999999998E-2</v>
      </c>
      <c r="K40" s="65">
        <f t="shared" si="10"/>
        <v>-5.8680000000000003E-2</v>
      </c>
    </row>
    <row r="41" spans="1:14" s="24" customFormat="1" x14ac:dyDescent="0.2">
      <c r="A41" s="25">
        <f t="shared" si="0"/>
        <v>32</v>
      </c>
      <c r="B41" s="66" t="s">
        <v>52</v>
      </c>
      <c r="C41" s="59" t="s">
        <v>53</v>
      </c>
      <c r="D41" s="23"/>
      <c r="E41" s="23"/>
      <c r="F41" s="67">
        <f>ROUND(F36*(1+$D$38),2)</f>
        <v>-1.1200000000000001</v>
      </c>
      <c r="G41" s="23"/>
      <c r="H41" s="23"/>
      <c r="I41" s="23"/>
      <c r="J41" s="23"/>
      <c r="K41" s="23"/>
    </row>
    <row r="42" spans="1:14" s="24" customFormat="1" x14ac:dyDescent="0.2">
      <c r="C42" s="25"/>
      <c r="F42" s="49"/>
    </row>
    <row r="43" spans="1:14" s="24" customFormat="1" x14ac:dyDescent="0.2">
      <c r="C43" s="25"/>
      <c r="J43" s="68"/>
      <c r="K43" s="68"/>
    </row>
    <row r="44" spans="1:14" s="24" customFormat="1" x14ac:dyDescent="0.2">
      <c r="A44" s="24" t="s">
        <v>54</v>
      </c>
      <c r="C44" s="27"/>
      <c r="J44" s="68"/>
      <c r="K44" s="68"/>
    </row>
    <row r="45" spans="1:14" s="24" customFormat="1" x14ac:dyDescent="0.2">
      <c r="A45" s="69" t="s">
        <v>55</v>
      </c>
      <c r="B45" s="24" t="s">
        <v>255</v>
      </c>
      <c r="C45" s="25"/>
      <c r="J45" s="68"/>
      <c r="K45" s="68"/>
    </row>
    <row r="46" spans="1:14" s="24" customFormat="1" x14ac:dyDescent="0.2">
      <c r="C46" s="25"/>
    </row>
  </sheetData>
  <printOptions horizontalCentered="1"/>
  <pageMargins left="0.75" right="0.75" top="1" bottom="1" header="0.5" footer="0.5"/>
  <pageSetup scale="82"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59"/>
  <sheetViews>
    <sheetView topLeftCell="B1" zoomScaleNormal="100" workbookViewId="0">
      <pane ySplit="6" topLeftCell="A7" activePane="bottomLeft" state="frozen"/>
      <selection pane="bottomLeft" activeCell="F24" sqref="F24"/>
    </sheetView>
  </sheetViews>
  <sheetFormatPr defaultColWidth="9.140625" defaultRowHeight="11.25" x14ac:dyDescent="0.2"/>
  <cols>
    <col min="1" max="1" width="6" style="95" bestFit="1" customWidth="1"/>
    <col min="2" max="2" width="65.85546875" style="24" bestFit="1" customWidth="1"/>
    <col min="3" max="3" width="15.28515625" style="24" bestFit="1" customWidth="1"/>
    <col min="4" max="4" width="15" style="24" bestFit="1" customWidth="1"/>
    <col min="5" max="5" width="15.42578125" style="24" bestFit="1" customWidth="1"/>
    <col min="6" max="11" width="15.42578125" style="24" customWidth="1"/>
    <col min="12" max="12" width="5.85546875" style="24" customWidth="1"/>
    <col min="13" max="13" width="15.28515625" style="24" customWidth="1"/>
    <col min="14" max="14" width="15.28515625" style="24" bestFit="1" customWidth="1"/>
    <col min="15" max="21" width="9.140625" style="24"/>
    <col min="22" max="22" width="15.42578125" style="24" bestFit="1" customWidth="1"/>
    <col min="23" max="34" width="14" style="24" bestFit="1" customWidth="1"/>
    <col min="35" max="40" width="12.85546875" style="24" bestFit="1" customWidth="1"/>
    <col min="41" max="16384" width="9.140625" style="24"/>
  </cols>
  <sheetData>
    <row r="1" spans="1:16" x14ac:dyDescent="0.2">
      <c r="A1" s="646" t="str">
        <f>'Sch. 106 PGA Amort Rates'!$A$1</f>
        <v>Puget Sound Energy</v>
      </c>
      <c r="B1" s="646"/>
      <c r="C1" s="646"/>
      <c r="D1" s="646"/>
      <c r="E1" s="646"/>
      <c r="F1" s="436"/>
      <c r="G1" s="436"/>
      <c r="H1" s="436"/>
      <c r="I1" s="436"/>
      <c r="J1" s="436"/>
      <c r="K1" s="436"/>
      <c r="L1" s="436"/>
      <c r="M1" s="92"/>
      <c r="N1" s="92"/>
      <c r="O1" s="92"/>
      <c r="P1" s="72"/>
    </row>
    <row r="2" spans="1:16" x14ac:dyDescent="0.2">
      <c r="A2" s="646" t="str">
        <f>'Summary Rates'!$A$2</f>
        <v xml:space="preserve">2024 Gas Schedule 106 PGA Deferral Amortization Tracker Filing </v>
      </c>
      <c r="B2" s="646"/>
      <c r="C2" s="646"/>
      <c r="D2" s="646"/>
      <c r="E2" s="646"/>
      <c r="F2" s="436"/>
      <c r="G2" s="436"/>
      <c r="H2" s="436"/>
      <c r="I2" s="436"/>
      <c r="J2" s="436"/>
      <c r="K2" s="436"/>
      <c r="L2" s="436"/>
      <c r="M2" s="92"/>
      <c r="N2" s="92"/>
      <c r="O2" s="92"/>
      <c r="P2" s="22"/>
    </row>
    <row r="3" spans="1:16" x14ac:dyDescent="0.2">
      <c r="A3" s="646" t="s">
        <v>66</v>
      </c>
      <c r="B3" s="646"/>
      <c r="C3" s="646"/>
      <c r="D3" s="646"/>
      <c r="E3" s="646"/>
      <c r="F3" s="436"/>
      <c r="G3" s="436"/>
      <c r="H3" s="436"/>
      <c r="I3" s="436"/>
      <c r="J3" s="436"/>
      <c r="K3" s="436"/>
      <c r="L3" s="436"/>
      <c r="M3" s="92"/>
      <c r="N3" s="92"/>
      <c r="O3" s="92"/>
      <c r="P3" s="22"/>
    </row>
    <row r="4" spans="1:16" x14ac:dyDescent="0.2">
      <c r="A4" s="647" t="str">
        <f>'Sch. 106 PGA Amort Rates'!$A$4</f>
        <v>Proposed Rates Effective November 1, 2024</v>
      </c>
      <c r="B4" s="647"/>
      <c r="C4" s="647"/>
      <c r="D4" s="647"/>
      <c r="E4" s="647"/>
      <c r="F4" s="436"/>
      <c r="G4" s="436"/>
      <c r="H4" s="436"/>
      <c r="I4" s="436"/>
      <c r="J4" s="436"/>
      <c r="K4" s="436"/>
      <c r="L4" s="436"/>
      <c r="M4" s="92"/>
      <c r="N4" s="92"/>
      <c r="O4" s="92"/>
      <c r="P4" s="22"/>
    </row>
    <row r="5" spans="1:16" x14ac:dyDescent="0.2">
      <c r="A5" s="92"/>
      <c r="B5" s="92"/>
      <c r="C5" s="92"/>
      <c r="D5" s="92"/>
      <c r="E5" s="92"/>
      <c r="F5" s="92"/>
      <c r="G5" s="92"/>
      <c r="H5" s="92"/>
      <c r="I5" s="92"/>
      <c r="J5" s="92"/>
      <c r="K5" s="92"/>
      <c r="L5" s="92"/>
      <c r="M5" s="92"/>
      <c r="N5" s="92"/>
      <c r="O5" s="92"/>
    </row>
    <row r="6" spans="1:16" x14ac:dyDescent="0.2">
      <c r="A6" s="26"/>
      <c r="B6" s="39" t="s">
        <v>11</v>
      </c>
      <c r="C6" s="40" t="s">
        <v>12</v>
      </c>
      <c r="D6" s="40" t="s">
        <v>13</v>
      </c>
      <c r="E6" s="39" t="s">
        <v>14</v>
      </c>
      <c r="F6" s="39"/>
      <c r="G6" s="39"/>
      <c r="H6" s="39"/>
      <c r="I6" s="39"/>
      <c r="J6" s="39"/>
      <c r="K6" s="39"/>
      <c r="L6" s="39"/>
    </row>
    <row r="7" spans="1:16" ht="22.5" x14ac:dyDescent="0.2">
      <c r="A7" s="93" t="s">
        <v>67</v>
      </c>
      <c r="B7" s="56" t="s">
        <v>263</v>
      </c>
      <c r="C7" s="94"/>
    </row>
    <row r="8" spans="1:16" x14ac:dyDescent="0.2">
      <c r="B8" s="23"/>
      <c r="C8" s="96" t="s">
        <v>10</v>
      </c>
    </row>
    <row r="9" spans="1:16" x14ac:dyDescent="0.2">
      <c r="A9" s="95">
        <v>1</v>
      </c>
      <c r="B9" s="54" t="s">
        <v>68</v>
      </c>
      <c r="C9" s="617">
        <v>-94710.92</v>
      </c>
    </row>
    <row r="10" spans="1:16" x14ac:dyDescent="0.2">
      <c r="A10" s="95">
        <f>A9+1</f>
        <v>2</v>
      </c>
      <c r="B10" s="54" t="s">
        <v>69</v>
      </c>
      <c r="C10" s="617">
        <v>2013370.4899999984</v>
      </c>
    </row>
    <row r="11" spans="1:16" x14ac:dyDescent="0.2">
      <c r="A11" s="95">
        <v>3</v>
      </c>
      <c r="B11" s="54" t="s">
        <v>420</v>
      </c>
      <c r="C11" s="617">
        <v>-190525.45</v>
      </c>
      <c r="G11" s="386"/>
    </row>
    <row r="12" spans="1:16" x14ac:dyDescent="0.2">
      <c r="A12" s="95">
        <v>4</v>
      </c>
      <c r="B12" s="54" t="s">
        <v>70</v>
      </c>
      <c r="C12" s="98">
        <f>SUM(C9:C11)</f>
        <v>1728134.1199999985</v>
      </c>
      <c r="D12" s="48"/>
      <c r="N12" s="92"/>
    </row>
    <row r="13" spans="1:16" x14ac:dyDescent="0.2">
      <c r="A13" s="95">
        <f t="shared" ref="A13:A51" si="0">A12+1</f>
        <v>5</v>
      </c>
      <c r="C13" s="99"/>
    </row>
    <row r="14" spans="1:16" x14ac:dyDescent="0.2">
      <c r="A14" s="95">
        <f t="shared" si="0"/>
        <v>6</v>
      </c>
      <c r="C14" s="99"/>
    </row>
    <row r="15" spans="1:16" x14ac:dyDescent="0.2">
      <c r="A15" s="95">
        <f t="shared" si="0"/>
        <v>7</v>
      </c>
      <c r="B15" s="56" t="s">
        <v>264</v>
      </c>
      <c r="C15" s="99"/>
      <c r="E15" s="100"/>
      <c r="F15" s="100"/>
      <c r="G15" s="100"/>
      <c r="H15" s="100"/>
      <c r="I15" s="100"/>
      <c r="J15" s="100"/>
      <c r="K15" s="100"/>
      <c r="L15" s="100"/>
    </row>
    <row r="16" spans="1:16" x14ac:dyDescent="0.2">
      <c r="A16" s="95">
        <f t="shared" si="0"/>
        <v>8</v>
      </c>
      <c r="C16" s="96" t="s">
        <v>10</v>
      </c>
      <c r="D16" s="101" t="s">
        <v>71</v>
      </c>
      <c r="E16" s="102" t="s">
        <v>72</v>
      </c>
      <c r="F16" s="393"/>
      <c r="G16" s="393"/>
      <c r="H16" s="393"/>
      <c r="I16" s="393"/>
      <c r="J16" s="393"/>
      <c r="K16" s="393"/>
      <c r="L16" s="393"/>
      <c r="N16" s="48"/>
    </row>
    <row r="17" spans="1:40" x14ac:dyDescent="0.2">
      <c r="A17" s="95">
        <f t="shared" si="0"/>
        <v>9</v>
      </c>
      <c r="B17" s="44" t="s">
        <v>73</v>
      </c>
      <c r="C17" s="48">
        <f>SUM(D17:E17)</f>
        <v>-830.06999999983236</v>
      </c>
      <c r="D17" s="617">
        <v>-1199227.67</v>
      </c>
      <c r="E17" s="617">
        <v>1198397.6000000001</v>
      </c>
      <c r="F17" s="97"/>
      <c r="G17" s="97"/>
      <c r="H17" s="97"/>
      <c r="I17" s="97"/>
      <c r="J17" s="97"/>
      <c r="K17" s="97"/>
      <c r="L17" s="97"/>
    </row>
    <row r="18" spans="1:40" x14ac:dyDescent="0.2">
      <c r="A18" s="95">
        <f t="shared" si="0"/>
        <v>10</v>
      </c>
      <c r="B18" s="44" t="s">
        <v>74</v>
      </c>
      <c r="C18" s="48">
        <f>SUM(D18:E18)</f>
        <v>-52007606.359999999</v>
      </c>
      <c r="D18" s="617">
        <v>-1491577.38</v>
      </c>
      <c r="E18" s="617">
        <v>-50516028.979999997</v>
      </c>
      <c r="F18" s="97"/>
      <c r="G18" s="97"/>
      <c r="H18" s="97"/>
      <c r="I18" s="97"/>
      <c r="J18" s="97"/>
      <c r="K18" s="97"/>
      <c r="L18" s="97"/>
    </row>
    <row r="19" spans="1:40" x14ac:dyDescent="0.2">
      <c r="A19" s="95">
        <f t="shared" si="0"/>
        <v>11</v>
      </c>
      <c r="B19" s="44" t="s">
        <v>245</v>
      </c>
      <c r="C19" s="617">
        <v>0</v>
      </c>
      <c r="D19" s="97"/>
      <c r="E19" s="97"/>
      <c r="F19" s="97"/>
      <c r="G19" s="97"/>
      <c r="H19" s="97"/>
      <c r="I19" s="97"/>
      <c r="J19" s="97"/>
      <c r="K19" s="97"/>
      <c r="L19" s="97"/>
    </row>
    <row r="20" spans="1:40" x14ac:dyDescent="0.2">
      <c r="A20" s="95">
        <f t="shared" si="0"/>
        <v>12</v>
      </c>
      <c r="B20" s="44" t="s">
        <v>75</v>
      </c>
      <c r="C20" s="98">
        <f>SUM(C17:C19)</f>
        <v>-52008436.43</v>
      </c>
      <c r="D20" s="98">
        <f>SUM(D17:D18)</f>
        <v>-2690805.05</v>
      </c>
      <c r="E20" s="98">
        <f>SUM(E17:E18)</f>
        <v>-49317631.379999995</v>
      </c>
      <c r="F20" s="188"/>
      <c r="G20" s="188"/>
      <c r="H20" s="188"/>
      <c r="I20" s="188"/>
      <c r="J20" s="188"/>
      <c r="K20" s="188"/>
      <c r="L20" s="188"/>
    </row>
    <row r="21" spans="1:40" x14ac:dyDescent="0.2">
      <c r="A21" s="95">
        <f t="shared" si="0"/>
        <v>13</v>
      </c>
      <c r="B21" s="44"/>
      <c r="C21" s="48"/>
      <c r="D21" s="48"/>
      <c r="E21" s="48"/>
      <c r="F21" s="48"/>
      <c r="G21" s="48"/>
      <c r="H21" s="48"/>
      <c r="I21" s="48"/>
      <c r="J21" s="48"/>
      <c r="K21" s="48"/>
      <c r="L21" s="48"/>
      <c r="M21" s="49"/>
    </row>
    <row r="22" spans="1:40" x14ac:dyDescent="0.2">
      <c r="A22" s="95">
        <f t="shared" si="0"/>
        <v>14</v>
      </c>
      <c r="B22" s="44" t="s">
        <v>406</v>
      </c>
      <c r="C22" s="48">
        <f>+C12+C20</f>
        <v>-50280302.310000002</v>
      </c>
      <c r="D22" s="48"/>
      <c r="E22" s="48"/>
      <c r="F22" s="48"/>
      <c r="G22" s="48"/>
      <c r="H22" s="48"/>
      <c r="I22" s="48"/>
      <c r="J22" s="48"/>
      <c r="K22" s="48"/>
      <c r="L22" s="48"/>
    </row>
    <row r="23" spans="1:40" x14ac:dyDescent="0.2">
      <c r="A23" s="95">
        <f t="shared" si="0"/>
        <v>15</v>
      </c>
      <c r="B23" s="384"/>
      <c r="C23" s="383"/>
      <c r="D23" s="48"/>
      <c r="E23" s="48"/>
      <c r="F23" s="48"/>
      <c r="G23" s="48"/>
      <c r="H23" s="48"/>
      <c r="I23" s="48"/>
      <c r="J23" s="48"/>
      <c r="K23" s="48"/>
      <c r="L23" s="48"/>
    </row>
    <row r="24" spans="1:40" x14ac:dyDescent="0.2">
      <c r="A24" s="95">
        <f t="shared" si="0"/>
        <v>16</v>
      </c>
      <c r="D24" s="48"/>
      <c r="E24" s="48"/>
      <c r="F24" s="48"/>
      <c r="G24" s="48"/>
      <c r="H24" s="48"/>
      <c r="I24" s="48"/>
      <c r="J24" s="48"/>
      <c r="K24" s="48"/>
      <c r="L24" s="48"/>
    </row>
    <row r="25" spans="1:40" x14ac:dyDescent="0.2">
      <c r="A25" s="95">
        <f t="shared" si="0"/>
        <v>17</v>
      </c>
      <c r="B25" s="56" t="s">
        <v>76</v>
      </c>
      <c r="D25" s="48"/>
      <c r="E25" s="48"/>
      <c r="F25" s="48"/>
      <c r="G25" s="48"/>
      <c r="H25" s="48"/>
      <c r="I25" s="48"/>
      <c r="J25" s="48"/>
      <c r="K25" s="48"/>
      <c r="L25" s="48"/>
      <c r="P25" s="103"/>
    </row>
    <row r="26" spans="1:40" x14ac:dyDescent="0.2">
      <c r="A26" s="95">
        <f t="shared" si="0"/>
        <v>18</v>
      </c>
      <c r="B26" s="44" t="s">
        <v>252</v>
      </c>
      <c r="D26" s="104">
        <v>0</v>
      </c>
      <c r="E26" s="103"/>
      <c r="F26" s="105"/>
      <c r="G26" s="105"/>
      <c r="H26" s="105"/>
      <c r="I26" s="105"/>
      <c r="J26" s="105"/>
      <c r="K26" s="105"/>
      <c r="L26" s="105"/>
      <c r="M26" s="103"/>
    </row>
    <row r="27" spans="1:40" x14ac:dyDescent="0.2">
      <c r="A27" s="95">
        <f t="shared" si="0"/>
        <v>19</v>
      </c>
      <c r="B27" s="44" t="s">
        <v>253</v>
      </c>
      <c r="D27" s="104">
        <v>1</v>
      </c>
      <c r="E27" s="105"/>
      <c r="F27" s="105"/>
      <c r="G27" s="105"/>
      <c r="H27" s="105"/>
      <c r="I27" s="105"/>
      <c r="J27" s="105"/>
      <c r="K27" s="105"/>
      <c r="L27" s="105"/>
      <c r="M27" s="103"/>
    </row>
    <row r="28" spans="1:40" x14ac:dyDescent="0.2">
      <c r="A28" s="95">
        <f t="shared" si="0"/>
        <v>20</v>
      </c>
      <c r="B28" s="64"/>
      <c r="D28" s="379"/>
      <c r="E28" s="380"/>
      <c r="F28" s="380"/>
      <c r="G28" s="380"/>
      <c r="H28" s="380"/>
      <c r="I28" s="380"/>
      <c r="J28" s="380"/>
      <c r="K28" s="380"/>
      <c r="L28" s="380"/>
      <c r="V28" s="58"/>
      <c r="W28" s="58"/>
      <c r="X28" s="58"/>
      <c r="Y28" s="58"/>
      <c r="Z28" s="58"/>
      <c r="AA28" s="58"/>
      <c r="AB28" s="58"/>
      <c r="AC28" s="58"/>
      <c r="AD28" s="58"/>
      <c r="AE28" s="58"/>
      <c r="AF28" s="58"/>
      <c r="AG28" s="58"/>
      <c r="AH28" s="58"/>
      <c r="AI28" s="58"/>
      <c r="AJ28" s="58"/>
      <c r="AK28" s="58"/>
      <c r="AL28" s="58"/>
      <c r="AM28" s="58"/>
      <c r="AN28" s="58"/>
    </row>
    <row r="29" spans="1:40" x14ac:dyDescent="0.2">
      <c r="A29" s="95">
        <f t="shared" si="0"/>
        <v>21</v>
      </c>
      <c r="B29" s="64"/>
      <c r="C29" s="107" t="s">
        <v>10</v>
      </c>
      <c r="D29" s="101" t="s">
        <v>71</v>
      </c>
      <c r="E29" s="102" t="s">
        <v>72</v>
      </c>
      <c r="F29" s="393"/>
      <c r="G29" s="393"/>
      <c r="H29" s="393"/>
      <c r="I29" s="393"/>
      <c r="J29" s="393"/>
      <c r="K29" s="393"/>
      <c r="L29" s="393"/>
      <c r="V29" s="58"/>
      <c r="W29" s="58"/>
      <c r="X29" s="58"/>
      <c r="Y29" s="58"/>
      <c r="Z29" s="58"/>
      <c r="AA29" s="58"/>
      <c r="AB29" s="58"/>
      <c r="AC29" s="58"/>
      <c r="AD29" s="58"/>
      <c r="AE29" s="58"/>
      <c r="AF29" s="58"/>
      <c r="AG29" s="58"/>
      <c r="AH29" s="58"/>
      <c r="AI29" s="58"/>
      <c r="AJ29" s="58"/>
      <c r="AK29" s="58"/>
      <c r="AL29" s="58"/>
      <c r="AM29" s="58"/>
      <c r="AN29" s="58"/>
    </row>
    <row r="30" spans="1:40" x14ac:dyDescent="0.2">
      <c r="A30" s="95">
        <f t="shared" si="0"/>
        <v>22</v>
      </c>
      <c r="B30" s="44" t="s">
        <v>77</v>
      </c>
      <c r="C30" s="48">
        <f>+C17*D26</f>
        <v>0</v>
      </c>
      <c r="D30" s="48">
        <f>+D17*D26</f>
        <v>0</v>
      </c>
      <c r="E30" s="48">
        <f>C30-D30</f>
        <v>0</v>
      </c>
      <c r="F30" s="123"/>
      <c r="G30" s="48"/>
      <c r="H30" s="48"/>
      <c r="I30" s="48"/>
      <c r="J30" s="48"/>
      <c r="K30" s="48"/>
      <c r="L30" s="48"/>
      <c r="M30" s="108"/>
      <c r="V30" s="109"/>
      <c r="W30" s="110"/>
      <c r="X30" s="110"/>
      <c r="Y30" s="111"/>
      <c r="Z30" s="111"/>
      <c r="AA30" s="111"/>
      <c r="AB30" s="111"/>
      <c r="AC30" s="111"/>
      <c r="AD30" s="111"/>
      <c r="AE30" s="111"/>
      <c r="AF30" s="111"/>
      <c r="AG30" s="111"/>
      <c r="AH30" s="111"/>
      <c r="AI30" s="58"/>
      <c r="AJ30" s="58"/>
      <c r="AK30" s="58"/>
      <c r="AL30" s="58"/>
      <c r="AM30" s="58"/>
      <c r="AN30" s="58"/>
    </row>
    <row r="31" spans="1:40" x14ac:dyDescent="0.2">
      <c r="A31" s="95">
        <f t="shared" si="0"/>
        <v>23</v>
      </c>
      <c r="B31" s="44" t="s">
        <v>78</v>
      </c>
      <c r="C31" s="48">
        <f>+C18*D27</f>
        <v>-52007606.359999999</v>
      </c>
      <c r="D31" s="106">
        <f>D18*D27</f>
        <v>-1491577.38</v>
      </c>
      <c r="E31" s="48">
        <f>+C31-D31</f>
        <v>-50516028.979999997</v>
      </c>
      <c r="F31" s="48"/>
      <c r="G31" s="48"/>
      <c r="H31" s="48"/>
      <c r="I31" s="48"/>
      <c r="J31" s="48"/>
      <c r="K31" s="48"/>
      <c r="L31" s="48"/>
      <c r="M31" s="48"/>
      <c r="V31" s="58"/>
      <c r="W31" s="110"/>
      <c r="X31" s="110"/>
      <c r="Y31" s="110"/>
      <c r="Z31" s="110"/>
      <c r="AA31" s="110"/>
      <c r="AB31" s="110"/>
      <c r="AC31" s="110"/>
      <c r="AD31" s="110"/>
      <c r="AE31" s="110"/>
      <c r="AF31" s="110"/>
      <c r="AG31" s="110"/>
      <c r="AH31" s="110"/>
      <c r="AI31" s="110"/>
      <c r="AJ31" s="110"/>
      <c r="AK31" s="110"/>
      <c r="AL31" s="110"/>
      <c r="AM31" s="110"/>
      <c r="AN31" s="110"/>
    </row>
    <row r="32" spans="1:40" x14ac:dyDescent="0.2">
      <c r="A32" s="95">
        <f t="shared" si="0"/>
        <v>24</v>
      </c>
      <c r="B32" s="44" t="s">
        <v>10</v>
      </c>
      <c r="C32" s="98">
        <f>+C30+C31</f>
        <v>-52007606.359999999</v>
      </c>
      <c r="D32" s="98">
        <f>SUM(D30:D31)</f>
        <v>-1491577.38</v>
      </c>
      <c r="E32" s="98">
        <f>SUM(E30:E31)</f>
        <v>-50516028.979999997</v>
      </c>
      <c r="F32" s="188"/>
      <c r="G32" s="188"/>
      <c r="H32" s="188"/>
      <c r="I32" s="188"/>
      <c r="J32" s="188"/>
      <c r="K32" s="188"/>
      <c r="L32" s="188"/>
      <c r="V32" s="58"/>
      <c r="W32" s="58"/>
      <c r="X32" s="58"/>
      <c r="Y32" s="58"/>
      <c r="Z32" s="58"/>
      <c r="AA32" s="58"/>
      <c r="AB32" s="58"/>
      <c r="AC32" s="58"/>
      <c r="AD32" s="58"/>
      <c r="AE32" s="58"/>
      <c r="AF32" s="58"/>
      <c r="AG32" s="58"/>
      <c r="AH32" s="58"/>
      <c r="AI32" s="58"/>
      <c r="AJ32" s="58"/>
      <c r="AK32" s="58"/>
      <c r="AL32" s="58"/>
      <c r="AM32" s="58"/>
      <c r="AN32" s="58"/>
    </row>
    <row r="33" spans="1:41" x14ac:dyDescent="0.2">
      <c r="A33" s="95">
        <f t="shared" si="0"/>
        <v>25</v>
      </c>
      <c r="D33" s="48"/>
      <c r="E33" s="48"/>
      <c r="F33" s="48"/>
      <c r="G33" s="48"/>
      <c r="H33" s="48"/>
      <c r="I33" s="48"/>
      <c r="J33" s="48"/>
      <c r="K33" s="48"/>
      <c r="L33" s="48"/>
      <c r="V33" s="58"/>
      <c r="W33" s="58"/>
      <c r="X33" s="58"/>
      <c r="Y33" s="58"/>
      <c r="Z33" s="58"/>
      <c r="AA33" s="58"/>
      <c r="AB33" s="58"/>
      <c r="AC33" s="58"/>
      <c r="AD33" s="58"/>
      <c r="AE33" s="58"/>
      <c r="AF33" s="58"/>
      <c r="AG33" s="58"/>
      <c r="AH33" s="58"/>
      <c r="AI33" s="58"/>
      <c r="AJ33" s="58"/>
      <c r="AK33" s="58"/>
      <c r="AL33" s="58"/>
      <c r="AM33" s="58"/>
      <c r="AN33" s="58"/>
    </row>
    <row r="34" spans="1:41" x14ac:dyDescent="0.2">
      <c r="A34" s="95">
        <f t="shared" si="0"/>
        <v>26</v>
      </c>
      <c r="D34" s="48"/>
      <c r="E34" s="48"/>
      <c r="F34" s="48"/>
      <c r="G34" s="48"/>
      <c r="H34" s="48"/>
      <c r="I34" s="48"/>
      <c r="J34" s="48"/>
      <c r="K34" s="48"/>
      <c r="L34" s="48"/>
      <c r="V34" s="58"/>
      <c r="W34" s="58"/>
      <c r="X34" s="58"/>
      <c r="Y34" s="58"/>
      <c r="Z34" s="58"/>
      <c r="AA34" s="58"/>
      <c r="AB34" s="58"/>
      <c r="AC34" s="58"/>
      <c r="AD34" s="58"/>
      <c r="AE34" s="58"/>
      <c r="AF34" s="58"/>
      <c r="AG34" s="58"/>
      <c r="AH34" s="58"/>
      <c r="AI34" s="58"/>
      <c r="AJ34" s="58"/>
      <c r="AK34" s="58"/>
      <c r="AL34" s="58"/>
      <c r="AM34" s="58"/>
      <c r="AN34" s="58"/>
    </row>
    <row r="35" spans="1:41" x14ac:dyDescent="0.2">
      <c r="A35" s="95">
        <f t="shared" si="0"/>
        <v>27</v>
      </c>
      <c r="B35" s="56" t="s">
        <v>265</v>
      </c>
      <c r="V35" s="58"/>
      <c r="W35" s="58"/>
      <c r="X35" s="58"/>
      <c r="Y35" s="58"/>
      <c r="Z35" s="58"/>
      <c r="AA35" s="58"/>
      <c r="AB35" s="58"/>
      <c r="AC35" s="58"/>
      <c r="AD35" s="58"/>
      <c r="AE35" s="58"/>
      <c r="AF35" s="58"/>
      <c r="AG35" s="58"/>
      <c r="AH35" s="58"/>
      <c r="AI35" s="58"/>
      <c r="AJ35" s="58"/>
      <c r="AK35" s="58"/>
      <c r="AL35" s="58"/>
      <c r="AM35" s="58"/>
      <c r="AN35" s="58"/>
    </row>
    <row r="36" spans="1:41" x14ac:dyDescent="0.2">
      <c r="A36" s="95">
        <f t="shared" si="0"/>
        <v>28</v>
      </c>
      <c r="B36" s="23"/>
      <c r="C36" s="41" t="s">
        <v>10</v>
      </c>
      <c r="V36" s="109"/>
      <c r="W36" s="110"/>
      <c r="X36" s="110"/>
      <c r="Y36" s="111"/>
      <c r="Z36" s="111"/>
      <c r="AA36" s="111"/>
      <c r="AB36" s="111"/>
      <c r="AC36" s="111"/>
      <c r="AD36" s="111"/>
      <c r="AE36" s="111"/>
      <c r="AF36" s="111"/>
      <c r="AG36" s="111"/>
      <c r="AH36" s="111"/>
      <c r="AI36" s="58"/>
      <c r="AJ36" s="58"/>
      <c r="AK36" s="58"/>
      <c r="AL36" s="58"/>
      <c r="AM36" s="58"/>
      <c r="AN36" s="58"/>
    </row>
    <row r="37" spans="1:41" x14ac:dyDescent="0.2">
      <c r="A37" s="95">
        <f t="shared" si="0"/>
        <v>29</v>
      </c>
      <c r="B37" s="44" t="s">
        <v>412</v>
      </c>
      <c r="C37" s="112">
        <f>+C9+C30+C11</f>
        <v>-285236.37</v>
      </c>
      <c r="D37" s="382"/>
      <c r="E37" s="113"/>
      <c r="F37" s="113"/>
      <c r="G37" s="113"/>
      <c r="H37" s="113"/>
      <c r="I37" s="113"/>
      <c r="J37" s="113"/>
      <c r="K37" s="113"/>
      <c r="L37" s="113"/>
      <c r="M37" s="113"/>
      <c r="V37" s="58"/>
      <c r="W37" s="110"/>
      <c r="X37" s="110"/>
      <c r="Y37" s="110"/>
      <c r="Z37" s="110"/>
      <c r="AA37" s="110"/>
      <c r="AB37" s="110"/>
      <c r="AC37" s="110"/>
      <c r="AD37" s="110"/>
      <c r="AE37" s="110"/>
      <c r="AF37" s="110"/>
      <c r="AG37" s="110"/>
      <c r="AH37" s="110"/>
      <c r="AI37" s="110"/>
      <c r="AJ37" s="110"/>
      <c r="AK37" s="110"/>
      <c r="AL37" s="110"/>
      <c r="AM37" s="110"/>
      <c r="AN37" s="110"/>
    </row>
    <row r="38" spans="1:41" x14ac:dyDescent="0.2">
      <c r="A38" s="95">
        <f t="shared" si="0"/>
        <v>30</v>
      </c>
      <c r="B38" s="44" t="s">
        <v>79</v>
      </c>
      <c r="C38" s="112">
        <f>C10+C31</f>
        <v>-49994235.870000005</v>
      </c>
      <c r="D38" s="381"/>
      <c r="M38" s="113"/>
      <c r="V38" s="58"/>
      <c r="W38" s="58"/>
      <c r="X38" s="58"/>
      <c r="Y38" s="58"/>
      <c r="Z38" s="58"/>
      <c r="AA38" s="58"/>
      <c r="AB38" s="58"/>
      <c r="AC38" s="58"/>
      <c r="AD38" s="58"/>
      <c r="AE38" s="58"/>
      <c r="AF38" s="58"/>
      <c r="AG38" s="58"/>
      <c r="AH38" s="58"/>
      <c r="AI38" s="58"/>
      <c r="AJ38" s="58"/>
      <c r="AK38" s="58"/>
      <c r="AL38" s="58"/>
      <c r="AM38" s="58"/>
      <c r="AN38" s="58"/>
    </row>
    <row r="39" spans="1:41" x14ac:dyDescent="0.2">
      <c r="A39" s="95">
        <f t="shared" si="0"/>
        <v>31</v>
      </c>
      <c r="B39" s="44" t="s">
        <v>245</v>
      </c>
      <c r="C39" s="112">
        <f>C19</f>
        <v>0</v>
      </c>
      <c r="D39" s="114"/>
      <c r="E39" s="113"/>
      <c r="F39" s="113"/>
      <c r="G39" s="113"/>
      <c r="H39" s="113"/>
      <c r="I39" s="113"/>
      <c r="J39" s="113"/>
      <c r="K39" s="113"/>
      <c r="L39" s="113"/>
      <c r="M39" s="113"/>
      <c r="V39" s="58"/>
      <c r="W39" s="58"/>
      <c r="X39" s="58"/>
      <c r="Y39" s="58"/>
      <c r="Z39" s="58"/>
      <c r="AA39" s="58"/>
      <c r="AB39" s="58"/>
      <c r="AC39" s="58"/>
      <c r="AD39" s="58"/>
      <c r="AE39" s="58"/>
      <c r="AF39" s="58"/>
      <c r="AG39" s="58"/>
      <c r="AH39" s="58"/>
      <c r="AI39" s="58"/>
      <c r="AJ39" s="58"/>
      <c r="AK39" s="58"/>
      <c r="AL39" s="58"/>
      <c r="AM39" s="58"/>
      <c r="AN39" s="58"/>
    </row>
    <row r="40" spans="1:41" x14ac:dyDescent="0.2">
      <c r="A40" s="95">
        <f t="shared" si="0"/>
        <v>32</v>
      </c>
      <c r="B40" s="44" t="s">
        <v>10</v>
      </c>
      <c r="C40" s="115">
        <f>SUM(C37:C39)</f>
        <v>-50279472.240000002</v>
      </c>
      <c r="D40" s="113"/>
      <c r="E40" s="113"/>
      <c r="F40" s="113"/>
      <c r="G40" s="113"/>
      <c r="H40" s="113"/>
      <c r="I40" s="113"/>
      <c r="J40" s="113"/>
      <c r="K40" s="113"/>
      <c r="L40" s="113"/>
      <c r="M40" s="113"/>
      <c r="N40" s="113"/>
      <c r="V40" s="58"/>
      <c r="W40" s="58"/>
      <c r="X40" s="58"/>
      <c r="Y40" s="58"/>
      <c r="Z40" s="58"/>
      <c r="AA40" s="58"/>
      <c r="AB40" s="58"/>
      <c r="AC40" s="58"/>
      <c r="AD40" s="58"/>
      <c r="AE40" s="58"/>
      <c r="AF40" s="58"/>
      <c r="AG40" s="58"/>
      <c r="AH40" s="58"/>
      <c r="AI40" s="58"/>
      <c r="AJ40" s="58"/>
      <c r="AK40" s="58"/>
      <c r="AL40" s="58"/>
      <c r="AM40" s="58"/>
      <c r="AN40" s="58"/>
    </row>
    <row r="41" spans="1:41" x14ac:dyDescent="0.2">
      <c r="A41" s="95">
        <f t="shared" si="0"/>
        <v>33</v>
      </c>
      <c r="C41" s="116"/>
      <c r="V41" s="58"/>
      <c r="W41" s="58"/>
      <c r="X41" s="58"/>
      <c r="Y41" s="58"/>
      <c r="Z41" s="58"/>
      <c r="AA41" s="58"/>
      <c r="AB41" s="58"/>
      <c r="AC41" s="58"/>
      <c r="AD41" s="58"/>
      <c r="AE41" s="58"/>
      <c r="AF41" s="58"/>
      <c r="AG41" s="58"/>
      <c r="AH41" s="58"/>
      <c r="AI41" s="58"/>
      <c r="AJ41" s="58"/>
      <c r="AK41" s="58"/>
      <c r="AL41" s="58"/>
      <c r="AM41" s="58"/>
      <c r="AN41" s="58"/>
    </row>
    <row r="42" spans="1:41" x14ac:dyDescent="0.2">
      <c r="A42" s="95">
        <f t="shared" si="0"/>
        <v>34</v>
      </c>
      <c r="V42" s="109"/>
      <c r="W42" s="110"/>
      <c r="X42" s="110"/>
      <c r="Y42" s="110"/>
      <c r="Z42" s="110"/>
      <c r="AA42" s="110"/>
      <c r="AB42" s="110"/>
      <c r="AC42" s="110"/>
      <c r="AD42" s="110"/>
      <c r="AE42" s="110"/>
      <c r="AF42" s="110"/>
      <c r="AG42" s="110"/>
      <c r="AH42" s="110"/>
      <c r="AI42" s="58"/>
      <c r="AJ42" s="58"/>
      <c r="AK42" s="58"/>
      <c r="AL42" s="58"/>
      <c r="AM42" s="58"/>
      <c r="AN42" s="58"/>
    </row>
    <row r="43" spans="1:41" x14ac:dyDescent="0.2">
      <c r="A43" s="95">
        <f t="shared" si="0"/>
        <v>35</v>
      </c>
      <c r="B43" s="117" t="str">
        <f>"Projected 191 Balances "&amp;'Therm Forecast'!P6</f>
        <v>Projected 191 Balances Nov. 2024 - Oct. 2025</v>
      </c>
      <c r="V43" s="58"/>
      <c r="W43" s="110"/>
      <c r="X43" s="110"/>
      <c r="Y43" s="110"/>
      <c r="Z43" s="110"/>
      <c r="AA43" s="110"/>
      <c r="AB43" s="110"/>
      <c r="AC43" s="110"/>
      <c r="AD43" s="110"/>
      <c r="AE43" s="110"/>
      <c r="AF43" s="110"/>
      <c r="AG43" s="110"/>
      <c r="AH43" s="110"/>
      <c r="AI43" s="110"/>
      <c r="AJ43" s="110"/>
      <c r="AK43" s="110"/>
      <c r="AL43" s="110"/>
      <c r="AM43" s="110"/>
      <c r="AN43" s="110"/>
    </row>
    <row r="44" spans="1:41" x14ac:dyDescent="0.2">
      <c r="A44" s="95">
        <f t="shared" si="0"/>
        <v>36</v>
      </c>
      <c r="B44" s="118"/>
      <c r="C44" s="119" t="s">
        <v>80</v>
      </c>
      <c r="D44" s="120" t="s">
        <v>266</v>
      </c>
      <c r="E44" s="120"/>
      <c r="F44" s="120"/>
      <c r="G44" s="120"/>
      <c r="H44" s="120"/>
      <c r="I44" s="120"/>
      <c r="J44" s="120"/>
      <c r="K44" s="120"/>
      <c r="L44" s="120"/>
      <c r="V44" s="58"/>
      <c r="W44" s="58"/>
      <c r="X44" s="58"/>
      <c r="Y44" s="110"/>
      <c r="Z44" s="110"/>
      <c r="AA44" s="110"/>
      <c r="AB44" s="110"/>
      <c r="AC44" s="110"/>
      <c r="AD44" s="110"/>
      <c r="AE44" s="110"/>
      <c r="AF44" s="110"/>
      <c r="AG44" s="110"/>
      <c r="AH44" s="110"/>
      <c r="AI44" s="110"/>
      <c r="AJ44" s="110"/>
      <c r="AK44" s="110"/>
      <c r="AL44" s="110"/>
      <c r="AM44" s="110"/>
      <c r="AN44" s="110"/>
    </row>
    <row r="45" spans="1:41" x14ac:dyDescent="0.2">
      <c r="A45" s="95">
        <f t="shared" si="0"/>
        <v>37</v>
      </c>
      <c r="B45" s="118"/>
      <c r="C45" s="101" t="s">
        <v>81</v>
      </c>
      <c r="D45" s="101" t="s">
        <v>82</v>
      </c>
      <c r="E45" s="121"/>
      <c r="F45" s="121"/>
      <c r="G45" s="121"/>
      <c r="H45" s="121"/>
      <c r="I45" s="121"/>
      <c r="J45" s="121"/>
      <c r="K45" s="121"/>
      <c r="L45" s="121"/>
      <c r="V45" s="58"/>
      <c r="W45" s="58"/>
      <c r="X45" s="58"/>
      <c r="Y45" s="58"/>
      <c r="Z45" s="58"/>
      <c r="AA45" s="58"/>
      <c r="AB45" s="58"/>
      <c r="AC45" s="58"/>
      <c r="AD45" s="58"/>
      <c r="AE45" s="58"/>
      <c r="AF45" s="58"/>
      <c r="AG45" s="58"/>
      <c r="AH45" s="58"/>
      <c r="AI45" s="58"/>
      <c r="AJ45" s="58"/>
      <c r="AK45" s="58"/>
      <c r="AL45" s="58"/>
      <c r="AM45" s="58"/>
      <c r="AN45" s="58"/>
    </row>
    <row r="46" spans="1:41" x14ac:dyDescent="0.2">
      <c r="A46" s="95">
        <f t="shared" si="0"/>
        <v>38</v>
      </c>
      <c r="B46" s="44" t="s">
        <v>83</v>
      </c>
      <c r="C46" s="412">
        <v>-13770378.670000004</v>
      </c>
      <c r="D46" s="159">
        <v>-1236455.4500000002</v>
      </c>
      <c r="F46" s="123"/>
      <c r="G46" s="58"/>
      <c r="H46" s="123"/>
      <c r="I46" s="123"/>
      <c r="J46" s="123"/>
      <c r="K46" s="123"/>
      <c r="L46" s="123"/>
      <c r="W46" s="58"/>
      <c r="X46" s="58"/>
      <c r="Y46" s="58"/>
      <c r="Z46" s="58"/>
      <c r="AA46" s="58"/>
      <c r="AB46" s="58"/>
      <c r="AC46" s="58"/>
      <c r="AD46" s="58"/>
      <c r="AE46" s="58"/>
      <c r="AF46" s="58"/>
      <c r="AG46" s="58"/>
      <c r="AH46" s="58"/>
      <c r="AI46" s="58"/>
      <c r="AJ46" s="58"/>
      <c r="AK46" s="58"/>
      <c r="AL46" s="58"/>
      <c r="AM46" s="58"/>
      <c r="AN46" s="58"/>
      <c r="AO46" s="58"/>
    </row>
    <row r="47" spans="1:41" x14ac:dyDescent="0.2">
      <c r="A47" s="95">
        <f t="shared" si="0"/>
        <v>39</v>
      </c>
      <c r="B47" s="44" t="s">
        <v>84</v>
      </c>
      <c r="C47" s="159">
        <v>14659460.086666666</v>
      </c>
      <c r="D47" s="159">
        <v>1022048.25</v>
      </c>
      <c r="E47" s="123"/>
      <c r="F47" s="123"/>
      <c r="G47" s="123"/>
      <c r="H47" s="123"/>
      <c r="I47" s="123"/>
      <c r="J47" s="123"/>
      <c r="K47" s="123"/>
      <c r="L47" s="123"/>
      <c r="M47" s="58"/>
      <c r="N47" s="103"/>
      <c r="O47" s="103"/>
      <c r="P47" s="103"/>
      <c r="Q47" s="103"/>
      <c r="W47" s="58"/>
      <c r="X47" s="58"/>
      <c r="Y47" s="58"/>
      <c r="Z47" s="58"/>
      <c r="AA47" s="58"/>
      <c r="AB47" s="58"/>
      <c r="AC47" s="58"/>
      <c r="AD47" s="58"/>
      <c r="AE47" s="58"/>
      <c r="AF47" s="58"/>
      <c r="AG47" s="58"/>
      <c r="AH47" s="58"/>
      <c r="AI47" s="58"/>
      <c r="AJ47" s="58"/>
      <c r="AK47" s="58"/>
      <c r="AL47" s="58"/>
      <c r="AM47" s="58"/>
      <c r="AN47" s="58"/>
      <c r="AO47" s="58"/>
    </row>
    <row r="48" spans="1:41" x14ac:dyDescent="0.2">
      <c r="A48" s="95">
        <f t="shared" si="0"/>
        <v>40</v>
      </c>
      <c r="B48" s="124" t="s">
        <v>85</v>
      </c>
      <c r="C48" s="159">
        <v>-17952323.379166666</v>
      </c>
      <c r="D48" s="159">
        <v>-1514286.19</v>
      </c>
      <c r="E48" s="123"/>
      <c r="F48" s="123"/>
      <c r="G48" s="123"/>
      <c r="H48" s="123"/>
      <c r="I48" s="123"/>
      <c r="J48" s="123"/>
      <c r="K48" s="123"/>
      <c r="L48" s="123"/>
      <c r="V48" s="109"/>
      <c r="W48" s="110"/>
      <c r="X48" s="110"/>
      <c r="Y48" s="110"/>
      <c r="Z48" s="110"/>
      <c r="AA48" s="110"/>
      <c r="AB48" s="110"/>
      <c r="AC48" s="110"/>
      <c r="AD48" s="110"/>
      <c r="AE48" s="110"/>
      <c r="AF48" s="110"/>
      <c r="AG48" s="110"/>
      <c r="AH48" s="110"/>
      <c r="AI48" s="58"/>
      <c r="AJ48" s="58"/>
      <c r="AK48" s="58"/>
      <c r="AL48" s="58"/>
      <c r="AM48" s="58"/>
      <c r="AN48" s="58"/>
    </row>
    <row r="49" spans="1:40" x14ac:dyDescent="0.2">
      <c r="A49" s="95">
        <f t="shared" si="0"/>
        <v>41</v>
      </c>
      <c r="B49" s="124" t="s">
        <v>86</v>
      </c>
      <c r="C49" s="159">
        <v>0</v>
      </c>
      <c r="D49" s="159">
        <v>0</v>
      </c>
      <c r="E49" s="123"/>
      <c r="F49" s="123"/>
      <c r="G49" s="123"/>
      <c r="H49" s="123"/>
      <c r="I49" s="123"/>
      <c r="J49" s="123"/>
      <c r="K49" s="123"/>
      <c r="L49" s="123"/>
      <c r="V49" s="58"/>
      <c r="W49" s="110"/>
      <c r="X49" s="110"/>
      <c r="Y49" s="110"/>
      <c r="Z49" s="110"/>
      <c r="AA49" s="110"/>
      <c r="AB49" s="110"/>
      <c r="AC49" s="110"/>
      <c r="AD49" s="110"/>
      <c r="AE49" s="110"/>
      <c r="AF49" s="110"/>
      <c r="AG49" s="110"/>
      <c r="AH49" s="110"/>
      <c r="AI49" s="110"/>
      <c r="AJ49" s="110"/>
      <c r="AK49" s="110"/>
      <c r="AL49" s="110"/>
      <c r="AM49" s="110"/>
      <c r="AN49" s="110"/>
    </row>
    <row r="50" spans="1:40" x14ac:dyDescent="0.2">
      <c r="A50" s="95">
        <f t="shared" si="0"/>
        <v>42</v>
      </c>
      <c r="B50" s="125" t="s">
        <v>87</v>
      </c>
      <c r="C50" s="159">
        <v>0</v>
      </c>
      <c r="D50" s="159">
        <v>0</v>
      </c>
      <c r="E50" s="123"/>
      <c r="F50" s="123"/>
      <c r="G50" s="123"/>
      <c r="H50" s="123"/>
      <c r="I50" s="123"/>
      <c r="J50" s="123"/>
      <c r="K50" s="123"/>
      <c r="L50" s="123"/>
      <c r="V50" s="58"/>
      <c r="W50" s="58"/>
      <c r="X50" s="58"/>
      <c r="Y50" s="110"/>
      <c r="Z50" s="110"/>
      <c r="AA50" s="110"/>
      <c r="AB50" s="110"/>
      <c r="AC50" s="110"/>
      <c r="AD50" s="110"/>
      <c r="AE50" s="110"/>
      <c r="AF50" s="110"/>
      <c r="AG50" s="110"/>
      <c r="AH50" s="110"/>
      <c r="AI50" s="110"/>
      <c r="AJ50" s="110"/>
      <c r="AK50" s="110"/>
      <c r="AL50" s="110"/>
      <c r="AM50" s="110"/>
      <c r="AN50" s="110"/>
    </row>
    <row r="51" spans="1:40" x14ac:dyDescent="0.2">
      <c r="A51" s="95">
        <f t="shared" si="0"/>
        <v>43</v>
      </c>
      <c r="B51" s="118" t="s">
        <v>88</v>
      </c>
      <c r="C51" s="618">
        <v>-17063241.950833332</v>
      </c>
      <c r="D51" s="618">
        <v>-1728693.36</v>
      </c>
      <c r="E51" s="126"/>
      <c r="F51" s="126"/>
      <c r="G51" s="126"/>
      <c r="H51" s="126"/>
      <c r="I51" s="126"/>
      <c r="J51" s="126"/>
      <c r="K51" s="126"/>
      <c r="L51" s="126"/>
      <c r="V51" s="58"/>
      <c r="W51" s="58"/>
      <c r="X51" s="58"/>
      <c r="Y51" s="58"/>
      <c r="Z51" s="58"/>
      <c r="AA51" s="58"/>
      <c r="AB51" s="58"/>
      <c r="AC51" s="58"/>
      <c r="AD51" s="58"/>
      <c r="AE51" s="58"/>
      <c r="AF51" s="58"/>
      <c r="AG51" s="58"/>
      <c r="AH51" s="58"/>
      <c r="AI51" s="58"/>
      <c r="AJ51" s="58"/>
      <c r="AK51" s="58"/>
      <c r="AL51" s="58"/>
      <c r="AM51" s="58"/>
      <c r="AN51" s="58"/>
    </row>
    <row r="52" spans="1:40" x14ac:dyDescent="0.2">
      <c r="B52" s="124"/>
      <c r="C52" s="127"/>
      <c r="D52" s="122"/>
      <c r="E52" s="103"/>
      <c r="F52" s="103"/>
      <c r="G52" s="103"/>
      <c r="H52" s="103"/>
      <c r="I52" s="103"/>
      <c r="J52" s="103"/>
      <c r="K52" s="103"/>
      <c r="L52" s="103"/>
    </row>
    <row r="53" spans="1:40" x14ac:dyDescent="0.2">
      <c r="B53" s="124"/>
      <c r="C53" s="127"/>
      <c r="D53" s="122"/>
      <c r="E53" s="103"/>
      <c r="F53" s="103"/>
      <c r="G53" s="103"/>
      <c r="H53" s="103"/>
      <c r="I53" s="103"/>
      <c r="J53" s="103"/>
      <c r="K53" s="103"/>
      <c r="L53" s="103"/>
    </row>
    <row r="54" spans="1:40" x14ac:dyDescent="0.2">
      <c r="A54" s="95" t="s">
        <v>54</v>
      </c>
    </row>
    <row r="55" spans="1:40" ht="30" customHeight="1" x14ac:dyDescent="0.2">
      <c r="A55" s="69" t="s">
        <v>55</v>
      </c>
      <c r="B55" s="645" t="s">
        <v>411</v>
      </c>
      <c r="C55" s="645"/>
      <c r="D55" s="645"/>
      <c r="E55" s="645"/>
      <c r="F55" s="435"/>
      <c r="G55" s="435"/>
      <c r="H55" s="435"/>
      <c r="I55" s="435"/>
      <c r="J55" s="435"/>
      <c r="K55" s="435"/>
      <c r="L55" s="435"/>
    </row>
    <row r="56" spans="1:40" x14ac:dyDescent="0.2">
      <c r="A56" s="69" t="s">
        <v>65</v>
      </c>
      <c r="B56" s="435" t="s">
        <v>89</v>
      </c>
      <c r="C56" s="48"/>
      <c r="D56" s="48"/>
      <c r="M56" s="103"/>
    </row>
    <row r="57" spans="1:40" ht="27.6" customHeight="1" x14ac:dyDescent="0.2">
      <c r="A57" s="69" t="s">
        <v>410</v>
      </c>
      <c r="B57" s="645" t="s">
        <v>421</v>
      </c>
      <c r="C57" s="645"/>
      <c r="D57" s="645"/>
      <c r="E57" s="645"/>
    </row>
    <row r="59" spans="1:40" x14ac:dyDescent="0.2">
      <c r="C59" s="435"/>
      <c r="D59" s="435"/>
      <c r="E59" s="435"/>
      <c r="F59" s="435"/>
      <c r="G59" s="435"/>
      <c r="H59" s="435"/>
      <c r="I59" s="435"/>
      <c r="J59" s="435"/>
      <c r="K59" s="435"/>
      <c r="L59" s="435"/>
    </row>
  </sheetData>
  <mergeCells count="6">
    <mergeCell ref="B55:E55"/>
    <mergeCell ref="B57:E57"/>
    <mergeCell ref="A1:E1"/>
    <mergeCell ref="A2:E2"/>
    <mergeCell ref="A3:E3"/>
    <mergeCell ref="A4:E4"/>
  </mergeCells>
  <pageMargins left="0.75" right="0.75" top="1" bottom="1" header="0.5" footer="0.5"/>
  <pageSetup scale="75" orientation="portrait" blackAndWhite="1" r:id="rId1"/>
  <headerFooter alignWithMargins="0">
    <oddFooter>&amp;L&amp;F
&amp;A&amp;RPage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sheetPr>
  <dimension ref="A1"/>
  <sheetViews>
    <sheetView workbookViewId="0">
      <selection activeCell="A2" sqref="A2"/>
    </sheetView>
  </sheetViews>
  <sheetFormatPr defaultColWidth="8.7109375" defaultRowHeight="12.75" x14ac:dyDescent="0.2"/>
  <cols>
    <col min="1" max="16384" width="8.7109375" style="1"/>
  </cols>
  <sheetData/>
  <pageMargins left="0.7" right="0.7" top="0.75" bottom="0.75" header="0.3" footer="0.3"/>
  <customProperties>
    <customPr name="_pios_id" r:id="rId1"/>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zoomScaleNormal="100" workbookViewId="0">
      <pane xSplit="3" ySplit="9" topLeftCell="L10" activePane="bottomRight" state="frozenSplit"/>
      <selection activeCell="P40" sqref="P40"/>
      <selection pane="topRight" activeCell="P40" sqref="P40"/>
      <selection pane="bottomLeft" activeCell="P40" sqref="P40"/>
      <selection pane="bottomRight" activeCell="V44" sqref="V44"/>
    </sheetView>
  </sheetViews>
  <sheetFormatPr defaultRowHeight="11.25" x14ac:dyDescent="0.2"/>
  <cols>
    <col min="1" max="1" width="5.140625" style="439" bestFit="1" customWidth="1"/>
    <col min="2" max="2" width="31.140625" style="439" customWidth="1"/>
    <col min="3" max="3" width="8.5703125" style="439" bestFit="1" customWidth="1"/>
    <col min="4" max="4" width="12" style="439" bestFit="1" customWidth="1"/>
    <col min="5" max="5" width="11.5703125" style="439" bestFit="1" customWidth="1"/>
    <col min="6" max="6" width="8.5703125" style="439" bestFit="1" customWidth="1"/>
    <col min="7" max="7" width="12" style="439" bestFit="1" customWidth="1"/>
    <col min="8" max="9" width="11.5703125" style="439" bestFit="1" customWidth="1"/>
    <col min="10" max="10" width="12.140625" style="439" bestFit="1" customWidth="1"/>
    <col min="11" max="15" width="10.7109375" style="439" bestFit="1" customWidth="1"/>
    <col min="16" max="16" width="10.42578125" style="439" bestFit="1" customWidth="1"/>
    <col min="17" max="17" width="10.7109375" style="439" bestFit="1" customWidth="1"/>
    <col min="18" max="18" width="10.42578125" style="439" bestFit="1" customWidth="1"/>
    <col min="19" max="19" width="10" style="439" bestFit="1" customWidth="1"/>
    <col min="20" max="21" width="10.7109375" style="439" bestFit="1" customWidth="1"/>
    <col min="22" max="22" width="12.85546875" style="439" bestFit="1" customWidth="1"/>
    <col min="23" max="23" width="10.42578125" style="439" bestFit="1" customWidth="1"/>
    <col min="24" max="24" width="7.140625" style="439" customWidth="1"/>
    <col min="25" max="25" width="11.5703125" style="439" customWidth="1"/>
    <col min="26" max="26" width="7.140625" style="439" customWidth="1"/>
    <col min="27" max="27" width="11.5703125" style="439" customWidth="1"/>
    <col min="28" max="28" width="12.85546875" style="439" customWidth="1"/>
    <col min="29" max="29" width="6.42578125" style="439" customWidth="1"/>
    <col min="30" max="16384" width="9.140625" style="439"/>
  </cols>
  <sheetData>
    <row r="1" spans="1:29" x14ac:dyDescent="0.2">
      <c r="A1" s="561" t="s">
        <v>1</v>
      </c>
      <c r="B1" s="438"/>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row>
    <row r="2" spans="1:29" x14ac:dyDescent="0.2">
      <c r="A2" s="561" t="s">
        <v>354</v>
      </c>
      <c r="B2" s="438"/>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row>
    <row r="3" spans="1:29" x14ac:dyDescent="0.2">
      <c r="A3" s="562" t="s">
        <v>353</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row>
    <row r="4" spans="1:29" x14ac:dyDescent="0.2">
      <c r="A4" s="562" t="s">
        <v>260</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row>
    <row r="5" spans="1:29" x14ac:dyDescent="0.2">
      <c r="F5" s="440"/>
      <c r="P5" s="440"/>
      <c r="Q5" s="440"/>
      <c r="R5" s="440"/>
      <c r="S5" s="440"/>
      <c r="T5" s="440"/>
    </row>
    <row r="6" spans="1:29" x14ac:dyDescent="0.2">
      <c r="F6" s="440"/>
      <c r="G6" s="441" t="s">
        <v>352</v>
      </c>
      <c r="P6" s="440"/>
      <c r="Q6" s="440"/>
      <c r="R6" s="440"/>
      <c r="S6" s="440"/>
      <c r="T6" s="440"/>
      <c r="V6" s="442" t="s">
        <v>351</v>
      </c>
      <c r="W6" s="442" t="s">
        <v>341</v>
      </c>
      <c r="X6" s="441" t="str">
        <f>W6</f>
        <v>Sch. 101</v>
      </c>
      <c r="Y6" s="442" t="s">
        <v>340</v>
      </c>
      <c r="Z6" s="441" t="str">
        <f>Y6</f>
        <v>Sch. 106</v>
      </c>
      <c r="AA6" s="441" t="s">
        <v>10</v>
      </c>
      <c r="AB6" s="441" t="str">
        <f>V6</f>
        <v>12ME Oct. 2025</v>
      </c>
    </row>
    <row r="7" spans="1:29" x14ac:dyDescent="0.2">
      <c r="B7" s="441"/>
      <c r="C7" s="441"/>
      <c r="D7" s="441" t="s">
        <v>350</v>
      </c>
      <c r="E7" s="441" t="str">
        <f>D7</f>
        <v>UG-220067</v>
      </c>
      <c r="F7" s="441" t="s">
        <v>349</v>
      </c>
      <c r="G7" s="441" t="s">
        <v>348</v>
      </c>
      <c r="H7" s="440"/>
      <c r="I7" s="441"/>
      <c r="J7" s="441"/>
      <c r="K7" s="441"/>
      <c r="L7" s="441"/>
      <c r="M7" s="441"/>
      <c r="N7" s="441"/>
      <c r="O7" s="441"/>
      <c r="P7" s="441"/>
      <c r="Q7" s="441"/>
      <c r="R7" s="441"/>
      <c r="S7" s="441"/>
      <c r="T7" s="441"/>
      <c r="U7" s="441"/>
      <c r="V7" s="441" t="s">
        <v>346</v>
      </c>
      <c r="W7" s="440" t="s">
        <v>347</v>
      </c>
      <c r="X7" s="440" t="str">
        <f>W7</f>
        <v>PGA</v>
      </c>
      <c r="Y7" s="440" t="s">
        <v>347</v>
      </c>
      <c r="Z7" s="440" t="str">
        <f>Y7</f>
        <v>PGA</v>
      </c>
      <c r="AA7" s="440" t="s">
        <v>347</v>
      </c>
      <c r="AB7" s="441" t="s">
        <v>346</v>
      </c>
      <c r="AC7" s="441"/>
    </row>
    <row r="8" spans="1:29" x14ac:dyDescent="0.2">
      <c r="A8" s="439" t="s">
        <v>3</v>
      </c>
      <c r="B8" s="441"/>
      <c r="C8" s="441" t="s">
        <v>344</v>
      </c>
      <c r="D8" s="441" t="s">
        <v>345</v>
      </c>
      <c r="E8" s="441" t="s">
        <v>342</v>
      </c>
      <c r="F8" s="441" t="s">
        <v>344</v>
      </c>
      <c r="G8" s="442" t="s">
        <v>343</v>
      </c>
      <c r="H8" s="440" t="s">
        <v>342</v>
      </c>
      <c r="I8" s="441" t="s">
        <v>341</v>
      </c>
      <c r="J8" s="441" t="s">
        <v>340</v>
      </c>
      <c r="K8" s="441" t="s">
        <v>339</v>
      </c>
      <c r="L8" s="441" t="s">
        <v>338</v>
      </c>
      <c r="M8" s="441" t="s">
        <v>337</v>
      </c>
      <c r="N8" s="441" t="s">
        <v>336</v>
      </c>
      <c r="O8" s="441" t="s">
        <v>335</v>
      </c>
      <c r="P8" s="441" t="s">
        <v>334</v>
      </c>
      <c r="Q8" s="441" t="s">
        <v>333</v>
      </c>
      <c r="R8" s="441" t="s">
        <v>332</v>
      </c>
      <c r="S8" s="441" t="s">
        <v>331</v>
      </c>
      <c r="T8" s="441" t="s">
        <v>330</v>
      </c>
      <c r="U8" s="441" t="s">
        <v>329</v>
      </c>
      <c r="V8" s="441" t="s">
        <v>328</v>
      </c>
      <c r="W8" s="441" t="s">
        <v>324</v>
      </c>
      <c r="X8" s="441" t="s">
        <v>90</v>
      </c>
      <c r="Y8" s="441" t="s">
        <v>324</v>
      </c>
      <c r="Z8" s="441" t="s">
        <v>90</v>
      </c>
      <c r="AA8" s="441" t="s">
        <v>324</v>
      </c>
      <c r="AB8" s="441" t="s">
        <v>328</v>
      </c>
      <c r="AC8" s="441" t="s">
        <v>90</v>
      </c>
    </row>
    <row r="9" spans="1:29" x14ac:dyDescent="0.2">
      <c r="A9" s="439" t="s">
        <v>7</v>
      </c>
      <c r="B9" s="443" t="s">
        <v>327</v>
      </c>
      <c r="C9" s="443" t="s">
        <v>326</v>
      </c>
      <c r="D9" s="443" t="s">
        <v>413</v>
      </c>
      <c r="E9" s="443" t="s">
        <v>414</v>
      </c>
      <c r="F9" s="443" t="s">
        <v>325</v>
      </c>
      <c r="G9" s="444" t="s">
        <v>266</v>
      </c>
      <c r="H9" s="443" t="s">
        <v>324</v>
      </c>
      <c r="I9" s="443" t="s">
        <v>324</v>
      </c>
      <c r="J9" s="443" t="s">
        <v>324</v>
      </c>
      <c r="K9" s="443" t="s">
        <v>324</v>
      </c>
      <c r="L9" s="443" t="s">
        <v>324</v>
      </c>
      <c r="M9" s="443" t="s">
        <v>324</v>
      </c>
      <c r="N9" s="443" t="s">
        <v>324</v>
      </c>
      <c r="O9" s="443" t="s">
        <v>324</v>
      </c>
      <c r="P9" s="443" t="s">
        <v>324</v>
      </c>
      <c r="Q9" s="443" t="s">
        <v>324</v>
      </c>
      <c r="R9" s="443" t="s">
        <v>324</v>
      </c>
      <c r="S9" s="443" t="s">
        <v>324</v>
      </c>
      <c r="T9" s="443" t="s">
        <v>324</v>
      </c>
      <c r="U9" s="443" t="s">
        <v>324</v>
      </c>
      <c r="V9" s="441" t="s">
        <v>415</v>
      </c>
      <c r="W9" s="443" t="s">
        <v>322</v>
      </c>
      <c r="X9" s="443" t="s">
        <v>322</v>
      </c>
      <c r="Y9" s="443" t="s">
        <v>322</v>
      </c>
      <c r="Z9" s="443" t="s">
        <v>322</v>
      </c>
      <c r="AA9" s="441" t="s">
        <v>322</v>
      </c>
      <c r="AB9" s="441" t="s">
        <v>323</v>
      </c>
      <c r="AC9" s="443" t="s">
        <v>322</v>
      </c>
    </row>
    <row r="10" spans="1:29" x14ac:dyDescent="0.2">
      <c r="B10" s="441" t="s">
        <v>91</v>
      </c>
      <c r="C10" s="441" t="s">
        <v>92</v>
      </c>
      <c r="D10" s="445" t="s">
        <v>93</v>
      </c>
      <c r="E10" s="446" t="s">
        <v>94</v>
      </c>
      <c r="F10" s="441" t="s">
        <v>321</v>
      </c>
      <c r="G10" s="441" t="s">
        <v>320</v>
      </c>
      <c r="H10" s="441" t="s">
        <v>319</v>
      </c>
      <c r="I10" s="441" t="s">
        <v>95</v>
      </c>
      <c r="J10" s="441" t="s">
        <v>96</v>
      </c>
      <c r="K10" s="441" t="s">
        <v>97</v>
      </c>
      <c r="L10" s="441" t="s">
        <v>318</v>
      </c>
      <c r="M10" s="446" t="s">
        <v>317</v>
      </c>
      <c r="N10" s="446" t="s">
        <v>316</v>
      </c>
      <c r="O10" s="446" t="s">
        <v>315</v>
      </c>
      <c r="P10" s="446" t="s">
        <v>314</v>
      </c>
      <c r="Q10" s="446" t="s">
        <v>313</v>
      </c>
      <c r="R10" s="446" t="s">
        <v>312</v>
      </c>
      <c r="S10" s="446" t="s">
        <v>311</v>
      </c>
      <c r="T10" s="446" t="s">
        <v>310</v>
      </c>
      <c r="U10" s="446" t="s">
        <v>309</v>
      </c>
      <c r="V10" s="446" t="s">
        <v>308</v>
      </c>
      <c r="W10" s="441" t="s">
        <v>307</v>
      </c>
      <c r="X10" s="441" t="s">
        <v>306</v>
      </c>
      <c r="Y10" s="441" t="s">
        <v>305</v>
      </c>
      <c r="Z10" s="441" t="s">
        <v>304</v>
      </c>
      <c r="AA10" s="441" t="s">
        <v>303</v>
      </c>
      <c r="AB10" s="441" t="s">
        <v>302</v>
      </c>
      <c r="AC10" s="441" t="s">
        <v>301</v>
      </c>
    </row>
    <row r="11" spans="1:29" x14ac:dyDescent="0.2">
      <c r="A11" s="440">
        <v>1</v>
      </c>
      <c r="B11" s="439" t="s">
        <v>4</v>
      </c>
      <c r="C11" s="440" t="s">
        <v>300</v>
      </c>
      <c r="D11" s="567">
        <v>620836684.05687141</v>
      </c>
      <c r="E11" s="453">
        <v>403613457.09474093</v>
      </c>
      <c r="F11" s="449">
        <f t="shared" ref="F11:F25" si="0">(E11)/D11</f>
        <v>0.6501121268436002</v>
      </c>
      <c r="G11" s="567">
        <v>563377415</v>
      </c>
      <c r="H11" s="450">
        <f t="shared" ref="H11:H24" si="1">F11*G11</f>
        <v>366258489.48129958</v>
      </c>
      <c r="I11" s="453">
        <v>313299814.25999999</v>
      </c>
      <c r="J11" s="448">
        <f>'Sch. 106'!L10</f>
        <v>-113650125.93000001</v>
      </c>
      <c r="K11" s="453">
        <v>36109134.87256062</v>
      </c>
      <c r="L11" s="453">
        <v>20597078.292400002</v>
      </c>
      <c r="M11" s="453">
        <v>48050459.72535</v>
      </c>
      <c r="N11" s="453">
        <v>8991503.5433999989</v>
      </c>
      <c r="O11" s="453">
        <v>9436571.7012499981</v>
      </c>
      <c r="P11" s="453">
        <v>-1239430.3129999998</v>
      </c>
      <c r="Q11" s="453">
        <v>26332260.377099998</v>
      </c>
      <c r="R11" s="453">
        <v>-2022524.9198499997</v>
      </c>
      <c r="S11" s="453">
        <v>50703.967350000006</v>
      </c>
      <c r="T11" s="453">
        <v>40101204.399699993</v>
      </c>
      <c r="U11" s="453">
        <v>24180158.649999999</v>
      </c>
      <c r="V11" s="451">
        <f t="shared" ref="V11:V24" si="2">SUM(H11:U11)</f>
        <v>776495298.10756028</v>
      </c>
      <c r="W11" s="453">
        <v>-1571822.9900000095</v>
      </c>
      <c r="X11" s="452">
        <f t="shared" ref="X11:X17" si="3">W11/V11</f>
        <v>-2.0242530686673654E-3</v>
      </c>
      <c r="Y11" s="448">
        <f>'Sch. 106'!N10</f>
        <v>80506632.610000014</v>
      </c>
      <c r="Z11" s="452">
        <f t="shared" ref="Z11:Z17" si="4">Y11/V11</f>
        <v>0.1036794849965057</v>
      </c>
      <c r="AA11" s="450">
        <f t="shared" ref="AA11:AA17" si="5">W11+Y11</f>
        <v>78934809.620000005</v>
      </c>
      <c r="AB11" s="450">
        <f t="shared" ref="AB11:AB24" si="6">V11+AA11</f>
        <v>855430107.72756028</v>
      </c>
      <c r="AC11" s="452">
        <f t="shared" ref="AC11:AC17" si="7">AA11/V11</f>
        <v>0.10165523192783833</v>
      </c>
    </row>
    <row r="12" spans="1:29" x14ac:dyDescent="0.2">
      <c r="A12" s="440">
        <f t="shared" ref="A12:A25" si="8">A11+1</f>
        <v>2</v>
      </c>
      <c r="B12" s="439" t="s">
        <v>299</v>
      </c>
      <c r="C12" s="440">
        <v>16</v>
      </c>
      <c r="D12" s="567">
        <v>8190.2669999999998</v>
      </c>
      <c r="E12" s="453">
        <v>5233.1499999999996</v>
      </c>
      <c r="F12" s="449">
        <f t="shared" si="0"/>
        <v>0.63894742381414427</v>
      </c>
      <c r="G12" s="567">
        <v>6156</v>
      </c>
      <c r="H12" s="450">
        <f t="shared" si="1"/>
        <v>3933.3603409998723</v>
      </c>
      <c r="I12" s="453">
        <v>3423.41</v>
      </c>
      <c r="J12" s="448">
        <f>'Sch. 106'!L11</f>
        <v>-1241.8499999999999</v>
      </c>
      <c r="K12" s="453">
        <v>739.38882947368415</v>
      </c>
      <c r="L12" s="453">
        <v>225.06336000000002</v>
      </c>
      <c r="M12" s="453"/>
      <c r="N12" s="453"/>
      <c r="O12" s="453">
        <v>103.11299999999999</v>
      </c>
      <c r="P12" s="453">
        <v>-13.543199999999999</v>
      </c>
      <c r="Q12" s="453">
        <v>287.73143999999996</v>
      </c>
      <c r="R12" s="453">
        <v>-22.100039999999996</v>
      </c>
      <c r="S12" s="453">
        <v>0.55404000000000009</v>
      </c>
      <c r="T12" s="453">
        <v>438.18407999999994</v>
      </c>
      <c r="U12" s="453"/>
      <c r="V12" s="451">
        <f t="shared" si="2"/>
        <v>7873.3118504735558</v>
      </c>
      <c r="W12" s="453">
        <v>-17.170000000000073</v>
      </c>
      <c r="X12" s="452">
        <f t="shared" si="3"/>
        <v>-2.1807849512486097E-3</v>
      </c>
      <c r="Y12" s="448">
        <f>'Sch. 106'!N11</f>
        <v>879.68999999999983</v>
      </c>
      <c r="Z12" s="452">
        <f t="shared" si="4"/>
        <v>0.11173061815747704</v>
      </c>
      <c r="AA12" s="450">
        <f t="shared" si="5"/>
        <v>862.51999999999975</v>
      </c>
      <c r="AB12" s="450">
        <f t="shared" si="6"/>
        <v>8735.8318504735562</v>
      </c>
      <c r="AC12" s="452">
        <f t="shared" si="7"/>
        <v>0.10954983320622844</v>
      </c>
    </row>
    <row r="13" spans="1:29" x14ac:dyDescent="0.2">
      <c r="A13" s="440">
        <f t="shared" si="8"/>
        <v>3</v>
      </c>
      <c r="B13" s="439" t="s">
        <v>298</v>
      </c>
      <c r="C13" s="440">
        <v>31</v>
      </c>
      <c r="D13" s="567">
        <v>222166912.14539161</v>
      </c>
      <c r="E13" s="453">
        <v>122121000.06</v>
      </c>
      <c r="F13" s="449">
        <f t="shared" si="0"/>
        <v>0.54968131339054194</v>
      </c>
      <c r="G13" s="567">
        <v>230116288</v>
      </c>
      <c r="H13" s="450">
        <f t="shared" si="1"/>
        <v>126490623.42039621</v>
      </c>
      <c r="I13" s="453">
        <v>126467309.56</v>
      </c>
      <c r="J13" s="448">
        <f>'Sch. 106'!L12</f>
        <v>-46069280.859999999</v>
      </c>
      <c r="K13" s="453">
        <v>23819948.612333745</v>
      </c>
      <c r="L13" s="453">
        <v>8413051.4892800003</v>
      </c>
      <c r="M13" s="453">
        <v>12918728.40832</v>
      </c>
      <c r="N13" s="453">
        <v>3152593.1455999999</v>
      </c>
      <c r="O13" s="453">
        <v>4116780.3923200001</v>
      </c>
      <c r="P13" s="453">
        <v>-464834.90176000004</v>
      </c>
      <c r="Q13" s="453">
        <v>9131014.3078400008</v>
      </c>
      <c r="R13" s="453">
        <v>-759383.75040000002</v>
      </c>
      <c r="S13" s="453">
        <v>13806.977280000001</v>
      </c>
      <c r="T13" s="453">
        <v>15024292.44352</v>
      </c>
      <c r="U13" s="453">
        <v>1024017.48</v>
      </c>
      <c r="V13" s="451">
        <f t="shared" si="2"/>
        <v>283278666.72472996</v>
      </c>
      <c r="W13" s="453">
        <v>-616711.65000000596</v>
      </c>
      <c r="X13" s="452">
        <f t="shared" si="3"/>
        <v>-2.1770493949665559E-3</v>
      </c>
      <c r="Y13" s="448">
        <f>'Sch. 106'!N12</f>
        <v>32533840.799999997</v>
      </c>
      <c r="Z13" s="452">
        <f t="shared" si="4"/>
        <v>0.11484747925481473</v>
      </c>
      <c r="AA13" s="450">
        <f t="shared" si="5"/>
        <v>31917129.149999991</v>
      </c>
      <c r="AB13" s="450">
        <f t="shared" si="6"/>
        <v>315195795.87472993</v>
      </c>
      <c r="AC13" s="452">
        <f t="shared" si="7"/>
        <v>0.11267042985984817</v>
      </c>
    </row>
    <row r="14" spans="1:29" x14ac:dyDescent="0.2">
      <c r="A14" s="440">
        <f t="shared" si="8"/>
        <v>4</v>
      </c>
      <c r="B14" s="439" t="s">
        <v>297</v>
      </c>
      <c r="C14" s="440">
        <v>41</v>
      </c>
      <c r="D14" s="567">
        <v>62517991.156948164</v>
      </c>
      <c r="E14" s="453">
        <v>17786398.291046247</v>
      </c>
      <c r="F14" s="449">
        <f t="shared" si="0"/>
        <v>0.28450047677306872</v>
      </c>
      <c r="G14" s="567">
        <v>63059025</v>
      </c>
      <c r="H14" s="450">
        <f t="shared" si="1"/>
        <v>17940322.677344859</v>
      </c>
      <c r="I14" s="453">
        <v>33768581.280000001</v>
      </c>
      <c r="J14" s="448">
        <f>'Sch. 106'!L13</f>
        <v>-12373441.890000001</v>
      </c>
      <c r="K14" s="453">
        <v>6476945.1889428794</v>
      </c>
      <c r="L14" s="453">
        <v>2305437.9539999999</v>
      </c>
      <c r="M14" s="453">
        <v>1352616.0862499999</v>
      </c>
      <c r="N14" s="453">
        <v>423756.64800000004</v>
      </c>
      <c r="O14" s="453">
        <v>463483.83375000005</v>
      </c>
      <c r="P14" s="453">
        <v>-97110.89850000001</v>
      </c>
      <c r="Q14" s="453">
        <v>1748852.0280493097</v>
      </c>
      <c r="R14" s="453">
        <v>-79454.371499999994</v>
      </c>
      <c r="S14" s="453">
        <v>4414.1317499999996</v>
      </c>
      <c r="T14" s="453">
        <v>1968072.1702500002</v>
      </c>
      <c r="U14" s="453">
        <v>-710738</v>
      </c>
      <c r="V14" s="451">
        <f t="shared" si="2"/>
        <v>53191736.838337049</v>
      </c>
      <c r="W14" s="453">
        <v>-344932.86999999732</v>
      </c>
      <c r="X14" s="452">
        <f t="shared" si="3"/>
        <v>-6.4847077855031193E-3</v>
      </c>
      <c r="Y14" s="448">
        <f>'Sch. 106'!N13</f>
        <v>8666832.4000000004</v>
      </c>
      <c r="Z14" s="452">
        <f t="shared" si="4"/>
        <v>0.16293569105180125</v>
      </c>
      <c r="AA14" s="450">
        <f t="shared" si="5"/>
        <v>8321899.5300000031</v>
      </c>
      <c r="AB14" s="450">
        <f t="shared" si="6"/>
        <v>61513636.36833705</v>
      </c>
      <c r="AC14" s="452">
        <f t="shared" si="7"/>
        <v>0.15645098326629811</v>
      </c>
    </row>
    <row r="15" spans="1:29" x14ac:dyDescent="0.2">
      <c r="A15" s="440">
        <f t="shared" si="8"/>
        <v>5</v>
      </c>
      <c r="B15" s="439" t="s">
        <v>6</v>
      </c>
      <c r="C15" s="440">
        <v>85</v>
      </c>
      <c r="D15" s="567">
        <v>19992939.502740219</v>
      </c>
      <c r="E15" s="453">
        <v>2272313.06</v>
      </c>
      <c r="F15" s="449">
        <f t="shared" si="0"/>
        <v>0.11365577631486147</v>
      </c>
      <c r="G15" s="567">
        <v>17533752</v>
      </c>
      <c r="H15" s="450">
        <f t="shared" si="1"/>
        <v>1992812.195272255</v>
      </c>
      <c r="I15" s="453">
        <v>8742484.2100000009</v>
      </c>
      <c r="J15" s="448">
        <f>'Sch. 106'!L14</f>
        <v>-3301079.49</v>
      </c>
      <c r="K15" s="453">
        <v>1498708.4434751938</v>
      </c>
      <c r="L15" s="453">
        <v>577386.45336000004</v>
      </c>
      <c r="M15" s="453">
        <v>145804.04520368445</v>
      </c>
      <c r="N15" s="453">
        <v>56662.907848646326</v>
      </c>
      <c r="O15" s="453">
        <v>67680.282720000017</v>
      </c>
      <c r="P15" s="453">
        <v>-22618.540079999999</v>
      </c>
      <c r="Q15" s="453">
        <v>859054.12831497844</v>
      </c>
      <c r="R15" s="453">
        <v>-9994.2386400000014</v>
      </c>
      <c r="S15" s="453">
        <v>1402.7001600000001</v>
      </c>
      <c r="T15" s="453">
        <v>332965.95048</v>
      </c>
      <c r="U15" s="453"/>
      <c r="V15" s="451">
        <f t="shared" si="2"/>
        <v>10941269.048114762</v>
      </c>
      <c r="W15" s="453">
        <v>-39801.620000001043</v>
      </c>
      <c r="X15" s="452">
        <f t="shared" si="3"/>
        <v>-3.6377516926941003E-3</v>
      </c>
      <c r="Y15" s="448">
        <f>'Sch. 106'!N14</f>
        <v>2272023.5900000003</v>
      </c>
      <c r="Z15" s="452">
        <f t="shared" si="4"/>
        <v>0.2076563129933709</v>
      </c>
      <c r="AA15" s="450">
        <f t="shared" si="5"/>
        <v>2232221.9699999993</v>
      </c>
      <c r="AB15" s="450">
        <f t="shared" si="6"/>
        <v>13173491.018114761</v>
      </c>
      <c r="AC15" s="452">
        <f t="shared" si="7"/>
        <v>0.2040185613006768</v>
      </c>
    </row>
    <row r="16" spans="1:29" x14ac:dyDescent="0.2">
      <c r="A16" s="440">
        <f t="shared" si="8"/>
        <v>6</v>
      </c>
      <c r="B16" s="439" t="s">
        <v>296</v>
      </c>
      <c r="C16" s="440">
        <v>86</v>
      </c>
      <c r="D16" s="567">
        <v>5773170.4876905456</v>
      </c>
      <c r="E16" s="453">
        <v>1192875.52</v>
      </c>
      <c r="F16" s="449">
        <f t="shared" si="0"/>
        <v>0.20662398980654192</v>
      </c>
      <c r="G16" s="567">
        <v>5007638</v>
      </c>
      <c r="H16" s="450">
        <f t="shared" si="1"/>
        <v>1034698.143066852</v>
      </c>
      <c r="I16" s="453">
        <v>2529535.3600000003</v>
      </c>
      <c r="J16" s="448">
        <f>'Sch. 106'!L15</f>
        <v>-951551.37</v>
      </c>
      <c r="K16" s="453">
        <v>513741.83528</v>
      </c>
      <c r="L16" s="453">
        <v>164901.51934</v>
      </c>
      <c r="M16" s="453">
        <v>86231.526359999989</v>
      </c>
      <c r="N16" s="453">
        <v>24938.037240000001</v>
      </c>
      <c r="O16" s="453">
        <v>25589.030180000002</v>
      </c>
      <c r="P16" s="453">
        <v>-1752.6733000000002</v>
      </c>
      <c r="Q16" s="453">
        <v>208300.94617265993</v>
      </c>
      <c r="R16" s="453">
        <v>-4356.6450599999998</v>
      </c>
      <c r="S16" s="453">
        <v>300.45828</v>
      </c>
      <c r="T16" s="453">
        <v>78720.069359999994</v>
      </c>
      <c r="U16" s="453">
        <v>-41363.79</v>
      </c>
      <c r="V16" s="451">
        <f t="shared" si="2"/>
        <v>3667932.4469195115</v>
      </c>
      <c r="W16" s="453">
        <v>-6760.3100000000559</v>
      </c>
      <c r="X16" s="452">
        <f t="shared" si="3"/>
        <v>-1.8430846526842819E-3</v>
      </c>
      <c r="Y16" s="448">
        <f>'Sch. 106'!N15</f>
        <v>657552.93999999994</v>
      </c>
      <c r="Z16" s="452">
        <f t="shared" si="4"/>
        <v>0.17927073344882383</v>
      </c>
      <c r="AA16" s="450">
        <f t="shared" si="5"/>
        <v>650792.62999999989</v>
      </c>
      <c r="AB16" s="450">
        <f t="shared" si="6"/>
        <v>4318725.076919511</v>
      </c>
      <c r="AC16" s="452">
        <f t="shared" si="7"/>
        <v>0.17742764879613956</v>
      </c>
    </row>
    <row r="17" spans="1:29" x14ac:dyDescent="0.2">
      <c r="A17" s="440">
        <f t="shared" si="8"/>
        <v>7</v>
      </c>
      <c r="B17" s="439" t="s">
        <v>295</v>
      </c>
      <c r="C17" s="440">
        <v>87</v>
      </c>
      <c r="D17" s="567">
        <v>21819455.762355208</v>
      </c>
      <c r="E17" s="453">
        <v>1509849.77</v>
      </c>
      <c r="F17" s="449">
        <f t="shared" si="0"/>
        <v>6.9197407416775353E-2</v>
      </c>
      <c r="G17" s="567">
        <v>18486702</v>
      </c>
      <c r="H17" s="450">
        <f t="shared" si="1"/>
        <v>1279231.8500865158</v>
      </c>
      <c r="I17" s="453">
        <v>9101742.8599999994</v>
      </c>
      <c r="J17" s="448">
        <f>'Sch. 106'!L16</f>
        <v>-3455349.47</v>
      </c>
      <c r="K17" s="453">
        <v>162465.6001044687</v>
      </c>
      <c r="L17" s="453">
        <v>608767.09686000005</v>
      </c>
      <c r="M17" s="453">
        <v>62092.416057259594</v>
      </c>
      <c r="N17" s="453">
        <v>24552.185638958021</v>
      </c>
      <c r="O17" s="453">
        <v>39191.808239999998</v>
      </c>
      <c r="P17" s="453">
        <v>-9966.5879270577498</v>
      </c>
      <c r="Q17" s="453">
        <v>347874.32591537002</v>
      </c>
      <c r="R17" s="453">
        <v>-5432.8335795336516</v>
      </c>
      <c r="S17" s="453">
        <v>1663.8031800000001</v>
      </c>
      <c r="T17" s="453">
        <v>161260.63391047149</v>
      </c>
      <c r="U17" s="453"/>
      <c r="V17" s="451">
        <f t="shared" si="2"/>
        <v>8318093.6884864513</v>
      </c>
      <c r="W17" s="453">
        <v>-31981.990000000224</v>
      </c>
      <c r="X17" s="452">
        <f t="shared" si="3"/>
        <v>-3.8448701346401426E-3</v>
      </c>
      <c r="Y17" s="448">
        <f>'Sch. 106'!N16</f>
        <v>2370549.8000000003</v>
      </c>
      <c r="Z17" s="452">
        <f t="shared" si="4"/>
        <v>0.2849871483512158</v>
      </c>
      <c r="AA17" s="450">
        <f t="shared" si="5"/>
        <v>2338567.81</v>
      </c>
      <c r="AB17" s="450">
        <f t="shared" si="6"/>
        <v>10656661.498486452</v>
      </c>
      <c r="AC17" s="452">
        <f t="shared" si="7"/>
        <v>0.28114227821657567</v>
      </c>
    </row>
    <row r="18" spans="1:29" x14ac:dyDescent="0.2">
      <c r="A18" s="440">
        <f t="shared" si="8"/>
        <v>8</v>
      </c>
      <c r="B18" s="439" t="s">
        <v>294</v>
      </c>
      <c r="C18" s="440" t="s">
        <v>293</v>
      </c>
      <c r="D18" s="567">
        <v>36958.529999999992</v>
      </c>
      <c r="E18" s="453">
        <v>23981.98</v>
      </c>
      <c r="F18" s="449">
        <f t="shared" si="0"/>
        <v>0.64888890331947735</v>
      </c>
      <c r="G18" s="567">
        <v>0</v>
      </c>
      <c r="H18" s="450">
        <f t="shared" si="1"/>
        <v>0</v>
      </c>
      <c r="I18" s="453"/>
      <c r="J18" s="453"/>
      <c r="K18" s="453">
        <v>0</v>
      </c>
      <c r="L18" s="453"/>
      <c r="M18" s="453">
        <v>0</v>
      </c>
      <c r="N18" s="453">
        <v>0</v>
      </c>
      <c r="O18" s="453">
        <v>0</v>
      </c>
      <c r="P18" s="453"/>
      <c r="Q18" s="453"/>
      <c r="R18" s="453">
        <v>0</v>
      </c>
      <c r="S18" s="453">
        <v>0</v>
      </c>
      <c r="T18" s="453">
        <v>0</v>
      </c>
      <c r="U18" s="453">
        <v>0</v>
      </c>
      <c r="V18" s="451">
        <f t="shared" si="2"/>
        <v>0</v>
      </c>
      <c r="W18" s="453"/>
      <c r="X18" s="452">
        <f>IF(W18=0,0,W18/V18)</f>
        <v>0</v>
      </c>
      <c r="Y18" s="448"/>
      <c r="Z18" s="452">
        <f>IF(Y18=0,0,Y18/V18)</f>
        <v>0</v>
      </c>
      <c r="AA18" s="450"/>
      <c r="AB18" s="450">
        <f t="shared" si="6"/>
        <v>0</v>
      </c>
      <c r="AC18" s="452">
        <f>IF(AA18=0,0,AA18/V18)</f>
        <v>0</v>
      </c>
    </row>
    <row r="19" spans="1:29" x14ac:dyDescent="0.2">
      <c r="A19" s="440">
        <f t="shared" si="8"/>
        <v>9</v>
      </c>
      <c r="B19" s="439" t="s">
        <v>292</v>
      </c>
      <c r="C19" s="440" t="s">
        <v>291</v>
      </c>
      <c r="D19" s="567">
        <v>19494505.608019032</v>
      </c>
      <c r="E19" s="453">
        <v>4475398.7622919884</v>
      </c>
      <c r="F19" s="449">
        <f t="shared" si="0"/>
        <v>0.22957231397810063</v>
      </c>
      <c r="G19" s="567">
        <v>21124071</v>
      </c>
      <c r="H19" s="450">
        <f t="shared" si="1"/>
        <v>4849501.8601076901</v>
      </c>
      <c r="I19" s="453"/>
      <c r="J19" s="453"/>
      <c r="K19" s="453">
        <v>2283191.3100999994</v>
      </c>
      <c r="L19" s="453"/>
      <c r="M19" s="453">
        <v>453111.32295</v>
      </c>
      <c r="N19" s="453">
        <v>141953.75711999999</v>
      </c>
      <c r="O19" s="453">
        <v>155261.92185000001</v>
      </c>
      <c r="P19" s="453"/>
      <c r="Q19" s="453"/>
      <c r="R19" s="453">
        <v>-44360.549099999997</v>
      </c>
      <c r="S19" s="453">
        <v>1478.6849699999998</v>
      </c>
      <c r="T19" s="453">
        <v>659282.25591000007</v>
      </c>
      <c r="U19" s="453">
        <v>-209320.5</v>
      </c>
      <c r="V19" s="451">
        <f t="shared" si="2"/>
        <v>8290100.0639076885</v>
      </c>
      <c r="W19" s="448"/>
      <c r="X19" s="452">
        <f t="shared" ref="X19:X25" si="9">W19/V19</f>
        <v>0</v>
      </c>
      <c r="Y19" s="448"/>
      <c r="Z19" s="452">
        <f t="shared" ref="Z19:Z25" si="10">Y19/V19</f>
        <v>0</v>
      </c>
      <c r="AA19" s="450"/>
      <c r="AB19" s="450">
        <f t="shared" si="6"/>
        <v>8290100.0639076885</v>
      </c>
      <c r="AC19" s="452">
        <f t="shared" ref="AC19:AC25" si="11">AA19/V19</f>
        <v>0</v>
      </c>
    </row>
    <row r="20" spans="1:29" x14ac:dyDescent="0.2">
      <c r="A20" s="440">
        <f t="shared" si="8"/>
        <v>10</v>
      </c>
      <c r="B20" s="439" t="s">
        <v>290</v>
      </c>
      <c r="C20" s="440" t="s">
        <v>289</v>
      </c>
      <c r="D20" s="567">
        <v>68886791.019958794</v>
      </c>
      <c r="E20" s="453">
        <v>7339677.3100000005</v>
      </c>
      <c r="F20" s="449">
        <f t="shared" si="0"/>
        <v>0.1065469475544804</v>
      </c>
      <c r="G20" s="567">
        <v>55422592</v>
      </c>
      <c r="H20" s="450">
        <f t="shared" si="1"/>
        <v>5905108.0031573651</v>
      </c>
      <c r="I20" s="453"/>
      <c r="J20" s="453"/>
      <c r="K20" s="453">
        <v>6243031.3552862257</v>
      </c>
      <c r="L20" s="453"/>
      <c r="M20" s="453">
        <v>440562.49333330238</v>
      </c>
      <c r="N20" s="453">
        <v>171006.74699977087</v>
      </c>
      <c r="O20" s="453">
        <v>213931.20512000003</v>
      </c>
      <c r="P20" s="453"/>
      <c r="Q20" s="453"/>
      <c r="R20" s="453">
        <v>-70940.917760000011</v>
      </c>
      <c r="S20" s="453">
        <v>4433.8073600000007</v>
      </c>
      <c r="T20" s="453">
        <v>1052475.02208</v>
      </c>
      <c r="U20" s="453"/>
      <c r="V20" s="451">
        <f t="shared" si="2"/>
        <v>13959607.715576665</v>
      </c>
      <c r="W20" s="448"/>
      <c r="X20" s="452">
        <f t="shared" si="9"/>
        <v>0</v>
      </c>
      <c r="Y20" s="448"/>
      <c r="Z20" s="452">
        <f t="shared" si="10"/>
        <v>0</v>
      </c>
      <c r="AA20" s="450"/>
      <c r="AB20" s="450">
        <f t="shared" si="6"/>
        <v>13959607.715576665</v>
      </c>
      <c r="AC20" s="452">
        <f t="shared" si="11"/>
        <v>0</v>
      </c>
    </row>
    <row r="21" spans="1:29" x14ac:dyDescent="0.2">
      <c r="A21" s="440">
        <f t="shared" si="8"/>
        <v>11</v>
      </c>
      <c r="B21" s="439" t="s">
        <v>288</v>
      </c>
      <c r="C21" s="440" t="s">
        <v>287</v>
      </c>
      <c r="D21" s="567">
        <v>1718484.3400000003</v>
      </c>
      <c r="E21" s="453">
        <v>367155.5</v>
      </c>
      <c r="F21" s="449">
        <f t="shared" si="0"/>
        <v>0.21365076856039314</v>
      </c>
      <c r="G21" s="567">
        <v>1365732</v>
      </c>
      <c r="H21" s="450">
        <f t="shared" si="1"/>
        <v>291789.69144752284</v>
      </c>
      <c r="I21" s="453"/>
      <c r="J21" s="453"/>
      <c r="K21" s="453">
        <v>126937.93491999997</v>
      </c>
      <c r="L21" s="453"/>
      <c r="M21" s="453">
        <v>23517.905039999998</v>
      </c>
      <c r="N21" s="453">
        <v>6801.3453600000003</v>
      </c>
      <c r="O21" s="453">
        <v>6978.8905199999999</v>
      </c>
      <c r="P21" s="453"/>
      <c r="Q21" s="453"/>
      <c r="R21" s="453">
        <v>-1447.6759199999999</v>
      </c>
      <c r="S21" s="453">
        <v>81.943920000000006</v>
      </c>
      <c r="T21" s="453">
        <v>21469.307039999996</v>
      </c>
      <c r="U21" s="453">
        <v>-10232</v>
      </c>
      <c r="V21" s="451">
        <f t="shared" si="2"/>
        <v>465897.34232752275</v>
      </c>
      <c r="W21" s="448"/>
      <c r="X21" s="452">
        <f t="shared" si="9"/>
        <v>0</v>
      </c>
      <c r="Y21" s="448"/>
      <c r="Z21" s="452">
        <f t="shared" si="10"/>
        <v>0</v>
      </c>
      <c r="AA21" s="450"/>
      <c r="AB21" s="450">
        <f t="shared" si="6"/>
        <v>465897.34232752275</v>
      </c>
      <c r="AC21" s="452">
        <f t="shared" si="11"/>
        <v>0</v>
      </c>
    </row>
    <row r="22" spans="1:29" x14ac:dyDescent="0.2">
      <c r="A22" s="440">
        <f t="shared" si="8"/>
        <v>12</v>
      </c>
      <c r="B22" s="439" t="s">
        <v>286</v>
      </c>
      <c r="C22" s="440" t="s">
        <v>285</v>
      </c>
      <c r="D22" s="567">
        <v>97500425.645479575</v>
      </c>
      <c r="E22" s="453">
        <v>4790056.76</v>
      </c>
      <c r="F22" s="449">
        <f t="shared" si="0"/>
        <v>4.9128572806616068E-2</v>
      </c>
      <c r="G22" s="567">
        <v>73729827</v>
      </c>
      <c r="H22" s="450">
        <f t="shared" si="1"/>
        <v>3622241.1737887072</v>
      </c>
      <c r="I22" s="448"/>
      <c r="J22" s="448"/>
      <c r="K22" s="453">
        <v>332829.27853867959</v>
      </c>
      <c r="L22" s="453"/>
      <c r="M22" s="453">
        <v>193996.71836803388</v>
      </c>
      <c r="N22" s="453">
        <v>76924.304812573639</v>
      </c>
      <c r="O22" s="453">
        <v>156307.23324</v>
      </c>
      <c r="P22" s="453"/>
      <c r="Q22" s="453"/>
      <c r="R22" s="453">
        <v>-31099.97812675211</v>
      </c>
      <c r="S22" s="453">
        <v>6635.6844300000002</v>
      </c>
      <c r="T22" s="453">
        <v>946360.50789127697</v>
      </c>
      <c r="U22" s="453"/>
      <c r="V22" s="451">
        <f t="shared" si="2"/>
        <v>5304194.9229425192</v>
      </c>
      <c r="W22" s="448"/>
      <c r="X22" s="452">
        <f t="shared" si="9"/>
        <v>0</v>
      </c>
      <c r="Y22" s="448"/>
      <c r="Z22" s="452">
        <f t="shared" si="10"/>
        <v>0</v>
      </c>
      <c r="AA22" s="450"/>
      <c r="AB22" s="450">
        <f t="shared" si="6"/>
        <v>5304194.9229425192</v>
      </c>
      <c r="AC22" s="452">
        <f t="shared" si="11"/>
        <v>0</v>
      </c>
    </row>
    <row r="23" spans="1:29" x14ac:dyDescent="0.2">
      <c r="A23" s="440">
        <f t="shared" si="8"/>
        <v>13</v>
      </c>
      <c r="B23" s="439" t="s">
        <v>284</v>
      </c>
      <c r="C23" s="440" t="s">
        <v>271</v>
      </c>
      <c r="D23" s="567">
        <v>44508541</v>
      </c>
      <c r="E23" s="453">
        <v>195933.21000000002</v>
      </c>
      <c r="F23" s="449">
        <f t="shared" si="0"/>
        <v>4.4021485673951888E-3</v>
      </c>
      <c r="G23" s="567">
        <v>33595800</v>
      </c>
      <c r="H23" s="450">
        <f t="shared" si="1"/>
        <v>147893.70284049527</v>
      </c>
      <c r="I23" s="448"/>
      <c r="J23" s="448"/>
      <c r="K23" s="453">
        <v>475168.55343999993</v>
      </c>
      <c r="L23" s="453"/>
      <c r="M23" s="453">
        <v>61919.784</v>
      </c>
      <c r="N23" s="453">
        <v>24843.48</v>
      </c>
      <c r="O23" s="453">
        <v>71223.09599999999</v>
      </c>
      <c r="P23" s="453">
        <v>3741778.0260000001</v>
      </c>
      <c r="Q23" s="453"/>
      <c r="R23" s="453">
        <v>-6212.7060000000001</v>
      </c>
      <c r="S23" s="453">
        <v>3023.6220000000003</v>
      </c>
      <c r="T23" s="453">
        <v>157924.33799999999</v>
      </c>
      <c r="U23" s="453"/>
      <c r="V23" s="451">
        <f t="shared" si="2"/>
        <v>4677561.8962804954</v>
      </c>
      <c r="W23" s="448"/>
      <c r="X23" s="452">
        <f t="shared" si="9"/>
        <v>0</v>
      </c>
      <c r="Y23" s="448"/>
      <c r="Z23" s="452">
        <f t="shared" si="10"/>
        <v>0</v>
      </c>
      <c r="AA23" s="450"/>
      <c r="AB23" s="450">
        <f t="shared" si="6"/>
        <v>4677561.8962804954</v>
      </c>
      <c r="AC23" s="452">
        <f t="shared" si="11"/>
        <v>0</v>
      </c>
    </row>
    <row r="24" spans="1:29" x14ac:dyDescent="0.2">
      <c r="A24" s="440">
        <f t="shared" si="8"/>
        <v>14</v>
      </c>
      <c r="B24" s="439" t="s">
        <v>270</v>
      </c>
      <c r="D24" s="567">
        <v>32154478.538398605</v>
      </c>
      <c r="E24" s="453">
        <v>1699064.4523564125</v>
      </c>
      <c r="F24" s="454">
        <f t="shared" si="0"/>
        <v>5.2840678175744761E-2</v>
      </c>
      <c r="G24" s="567">
        <v>33552816</v>
      </c>
      <c r="H24" s="450">
        <f t="shared" si="1"/>
        <v>1772953.5521459796</v>
      </c>
      <c r="I24" s="448"/>
      <c r="J24" s="448"/>
      <c r="K24" s="453">
        <v>1401276.6008886266</v>
      </c>
      <c r="L24" s="453"/>
      <c r="M24" s="453"/>
      <c r="N24" s="453"/>
      <c r="O24" s="453">
        <v>24493.555680000001</v>
      </c>
      <c r="P24" s="453"/>
      <c r="Q24" s="453"/>
      <c r="R24" s="453">
        <v>0</v>
      </c>
      <c r="S24" s="453">
        <v>3355.2816000000003</v>
      </c>
      <c r="T24" s="453">
        <v>0</v>
      </c>
      <c r="U24" s="453"/>
      <c r="V24" s="451">
        <f t="shared" si="2"/>
        <v>3202078.9903146061</v>
      </c>
      <c r="W24" s="448"/>
      <c r="X24" s="452">
        <f t="shared" si="9"/>
        <v>0</v>
      </c>
      <c r="Y24" s="448"/>
      <c r="Z24" s="452">
        <f t="shared" si="10"/>
        <v>0</v>
      </c>
      <c r="AA24" s="450"/>
      <c r="AB24" s="450">
        <f t="shared" si="6"/>
        <v>3202078.9903146061</v>
      </c>
      <c r="AC24" s="452">
        <f t="shared" si="11"/>
        <v>0</v>
      </c>
    </row>
    <row r="25" spans="1:29" x14ac:dyDescent="0.2">
      <c r="A25" s="440">
        <f t="shared" si="8"/>
        <v>15</v>
      </c>
      <c r="B25" s="439" t="s">
        <v>10</v>
      </c>
      <c r="D25" s="455">
        <f>SUM(D11:D24)</f>
        <v>1217415528.060853</v>
      </c>
      <c r="E25" s="456">
        <f>SUM(E11:E24)</f>
        <v>567392394.92043555</v>
      </c>
      <c r="F25" s="449">
        <f t="shared" si="0"/>
        <v>0.46606305065305048</v>
      </c>
      <c r="G25" s="455">
        <f t="shared" ref="G25:W25" si="12">SUM(G11:G24)</f>
        <v>1116377814</v>
      </c>
      <c r="H25" s="456">
        <f t="shared" si="12"/>
        <v>531589599.11129498</v>
      </c>
      <c r="I25" s="456">
        <f t="shared" si="12"/>
        <v>493912890.94</v>
      </c>
      <c r="J25" s="456">
        <f t="shared" si="12"/>
        <v>-179802070.85999998</v>
      </c>
      <c r="K25" s="456">
        <f t="shared" si="12"/>
        <v>79444118.974699914</v>
      </c>
      <c r="L25" s="456">
        <f t="shared" si="12"/>
        <v>32666847.8686</v>
      </c>
      <c r="M25" s="456">
        <f t="shared" si="12"/>
        <v>63789040.431232281</v>
      </c>
      <c r="N25" s="456">
        <f t="shared" si="12"/>
        <v>13095536.102019949</v>
      </c>
      <c r="O25" s="456">
        <f t="shared" si="12"/>
        <v>14777596.063869998</v>
      </c>
      <c r="P25" s="456">
        <f t="shared" si="12"/>
        <v>1906050.5682329428</v>
      </c>
      <c r="Q25" s="456">
        <f t="shared" si="12"/>
        <v>38627643.844832323</v>
      </c>
      <c r="R25" s="456">
        <f t="shared" si="12"/>
        <v>-3035230.685976285</v>
      </c>
      <c r="S25" s="456">
        <f t="shared" si="12"/>
        <v>91301.616320000016</v>
      </c>
      <c r="T25" s="456">
        <f t="shared" si="12"/>
        <v>60504465.282221735</v>
      </c>
      <c r="U25" s="456">
        <f t="shared" si="12"/>
        <v>24232521.84</v>
      </c>
      <c r="V25" s="457">
        <f t="shared" si="12"/>
        <v>1171800311.0973477</v>
      </c>
      <c r="W25" s="456">
        <f t="shared" si="12"/>
        <v>-2612028.6000000141</v>
      </c>
      <c r="X25" s="458">
        <f t="shared" si="9"/>
        <v>-2.2290731409295717E-3</v>
      </c>
      <c r="Y25" s="456">
        <f>SUM(Y11:Y24)</f>
        <v>127008311.83000001</v>
      </c>
      <c r="Z25" s="458">
        <f t="shared" si="10"/>
        <v>0.10838733411075938</v>
      </c>
      <c r="AA25" s="456">
        <f>SUM(AA11:AA24)</f>
        <v>124396283.22999999</v>
      </c>
      <c r="AB25" s="456">
        <f>SUM(AB11:AB24)</f>
        <v>1296196594.3273482</v>
      </c>
      <c r="AC25" s="458">
        <f t="shared" si="11"/>
        <v>0.1061582609698298</v>
      </c>
    </row>
    <row r="26" spans="1:29" x14ac:dyDescent="0.2">
      <c r="A26" s="440"/>
      <c r="D26" s="459"/>
      <c r="E26" s="450"/>
      <c r="G26" s="459"/>
      <c r="M26" s="450"/>
      <c r="N26" s="450"/>
      <c r="U26" s="450"/>
      <c r="V26" s="450"/>
      <c r="AC26" s="452"/>
    </row>
    <row r="27" spans="1:29" s="464" customFormat="1" x14ac:dyDescent="0.2">
      <c r="A27" s="440"/>
      <c r="B27" s="460" t="s">
        <v>283</v>
      </c>
      <c r="C27" s="461"/>
      <c r="D27" s="462"/>
      <c r="E27" s="463"/>
      <c r="W27" s="451"/>
      <c r="X27" s="451"/>
      <c r="Y27" s="451"/>
      <c r="Z27" s="451"/>
      <c r="AA27" s="451"/>
      <c r="AB27" s="451"/>
      <c r="AC27" s="465"/>
    </row>
    <row r="28" spans="1:29" s="464" customFormat="1" x14ac:dyDescent="0.2">
      <c r="A28" s="440">
        <f>A25+1</f>
        <v>16</v>
      </c>
      <c r="B28" s="466" t="s">
        <v>4</v>
      </c>
      <c r="C28" s="467" t="s">
        <v>282</v>
      </c>
      <c r="D28" s="468">
        <f>D11+D12</f>
        <v>620844874.32387137</v>
      </c>
      <c r="E28" s="469">
        <f>E11+E12</f>
        <v>403618690.2447409</v>
      </c>
      <c r="F28" s="449">
        <f t="shared" ref="F28:F36" si="13">(E28)/D28</f>
        <v>0.65011197955737365</v>
      </c>
      <c r="G28" s="468">
        <f t="shared" ref="G28:V28" si="14">G11+G12</f>
        <v>563383571</v>
      </c>
      <c r="H28" s="469">
        <f t="shared" si="14"/>
        <v>366262422.84164059</v>
      </c>
      <c r="I28" s="469">
        <f t="shared" si="14"/>
        <v>313303237.67000002</v>
      </c>
      <c r="J28" s="469">
        <f t="shared" si="14"/>
        <v>-113651367.78</v>
      </c>
      <c r="K28" s="469">
        <f t="shared" si="14"/>
        <v>36109874.261390097</v>
      </c>
      <c r="L28" s="469">
        <f t="shared" si="14"/>
        <v>20597303.355760001</v>
      </c>
      <c r="M28" s="469">
        <f t="shared" si="14"/>
        <v>48050459.72535</v>
      </c>
      <c r="N28" s="469">
        <f t="shared" si="14"/>
        <v>8991503.5433999989</v>
      </c>
      <c r="O28" s="469">
        <f t="shared" si="14"/>
        <v>9436674.814249998</v>
      </c>
      <c r="P28" s="469">
        <f t="shared" si="14"/>
        <v>-1239443.8561999998</v>
      </c>
      <c r="Q28" s="469">
        <f t="shared" si="14"/>
        <v>26332548.108539999</v>
      </c>
      <c r="R28" s="469">
        <f t="shared" si="14"/>
        <v>-2022547.0198899996</v>
      </c>
      <c r="S28" s="469">
        <f t="shared" si="14"/>
        <v>50704.521390000009</v>
      </c>
      <c r="T28" s="469">
        <f t="shared" si="14"/>
        <v>40101642.583779991</v>
      </c>
      <c r="U28" s="469">
        <f t="shared" si="14"/>
        <v>24180158.649999999</v>
      </c>
      <c r="V28" s="469">
        <f t="shared" si="14"/>
        <v>776503171.41941071</v>
      </c>
      <c r="W28" s="450">
        <f>SUM(W11:W12)</f>
        <v>-1571840.1600000095</v>
      </c>
      <c r="X28" s="452">
        <f t="shared" ref="X28:X36" si="15">W28/V28</f>
        <v>-2.0242546558139111E-3</v>
      </c>
      <c r="Y28" s="450">
        <f>SUM(Y11:Y12)</f>
        <v>80507512.300000012</v>
      </c>
      <c r="Z28" s="452">
        <f t="shared" ref="Z28:Z36" si="16">Y28/V28</f>
        <v>0.10367956663053433</v>
      </c>
      <c r="AA28" s="450">
        <f>SUM(AA11:AA12)</f>
        <v>78935672.140000001</v>
      </c>
      <c r="AB28" s="450">
        <f>SUM(AB11:AB12)</f>
        <v>855438843.55941081</v>
      </c>
      <c r="AC28" s="452">
        <f t="shared" ref="AC28:AC36" si="17">AA28/V28</f>
        <v>0.10165531197472041</v>
      </c>
    </row>
    <row r="29" spans="1:29" s="464" customFormat="1" x14ac:dyDescent="0.2">
      <c r="A29" s="440">
        <f t="shared" ref="A29:A36" si="18">A28+1</f>
        <v>17</v>
      </c>
      <c r="B29" s="470" t="s">
        <v>281</v>
      </c>
      <c r="C29" s="467" t="s">
        <v>280</v>
      </c>
      <c r="D29" s="468">
        <f t="shared" ref="D29:E33" si="19">D13+D18</f>
        <v>222203870.67539161</v>
      </c>
      <c r="E29" s="469">
        <f t="shared" si="19"/>
        <v>122144982.04000001</v>
      </c>
      <c r="F29" s="449">
        <f t="shared" si="13"/>
        <v>0.54969781430331843</v>
      </c>
      <c r="G29" s="468">
        <f t="shared" ref="G29:V29" si="20">G13+G18</f>
        <v>230116288</v>
      </c>
      <c r="H29" s="469">
        <f t="shared" si="20"/>
        <v>126490623.42039621</v>
      </c>
      <c r="I29" s="469">
        <f t="shared" si="20"/>
        <v>126467309.56</v>
      </c>
      <c r="J29" s="469">
        <f t="shared" si="20"/>
        <v>-46069280.859999999</v>
      </c>
      <c r="K29" s="469">
        <f t="shared" si="20"/>
        <v>23819948.612333745</v>
      </c>
      <c r="L29" s="469">
        <f t="shared" si="20"/>
        <v>8413051.4892800003</v>
      </c>
      <c r="M29" s="469">
        <f t="shared" si="20"/>
        <v>12918728.40832</v>
      </c>
      <c r="N29" s="469">
        <f t="shared" si="20"/>
        <v>3152593.1455999999</v>
      </c>
      <c r="O29" s="469">
        <f t="shared" si="20"/>
        <v>4116780.3923200001</v>
      </c>
      <c r="P29" s="469">
        <f t="shared" si="20"/>
        <v>-464834.90176000004</v>
      </c>
      <c r="Q29" s="469">
        <f t="shared" si="20"/>
        <v>9131014.3078400008</v>
      </c>
      <c r="R29" s="469">
        <f t="shared" si="20"/>
        <v>-759383.75040000002</v>
      </c>
      <c r="S29" s="469">
        <f t="shared" si="20"/>
        <v>13806.977280000001</v>
      </c>
      <c r="T29" s="469">
        <f t="shared" si="20"/>
        <v>15024292.44352</v>
      </c>
      <c r="U29" s="469">
        <f t="shared" si="20"/>
        <v>1024017.48</v>
      </c>
      <c r="V29" s="469">
        <f t="shared" si="20"/>
        <v>283278666.72472996</v>
      </c>
      <c r="W29" s="450">
        <f>SUM(W13,W18)</f>
        <v>-616711.65000000596</v>
      </c>
      <c r="X29" s="452">
        <f t="shared" si="15"/>
        <v>-2.1770493949665559E-3</v>
      </c>
      <c r="Y29" s="450">
        <f>SUM(Y13,Y18)</f>
        <v>32533840.799999997</v>
      </c>
      <c r="Z29" s="452">
        <f t="shared" si="16"/>
        <v>0.11484747925481473</v>
      </c>
      <c r="AA29" s="450">
        <f t="shared" ref="AA29:AB33" si="21">SUM(AA13,AA18)</f>
        <v>31917129.149999991</v>
      </c>
      <c r="AB29" s="450">
        <f t="shared" si="21"/>
        <v>315195795.87472993</v>
      </c>
      <c r="AC29" s="452">
        <f t="shared" si="17"/>
        <v>0.11267042985984817</v>
      </c>
    </row>
    <row r="30" spans="1:29" s="464" customFormat="1" x14ac:dyDescent="0.2">
      <c r="A30" s="440">
        <f t="shared" si="18"/>
        <v>18</v>
      </c>
      <c r="B30" s="466" t="s">
        <v>279</v>
      </c>
      <c r="C30" s="467" t="s">
        <v>278</v>
      </c>
      <c r="D30" s="468">
        <f t="shared" si="19"/>
        <v>82012496.764967203</v>
      </c>
      <c r="E30" s="469">
        <f t="shared" si="19"/>
        <v>22261797.053338237</v>
      </c>
      <c r="F30" s="449">
        <f t="shared" si="13"/>
        <v>0.27144396197492282</v>
      </c>
      <c r="G30" s="468">
        <f t="shared" ref="G30:V30" si="22">G14+G19</f>
        <v>84183096</v>
      </c>
      <c r="H30" s="469">
        <f t="shared" si="22"/>
        <v>22789824.537452549</v>
      </c>
      <c r="I30" s="469">
        <f t="shared" si="22"/>
        <v>33768581.280000001</v>
      </c>
      <c r="J30" s="469">
        <f t="shared" si="22"/>
        <v>-12373441.890000001</v>
      </c>
      <c r="K30" s="469">
        <f t="shared" si="22"/>
        <v>8760136.4990428798</v>
      </c>
      <c r="L30" s="469">
        <f t="shared" si="22"/>
        <v>2305437.9539999999</v>
      </c>
      <c r="M30" s="469">
        <f t="shared" si="22"/>
        <v>1805727.4091999999</v>
      </c>
      <c r="N30" s="469">
        <f t="shared" si="22"/>
        <v>565710.40512000001</v>
      </c>
      <c r="O30" s="469">
        <f t="shared" si="22"/>
        <v>618745.75560000003</v>
      </c>
      <c r="P30" s="469">
        <f t="shared" si="22"/>
        <v>-97110.89850000001</v>
      </c>
      <c r="Q30" s="469">
        <f t="shared" si="22"/>
        <v>1748852.0280493097</v>
      </c>
      <c r="R30" s="469">
        <f t="shared" si="22"/>
        <v>-123814.92059999998</v>
      </c>
      <c r="S30" s="469">
        <f t="shared" si="22"/>
        <v>5892.8167199999989</v>
      </c>
      <c r="T30" s="469">
        <f t="shared" si="22"/>
        <v>2627354.4261600003</v>
      </c>
      <c r="U30" s="469">
        <f t="shared" si="22"/>
        <v>-920058.5</v>
      </c>
      <c r="V30" s="469">
        <f t="shared" si="22"/>
        <v>61481836.902244739</v>
      </c>
      <c r="W30" s="450">
        <f>SUM(W14,W19)</f>
        <v>-344932.86999999732</v>
      </c>
      <c r="X30" s="452">
        <f t="shared" si="15"/>
        <v>-5.6103214767059704E-3</v>
      </c>
      <c r="Y30" s="450">
        <f>SUM(Y14,Y19)</f>
        <v>8666832.4000000004</v>
      </c>
      <c r="Z30" s="452">
        <f t="shared" si="16"/>
        <v>0.14096573616985683</v>
      </c>
      <c r="AA30" s="450">
        <f t="shared" si="21"/>
        <v>8321899.5300000031</v>
      </c>
      <c r="AB30" s="450">
        <f t="shared" si="21"/>
        <v>69803736.432244733</v>
      </c>
      <c r="AC30" s="452">
        <f t="shared" si="17"/>
        <v>0.13535541469315088</v>
      </c>
    </row>
    <row r="31" spans="1:29" s="464" customFormat="1" x14ac:dyDescent="0.2">
      <c r="A31" s="440">
        <f t="shared" si="18"/>
        <v>19</v>
      </c>
      <c r="B31" s="466" t="s">
        <v>6</v>
      </c>
      <c r="C31" s="467" t="s">
        <v>277</v>
      </c>
      <c r="D31" s="468">
        <f t="shared" si="19"/>
        <v>88879730.522699013</v>
      </c>
      <c r="E31" s="469">
        <f t="shared" si="19"/>
        <v>9611990.370000001</v>
      </c>
      <c r="F31" s="449">
        <f t="shared" si="13"/>
        <v>0.10814603412355298</v>
      </c>
      <c r="G31" s="468">
        <f t="shared" ref="G31:V31" si="23">G15+G20</f>
        <v>72956344</v>
      </c>
      <c r="H31" s="469">
        <f t="shared" si="23"/>
        <v>7897920.1984296199</v>
      </c>
      <c r="I31" s="469">
        <f t="shared" si="23"/>
        <v>8742484.2100000009</v>
      </c>
      <c r="J31" s="469">
        <f t="shared" si="23"/>
        <v>-3301079.49</v>
      </c>
      <c r="K31" s="469">
        <f t="shared" si="23"/>
        <v>7741739.79876142</v>
      </c>
      <c r="L31" s="469">
        <f t="shared" si="23"/>
        <v>577386.45336000004</v>
      </c>
      <c r="M31" s="469">
        <f t="shared" si="23"/>
        <v>586366.5385369868</v>
      </c>
      <c r="N31" s="469">
        <f t="shared" si="23"/>
        <v>227669.65484841721</v>
      </c>
      <c r="O31" s="469">
        <f t="shared" si="23"/>
        <v>281611.48784000007</v>
      </c>
      <c r="P31" s="469">
        <f t="shared" si="23"/>
        <v>-22618.540079999999</v>
      </c>
      <c r="Q31" s="469">
        <f t="shared" si="23"/>
        <v>859054.12831497844</v>
      </c>
      <c r="R31" s="469">
        <f t="shared" si="23"/>
        <v>-80935.156400000007</v>
      </c>
      <c r="S31" s="469">
        <f t="shared" si="23"/>
        <v>5836.507520000001</v>
      </c>
      <c r="T31" s="469">
        <f t="shared" si="23"/>
        <v>1385440.9725600001</v>
      </c>
      <c r="U31" s="469">
        <f t="shared" si="23"/>
        <v>0</v>
      </c>
      <c r="V31" s="469">
        <f t="shared" si="23"/>
        <v>24900876.763691425</v>
      </c>
      <c r="W31" s="450">
        <f>SUM(W15,W20)</f>
        <v>-39801.620000001043</v>
      </c>
      <c r="X31" s="452">
        <f t="shared" si="15"/>
        <v>-1.5984023525644187E-3</v>
      </c>
      <c r="Y31" s="450">
        <f>SUM(Y15,Y20)</f>
        <v>2272023.5900000003</v>
      </c>
      <c r="Z31" s="452">
        <f t="shared" si="16"/>
        <v>9.1242714526136415E-2</v>
      </c>
      <c r="AA31" s="450">
        <f t="shared" si="21"/>
        <v>2232221.9699999993</v>
      </c>
      <c r="AB31" s="450">
        <f t="shared" si="21"/>
        <v>27133098.733691424</v>
      </c>
      <c r="AC31" s="452">
        <f t="shared" si="17"/>
        <v>8.9644312173571994E-2</v>
      </c>
    </row>
    <row r="32" spans="1:29" s="464" customFormat="1" x14ac:dyDescent="0.2">
      <c r="A32" s="440">
        <f t="shared" si="18"/>
        <v>20</v>
      </c>
      <c r="B32" s="466" t="s">
        <v>276</v>
      </c>
      <c r="C32" s="467" t="s">
        <v>275</v>
      </c>
      <c r="D32" s="468">
        <f t="shared" si="19"/>
        <v>7491654.8276905455</v>
      </c>
      <c r="E32" s="469">
        <f t="shared" si="19"/>
        <v>1560031.02</v>
      </c>
      <c r="F32" s="449">
        <f t="shared" si="13"/>
        <v>0.20823583785972574</v>
      </c>
      <c r="G32" s="468">
        <f t="shared" ref="G32:V32" si="24">G16+G21</f>
        <v>6373370</v>
      </c>
      <c r="H32" s="469">
        <f t="shared" si="24"/>
        <v>1326487.8345143748</v>
      </c>
      <c r="I32" s="469">
        <f t="shared" si="24"/>
        <v>2529535.3600000003</v>
      </c>
      <c r="J32" s="469">
        <f t="shared" si="24"/>
        <v>-951551.37</v>
      </c>
      <c r="K32" s="469">
        <f t="shared" si="24"/>
        <v>640679.77019999991</v>
      </c>
      <c r="L32" s="469">
        <f t="shared" si="24"/>
        <v>164901.51934</v>
      </c>
      <c r="M32" s="469">
        <f t="shared" si="24"/>
        <v>109749.43139999999</v>
      </c>
      <c r="N32" s="469">
        <f t="shared" si="24"/>
        <v>31739.382600000001</v>
      </c>
      <c r="O32" s="469">
        <f t="shared" si="24"/>
        <v>32567.920700000002</v>
      </c>
      <c r="P32" s="469">
        <f t="shared" si="24"/>
        <v>-1752.6733000000002</v>
      </c>
      <c r="Q32" s="469">
        <f t="shared" si="24"/>
        <v>208300.94617265993</v>
      </c>
      <c r="R32" s="469">
        <f t="shared" si="24"/>
        <v>-5804.3209799999995</v>
      </c>
      <c r="S32" s="469">
        <f t="shared" si="24"/>
        <v>382.40219999999999</v>
      </c>
      <c r="T32" s="469">
        <f t="shared" si="24"/>
        <v>100189.37639999999</v>
      </c>
      <c r="U32" s="469">
        <f t="shared" si="24"/>
        <v>-51595.79</v>
      </c>
      <c r="V32" s="469">
        <f t="shared" si="24"/>
        <v>4133829.7892470341</v>
      </c>
      <c r="W32" s="450">
        <f>SUM(W16,W21)</f>
        <v>-6760.3100000000559</v>
      </c>
      <c r="X32" s="452">
        <f t="shared" si="15"/>
        <v>-1.6353624470908435E-3</v>
      </c>
      <c r="Y32" s="450">
        <f>SUM(Y16,Y21)</f>
        <v>657552.93999999994</v>
      </c>
      <c r="Z32" s="452">
        <f t="shared" si="16"/>
        <v>0.15906628321041041</v>
      </c>
      <c r="AA32" s="450">
        <f t="shared" si="21"/>
        <v>650792.62999999989</v>
      </c>
      <c r="AB32" s="450">
        <f t="shared" si="21"/>
        <v>4784622.419247034</v>
      </c>
      <c r="AC32" s="452">
        <f t="shared" si="17"/>
        <v>0.15743092076331958</v>
      </c>
    </row>
    <row r="33" spans="1:29" s="464" customFormat="1" x14ac:dyDescent="0.2">
      <c r="A33" s="440">
        <f t="shared" si="18"/>
        <v>21</v>
      </c>
      <c r="B33" s="471" t="s">
        <v>274</v>
      </c>
      <c r="C33" s="467" t="s">
        <v>273</v>
      </c>
      <c r="D33" s="468">
        <f t="shared" si="19"/>
        <v>119319881.40783478</v>
      </c>
      <c r="E33" s="469">
        <f t="shared" si="19"/>
        <v>6299906.5299999993</v>
      </c>
      <c r="F33" s="449">
        <f t="shared" si="13"/>
        <v>5.2798464561550719E-2</v>
      </c>
      <c r="G33" s="468">
        <f t="shared" ref="G33:V33" si="25">G17+G22</f>
        <v>92216529</v>
      </c>
      <c r="H33" s="469">
        <f t="shared" si="25"/>
        <v>4901473.0238752235</v>
      </c>
      <c r="I33" s="469">
        <f t="shared" si="25"/>
        <v>9101742.8599999994</v>
      </c>
      <c r="J33" s="469">
        <f t="shared" si="25"/>
        <v>-3455349.47</v>
      </c>
      <c r="K33" s="469">
        <f t="shared" si="25"/>
        <v>495294.87864314829</v>
      </c>
      <c r="L33" s="469">
        <f t="shared" si="25"/>
        <v>608767.09686000005</v>
      </c>
      <c r="M33" s="469">
        <f t="shared" si="25"/>
        <v>256089.13442529348</v>
      </c>
      <c r="N33" s="469">
        <f t="shared" si="25"/>
        <v>101476.49045153166</v>
      </c>
      <c r="O33" s="469">
        <f t="shared" si="25"/>
        <v>195499.04148000001</v>
      </c>
      <c r="P33" s="469">
        <f t="shared" si="25"/>
        <v>-9966.5879270577498</v>
      </c>
      <c r="Q33" s="469">
        <f t="shared" si="25"/>
        <v>347874.32591537002</v>
      </c>
      <c r="R33" s="469">
        <f t="shared" si="25"/>
        <v>-36532.811706285764</v>
      </c>
      <c r="S33" s="469">
        <f t="shared" si="25"/>
        <v>8299.4876100000001</v>
      </c>
      <c r="T33" s="469">
        <f t="shared" si="25"/>
        <v>1107621.1418017484</v>
      </c>
      <c r="U33" s="469">
        <f t="shared" si="25"/>
        <v>0</v>
      </c>
      <c r="V33" s="469">
        <f t="shared" si="25"/>
        <v>13622288.61142897</v>
      </c>
      <c r="W33" s="450">
        <f>SUM(W17,W22)</f>
        <v>-31981.990000000224</v>
      </c>
      <c r="X33" s="452">
        <f t="shared" si="15"/>
        <v>-2.3477692267632353E-3</v>
      </c>
      <c r="Y33" s="450">
        <f>SUM(Y17,Y22)</f>
        <v>2370549.8000000003</v>
      </c>
      <c r="Z33" s="452">
        <f t="shared" si="16"/>
        <v>0.17401993656272496</v>
      </c>
      <c r="AA33" s="450">
        <f t="shared" si="21"/>
        <v>2338567.81</v>
      </c>
      <c r="AB33" s="450">
        <f t="shared" si="21"/>
        <v>15960856.421428971</v>
      </c>
      <c r="AC33" s="452">
        <f t="shared" si="17"/>
        <v>0.17167216733596175</v>
      </c>
    </row>
    <row r="34" spans="1:29" s="464" customFormat="1" x14ac:dyDescent="0.2">
      <c r="A34" s="440">
        <f t="shared" si="18"/>
        <v>22</v>
      </c>
      <c r="B34" s="471" t="s">
        <v>272</v>
      </c>
      <c r="C34" s="467" t="s">
        <v>271</v>
      </c>
      <c r="D34" s="468">
        <f>D23</f>
        <v>44508541</v>
      </c>
      <c r="E34" s="469">
        <f>E23</f>
        <v>195933.21000000002</v>
      </c>
      <c r="F34" s="449">
        <f t="shared" si="13"/>
        <v>4.4021485673951888E-3</v>
      </c>
      <c r="G34" s="468">
        <f t="shared" ref="G34:W34" si="26">G23</f>
        <v>33595800</v>
      </c>
      <c r="H34" s="469">
        <f t="shared" si="26"/>
        <v>147893.70284049527</v>
      </c>
      <c r="I34" s="469">
        <f t="shared" si="26"/>
        <v>0</v>
      </c>
      <c r="J34" s="469">
        <f t="shared" si="26"/>
        <v>0</v>
      </c>
      <c r="K34" s="469">
        <f t="shared" si="26"/>
        <v>475168.55343999993</v>
      </c>
      <c r="L34" s="469">
        <f t="shared" si="26"/>
        <v>0</v>
      </c>
      <c r="M34" s="469">
        <f t="shared" si="26"/>
        <v>61919.784</v>
      </c>
      <c r="N34" s="469">
        <f t="shared" si="26"/>
        <v>24843.48</v>
      </c>
      <c r="O34" s="469">
        <f t="shared" si="26"/>
        <v>71223.09599999999</v>
      </c>
      <c r="P34" s="469">
        <f t="shared" si="26"/>
        <v>3741778.0260000001</v>
      </c>
      <c r="Q34" s="469">
        <f t="shared" si="26"/>
        <v>0</v>
      </c>
      <c r="R34" s="469">
        <f t="shared" si="26"/>
        <v>-6212.7060000000001</v>
      </c>
      <c r="S34" s="469">
        <f t="shared" si="26"/>
        <v>3023.6220000000003</v>
      </c>
      <c r="T34" s="469">
        <f t="shared" si="26"/>
        <v>157924.33799999999</v>
      </c>
      <c r="U34" s="469">
        <f t="shared" si="26"/>
        <v>0</v>
      </c>
      <c r="V34" s="469">
        <f t="shared" si="26"/>
        <v>4677561.8962804954</v>
      </c>
      <c r="W34" s="450">
        <f t="shared" si="26"/>
        <v>0</v>
      </c>
      <c r="X34" s="452">
        <f t="shared" si="15"/>
        <v>0</v>
      </c>
      <c r="Y34" s="450">
        <f>Y23</f>
        <v>0</v>
      </c>
      <c r="Z34" s="452">
        <f t="shared" si="16"/>
        <v>0</v>
      </c>
      <c r="AA34" s="450">
        <f>AA23</f>
        <v>0</v>
      </c>
      <c r="AB34" s="450">
        <f>AB23</f>
        <v>4677561.8962804954</v>
      </c>
      <c r="AC34" s="452">
        <f t="shared" si="17"/>
        <v>0</v>
      </c>
    </row>
    <row r="35" spans="1:29" s="464" customFormat="1" x14ac:dyDescent="0.2">
      <c r="A35" s="440">
        <f t="shared" si="18"/>
        <v>23</v>
      </c>
      <c r="B35" s="471" t="s">
        <v>270</v>
      </c>
      <c r="C35" s="466"/>
      <c r="D35" s="468">
        <f>D24</f>
        <v>32154478.538398605</v>
      </c>
      <c r="E35" s="469">
        <f>E24</f>
        <v>1699064.4523564125</v>
      </c>
      <c r="F35" s="449">
        <f t="shared" si="13"/>
        <v>5.2840678175744761E-2</v>
      </c>
      <c r="G35" s="468">
        <f t="shared" ref="G35:W35" si="27">G24</f>
        <v>33552816</v>
      </c>
      <c r="H35" s="469">
        <f t="shared" si="27"/>
        <v>1772953.5521459796</v>
      </c>
      <c r="I35" s="469">
        <f t="shared" si="27"/>
        <v>0</v>
      </c>
      <c r="J35" s="469">
        <f t="shared" si="27"/>
        <v>0</v>
      </c>
      <c r="K35" s="469">
        <f t="shared" si="27"/>
        <v>1401276.6008886266</v>
      </c>
      <c r="L35" s="469">
        <f t="shared" si="27"/>
        <v>0</v>
      </c>
      <c r="M35" s="469">
        <f t="shared" si="27"/>
        <v>0</v>
      </c>
      <c r="N35" s="469">
        <f t="shared" si="27"/>
        <v>0</v>
      </c>
      <c r="O35" s="469">
        <f t="shared" si="27"/>
        <v>24493.555680000001</v>
      </c>
      <c r="P35" s="469">
        <f t="shared" si="27"/>
        <v>0</v>
      </c>
      <c r="Q35" s="469">
        <f t="shared" si="27"/>
        <v>0</v>
      </c>
      <c r="R35" s="469">
        <f t="shared" si="27"/>
        <v>0</v>
      </c>
      <c r="S35" s="469">
        <f t="shared" si="27"/>
        <v>3355.2816000000003</v>
      </c>
      <c r="T35" s="469">
        <f t="shared" si="27"/>
        <v>0</v>
      </c>
      <c r="U35" s="469">
        <f t="shared" si="27"/>
        <v>0</v>
      </c>
      <c r="V35" s="469">
        <f t="shared" si="27"/>
        <v>3202078.9903146061</v>
      </c>
      <c r="W35" s="450">
        <f t="shared" si="27"/>
        <v>0</v>
      </c>
      <c r="X35" s="452">
        <f t="shared" si="15"/>
        <v>0</v>
      </c>
      <c r="Y35" s="450">
        <f>Y24</f>
        <v>0</v>
      </c>
      <c r="Z35" s="452">
        <f t="shared" si="16"/>
        <v>0</v>
      </c>
      <c r="AA35" s="450">
        <f>AA24</f>
        <v>0</v>
      </c>
      <c r="AB35" s="450">
        <f>AB24</f>
        <v>3202078.9903146061</v>
      </c>
      <c r="AC35" s="452">
        <f t="shared" si="17"/>
        <v>0</v>
      </c>
    </row>
    <row r="36" spans="1:29" s="464" customFormat="1" x14ac:dyDescent="0.2">
      <c r="A36" s="440">
        <f t="shared" si="18"/>
        <v>24</v>
      </c>
      <c r="B36" s="471" t="s">
        <v>10</v>
      </c>
      <c r="C36" s="471"/>
      <c r="D36" s="472">
        <f>SUM(D28:D35)</f>
        <v>1217415528.0608532</v>
      </c>
      <c r="E36" s="473">
        <f>SUM(E28:E35)</f>
        <v>567392394.92043567</v>
      </c>
      <c r="F36" s="474">
        <f t="shared" si="13"/>
        <v>0.46606305065305048</v>
      </c>
      <c r="G36" s="472">
        <f t="shared" ref="G36:W36" si="28">SUM(G28:G35)</f>
        <v>1116377814</v>
      </c>
      <c r="H36" s="473">
        <f t="shared" si="28"/>
        <v>531589599.1112951</v>
      </c>
      <c r="I36" s="473">
        <f t="shared" si="28"/>
        <v>493912890.94</v>
      </c>
      <c r="J36" s="473">
        <f t="shared" si="28"/>
        <v>-179802070.85999998</v>
      </c>
      <c r="K36" s="473">
        <f t="shared" si="28"/>
        <v>79444118.974699914</v>
      </c>
      <c r="L36" s="473">
        <f t="shared" si="28"/>
        <v>32666847.8686</v>
      </c>
      <c r="M36" s="473">
        <f t="shared" si="28"/>
        <v>63789040.431232281</v>
      </c>
      <c r="N36" s="473">
        <f t="shared" si="28"/>
        <v>13095536.102019949</v>
      </c>
      <c r="O36" s="473">
        <f t="shared" si="28"/>
        <v>14777596.063869998</v>
      </c>
      <c r="P36" s="473">
        <f t="shared" si="28"/>
        <v>1906050.5682329428</v>
      </c>
      <c r="Q36" s="473">
        <f t="shared" si="28"/>
        <v>38627643.844832323</v>
      </c>
      <c r="R36" s="473">
        <f t="shared" si="28"/>
        <v>-3035230.685976285</v>
      </c>
      <c r="S36" s="473">
        <f t="shared" si="28"/>
        <v>91301.616320000001</v>
      </c>
      <c r="T36" s="473">
        <f t="shared" si="28"/>
        <v>60504465.282221749</v>
      </c>
      <c r="U36" s="473">
        <f t="shared" si="28"/>
        <v>24232521.84</v>
      </c>
      <c r="V36" s="473">
        <f t="shared" si="28"/>
        <v>1171800311.0973482</v>
      </c>
      <c r="W36" s="456">
        <f t="shared" si="28"/>
        <v>-2612028.6000000141</v>
      </c>
      <c r="X36" s="458">
        <f t="shared" si="15"/>
        <v>-2.2290731409295708E-3</v>
      </c>
      <c r="Y36" s="456">
        <f>SUM(Y28:Y35)</f>
        <v>127008311.83000001</v>
      </c>
      <c r="Z36" s="458">
        <f t="shared" si="16"/>
        <v>0.10838733411075933</v>
      </c>
      <c r="AA36" s="456">
        <f>SUM(AA28:AA35)</f>
        <v>124396283.22999999</v>
      </c>
      <c r="AB36" s="456">
        <f>SUM(AB28:AB35)</f>
        <v>1296196594.3273482</v>
      </c>
      <c r="AC36" s="458">
        <f t="shared" si="17"/>
        <v>0.10615826096982976</v>
      </c>
    </row>
    <row r="37" spans="1:29" s="464" customFormat="1" x14ac:dyDescent="0.2">
      <c r="B37" s="11"/>
      <c r="C37" s="11"/>
      <c r="D37" s="11"/>
      <c r="E37" s="11"/>
      <c r="F37" s="11"/>
      <c r="I37" s="475"/>
      <c r="M37" s="11"/>
      <c r="N37" s="11"/>
      <c r="P37" s="11"/>
      <c r="Q37" s="11"/>
      <c r="R37" s="11"/>
      <c r="S37" s="11"/>
      <c r="T37" s="11"/>
      <c r="U37" s="11"/>
      <c r="V37" s="11"/>
      <c r="W37" s="476"/>
      <c r="X37" s="476"/>
      <c r="Y37" s="476"/>
      <c r="Z37" s="476"/>
      <c r="AA37" s="476"/>
      <c r="AB37" s="476"/>
    </row>
    <row r="38" spans="1:29" x14ac:dyDescent="0.2">
      <c r="B38" s="439" t="s">
        <v>416</v>
      </c>
    </row>
    <row r="39" spans="1:29" x14ac:dyDescent="0.2">
      <c r="B39" s="439" t="s">
        <v>418</v>
      </c>
    </row>
    <row r="41" spans="1:29" x14ac:dyDescent="0.2">
      <c r="B41" s="477" t="s">
        <v>269</v>
      </c>
      <c r="C41" s="477"/>
      <c r="D41" s="477"/>
      <c r="E41" s="477"/>
      <c r="F41" s="477"/>
      <c r="G41" s="477"/>
      <c r="H41" s="477"/>
      <c r="I41" s="477"/>
      <c r="J41" s="477"/>
      <c r="K41" s="477"/>
      <c r="L41" s="477"/>
      <c r="M41" s="477"/>
      <c r="N41" s="477"/>
      <c r="O41" s="477"/>
      <c r="P41" s="477"/>
      <c r="Q41" s="477"/>
      <c r="R41" s="477"/>
      <c r="S41" s="477"/>
      <c r="T41" s="477"/>
      <c r="U41" s="477"/>
      <c r="V41" s="478">
        <v>-8.5681676864624023E-8</v>
      </c>
    </row>
  </sheetData>
  <printOptions horizontalCentered="1"/>
  <pageMargins left="0.45" right="0.45" top="0.75" bottom="0.75" header="0.3" footer="0.3"/>
  <pageSetup paperSize="5" scale="52" orientation="landscape" blackAndWhite="1" r:id="rId1"/>
  <headerFooter>
    <oddFooter>&amp;L&amp;F 
&amp;A&amp;RPage &amp;P of &amp;N</oddFoot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zoomScaleNormal="100" workbookViewId="0">
      <selection activeCell="R41" sqref="R41"/>
    </sheetView>
  </sheetViews>
  <sheetFormatPr defaultColWidth="9.140625" defaultRowHeight="11.25" x14ac:dyDescent="0.2"/>
  <cols>
    <col min="1" max="1" width="2.140625" style="464" customWidth="1"/>
    <col min="2" max="2" width="2.42578125" style="464" customWidth="1"/>
    <col min="3" max="3" width="34.85546875" style="464" customWidth="1"/>
    <col min="4" max="5" width="11.85546875" style="464" customWidth="1"/>
    <col min="6" max="6" width="2.7109375" style="475" customWidth="1"/>
    <col min="7" max="8" width="11.85546875" style="464" customWidth="1"/>
    <col min="9" max="9" width="2.7109375" style="464" customWidth="1"/>
    <col min="10" max="11" width="11.85546875" style="464" customWidth="1"/>
    <col min="12" max="12" width="2.7109375" style="464" customWidth="1"/>
    <col min="13" max="14" width="11.85546875" style="464" customWidth="1"/>
    <col min="15" max="16384" width="9.140625" style="464"/>
  </cols>
  <sheetData>
    <row r="1" spans="2:14" x14ac:dyDescent="0.2">
      <c r="B1" s="563" t="s">
        <v>1</v>
      </c>
      <c r="C1" s="479"/>
      <c r="D1" s="479"/>
      <c r="E1" s="479"/>
      <c r="F1" s="479"/>
      <c r="G1" s="479"/>
      <c r="H1" s="479"/>
      <c r="I1" s="437"/>
      <c r="J1" s="437"/>
      <c r="K1" s="437"/>
      <c r="L1" s="437"/>
      <c r="M1" s="437"/>
      <c r="N1" s="437"/>
    </row>
    <row r="2" spans="2:14" x14ac:dyDescent="0.2">
      <c r="B2" s="563" t="str">
        <f>'Rate Impacts Sch 101_106'!A2</f>
        <v>2024 Gas Schedule 101 &amp; 106 Purchased Gas Adjustment Filing</v>
      </c>
      <c r="C2" s="479"/>
      <c r="D2" s="479"/>
      <c r="E2" s="479"/>
      <c r="F2" s="479"/>
      <c r="G2" s="479"/>
      <c r="H2" s="479"/>
      <c r="I2" s="437"/>
      <c r="J2" s="437"/>
      <c r="K2" s="437"/>
      <c r="L2" s="437"/>
      <c r="M2" s="437"/>
      <c r="N2" s="437"/>
    </row>
    <row r="3" spans="2:14" x14ac:dyDescent="0.2">
      <c r="B3" s="561" t="s">
        <v>387</v>
      </c>
      <c r="C3" s="437"/>
      <c r="D3" s="437"/>
      <c r="E3" s="437"/>
      <c r="F3" s="437"/>
      <c r="G3" s="437"/>
      <c r="H3" s="437"/>
      <c r="I3" s="437"/>
      <c r="J3" s="437"/>
      <c r="K3" s="437"/>
      <c r="L3" s="437"/>
      <c r="M3" s="437"/>
      <c r="N3" s="437"/>
    </row>
    <row r="4" spans="2:14" x14ac:dyDescent="0.2">
      <c r="B4" s="561" t="str">
        <f>'Rate Impacts Sch 101_106'!A4</f>
        <v>Proposed Rates Effective November 1, 2024</v>
      </c>
      <c r="C4" s="437"/>
      <c r="D4" s="437"/>
      <c r="E4" s="437"/>
      <c r="F4" s="437"/>
      <c r="G4" s="437"/>
      <c r="H4" s="437"/>
      <c r="I4" s="437"/>
      <c r="J4" s="437"/>
      <c r="K4" s="437"/>
      <c r="L4" s="437"/>
      <c r="M4" s="437"/>
      <c r="N4" s="437"/>
    </row>
    <row r="6" spans="2:14" x14ac:dyDescent="0.2">
      <c r="G6" s="480" t="s">
        <v>386</v>
      </c>
      <c r="H6" s="480"/>
      <c r="J6" s="480" t="s">
        <v>385</v>
      </c>
      <c r="K6" s="480"/>
      <c r="M6" s="480"/>
      <c r="N6" s="480"/>
    </row>
    <row r="7" spans="2:14" x14ac:dyDescent="0.2">
      <c r="D7" s="481" t="s">
        <v>384</v>
      </c>
      <c r="E7" s="481"/>
      <c r="F7" s="471"/>
      <c r="G7" s="481" t="s">
        <v>383</v>
      </c>
      <c r="H7" s="481"/>
      <c r="J7" s="481" t="s">
        <v>383</v>
      </c>
      <c r="K7" s="481"/>
      <c r="M7" s="481" t="s">
        <v>382</v>
      </c>
      <c r="N7" s="481"/>
    </row>
    <row r="8" spans="2:14" x14ac:dyDescent="0.2">
      <c r="D8" s="482" t="s">
        <v>417</v>
      </c>
      <c r="E8" s="482" t="s">
        <v>380</v>
      </c>
      <c r="F8" s="483"/>
      <c r="G8" s="482" t="s">
        <v>381</v>
      </c>
      <c r="H8" s="482" t="s">
        <v>380</v>
      </c>
      <c r="J8" s="482" t="s">
        <v>381</v>
      </c>
      <c r="K8" s="482" t="s">
        <v>380</v>
      </c>
      <c r="M8" s="482" t="s">
        <v>381</v>
      </c>
      <c r="N8" s="482" t="s">
        <v>380</v>
      </c>
    </row>
    <row r="9" spans="2:14" x14ac:dyDescent="0.2">
      <c r="B9" s="464" t="s">
        <v>379</v>
      </c>
      <c r="D9" s="484">
        <v>64</v>
      </c>
      <c r="E9" s="485"/>
      <c r="F9" s="486"/>
      <c r="G9" s="484">
        <v>64</v>
      </c>
      <c r="H9" s="485"/>
      <c r="J9" s="484">
        <v>64</v>
      </c>
      <c r="K9" s="485"/>
      <c r="M9" s="484">
        <v>64</v>
      </c>
      <c r="N9" s="485"/>
    </row>
    <row r="10" spans="2:14" x14ac:dyDescent="0.2">
      <c r="D10" s="484"/>
      <c r="E10" s="485"/>
      <c r="F10" s="486"/>
      <c r="G10" s="484"/>
      <c r="H10" s="485"/>
      <c r="J10" s="484"/>
      <c r="K10" s="485"/>
      <c r="M10" s="484"/>
      <c r="N10" s="485"/>
    </row>
    <row r="11" spans="2:14" x14ac:dyDescent="0.2">
      <c r="B11" s="464" t="s">
        <v>378</v>
      </c>
      <c r="D11" s="484"/>
      <c r="E11" s="485"/>
      <c r="F11" s="486"/>
      <c r="G11" s="484"/>
      <c r="H11" s="485"/>
      <c r="J11" s="484"/>
      <c r="K11" s="485"/>
      <c r="M11" s="484"/>
      <c r="N11" s="485"/>
    </row>
    <row r="12" spans="2:14" x14ac:dyDescent="0.2">
      <c r="C12" s="464" t="s">
        <v>377</v>
      </c>
      <c r="D12" s="166">
        <v>12.5</v>
      </c>
      <c r="E12" s="485">
        <f>D12</f>
        <v>12.5</v>
      </c>
      <c r="F12" s="487"/>
      <c r="G12" s="476">
        <f>$D$12</f>
        <v>12.5</v>
      </c>
      <c r="H12" s="485">
        <f>G12</f>
        <v>12.5</v>
      </c>
      <c r="J12" s="476">
        <f>$D$12</f>
        <v>12.5</v>
      </c>
      <c r="K12" s="485">
        <f>J12</f>
        <v>12.5</v>
      </c>
      <c r="M12" s="476">
        <f>$D$12</f>
        <v>12.5</v>
      </c>
      <c r="N12" s="485">
        <f>M12</f>
        <v>12.5</v>
      </c>
    </row>
    <row r="13" spans="2:14" x14ac:dyDescent="0.2">
      <c r="C13" s="464" t="s">
        <v>360</v>
      </c>
      <c r="D13" s="488">
        <f>SUM(D12:D12)</f>
        <v>12.5</v>
      </c>
      <c r="E13" s="489">
        <f>SUM(E12:E12)</f>
        <v>12.5</v>
      </c>
      <c r="F13" s="487"/>
      <c r="G13" s="489">
        <f>SUM(G12:G12)</f>
        <v>12.5</v>
      </c>
      <c r="H13" s="489">
        <f>SUM(H12:H12)</f>
        <v>12.5</v>
      </c>
      <c r="J13" s="489">
        <f>SUM(J12:J12)</f>
        <v>12.5</v>
      </c>
      <c r="K13" s="489">
        <f>SUM(K12:K12)</f>
        <v>12.5</v>
      </c>
      <c r="M13" s="489">
        <f>SUM(M12:M12)</f>
        <v>12.5</v>
      </c>
      <c r="N13" s="489">
        <f>SUM(N12:N12)</f>
        <v>12.5</v>
      </c>
    </row>
    <row r="14" spans="2:14" x14ac:dyDescent="0.2">
      <c r="D14" s="490"/>
      <c r="E14" s="491"/>
      <c r="F14" s="487"/>
      <c r="G14" s="491"/>
      <c r="H14" s="491"/>
      <c r="J14" s="491"/>
      <c r="K14" s="491"/>
      <c r="M14" s="491"/>
      <c r="N14" s="491"/>
    </row>
    <row r="15" spans="2:14" x14ac:dyDescent="0.2">
      <c r="C15" s="464" t="s">
        <v>376</v>
      </c>
      <c r="D15" s="166">
        <v>-18.47</v>
      </c>
      <c r="E15" s="485">
        <f>D15</f>
        <v>-18.47</v>
      </c>
      <c r="F15" s="487"/>
      <c r="G15" s="492">
        <f>$D$15</f>
        <v>-18.47</v>
      </c>
      <c r="H15" s="485">
        <f>G15</f>
        <v>-18.47</v>
      </c>
      <c r="J15" s="492">
        <f>$D$15</f>
        <v>-18.47</v>
      </c>
      <c r="K15" s="485">
        <f>J15</f>
        <v>-18.47</v>
      </c>
      <c r="M15" s="492">
        <f>$D$15</f>
        <v>-18.47</v>
      </c>
      <c r="N15" s="485">
        <f>M15</f>
        <v>-18.47</v>
      </c>
    </row>
    <row r="16" spans="2:14" x14ac:dyDescent="0.2">
      <c r="D16" s="493"/>
      <c r="E16" s="485"/>
      <c r="F16" s="487"/>
      <c r="G16" s="476"/>
      <c r="H16" s="485"/>
      <c r="J16" s="476"/>
      <c r="K16" s="485"/>
      <c r="M16" s="476"/>
      <c r="N16" s="485"/>
    </row>
    <row r="17" spans="2:14" x14ac:dyDescent="0.2">
      <c r="B17" s="464" t="s">
        <v>375</v>
      </c>
      <c r="D17" s="11"/>
      <c r="E17" s="485"/>
      <c r="H17" s="485"/>
      <c r="K17" s="485"/>
      <c r="N17" s="485"/>
    </row>
    <row r="18" spans="2:14" x14ac:dyDescent="0.2">
      <c r="C18" s="464" t="s">
        <v>374</v>
      </c>
      <c r="D18" s="81">
        <v>0.45612999999999998</v>
      </c>
      <c r="E18" s="485"/>
      <c r="F18" s="495"/>
      <c r="G18" s="496">
        <f>$D$18</f>
        <v>0.45612999999999998</v>
      </c>
      <c r="H18" s="485"/>
      <c r="J18" s="496">
        <f>$D$18</f>
        <v>0.45612999999999998</v>
      </c>
      <c r="K18" s="485"/>
      <c r="M18" s="496">
        <f>$D$18</f>
        <v>0.45612999999999998</v>
      </c>
      <c r="N18" s="485"/>
    </row>
    <row r="19" spans="2:14" x14ac:dyDescent="0.2">
      <c r="C19" s="464" t="s">
        <v>373</v>
      </c>
      <c r="D19" s="81">
        <v>3.6560000000000002E-2</v>
      </c>
      <c r="E19" s="485"/>
      <c r="F19" s="495"/>
      <c r="G19" s="497">
        <f>$D$19</f>
        <v>3.6560000000000002E-2</v>
      </c>
      <c r="H19" s="485"/>
      <c r="J19" s="497">
        <f>$D$19</f>
        <v>3.6560000000000002E-2</v>
      </c>
      <c r="K19" s="485"/>
      <c r="M19" s="497">
        <f>$D$19</f>
        <v>3.6560000000000002E-2</v>
      </c>
      <c r="N19" s="485"/>
    </row>
    <row r="20" spans="2:14" x14ac:dyDescent="0.2">
      <c r="C20" s="464" t="s">
        <v>372</v>
      </c>
      <c r="D20" s="81">
        <v>8.5290000000000005E-2</v>
      </c>
      <c r="E20" s="485"/>
      <c r="F20" s="495"/>
      <c r="G20" s="498">
        <f>$D$20</f>
        <v>8.5290000000000005E-2</v>
      </c>
      <c r="H20" s="485"/>
      <c r="J20" s="498">
        <f>$D$20</f>
        <v>8.5290000000000005E-2</v>
      </c>
      <c r="K20" s="485"/>
      <c r="M20" s="498">
        <f>$D$20</f>
        <v>8.5290000000000005E-2</v>
      </c>
      <c r="N20" s="485"/>
    </row>
    <row r="21" spans="2:14" x14ac:dyDescent="0.2">
      <c r="C21" s="464" t="s">
        <v>371</v>
      </c>
      <c r="D21" s="81">
        <v>1.5959999999999998E-2</v>
      </c>
      <c r="E21" s="485"/>
      <c r="F21" s="495"/>
      <c r="G21" s="498">
        <f>$D$21</f>
        <v>1.5959999999999998E-2</v>
      </c>
      <c r="H21" s="485"/>
      <c r="J21" s="498">
        <f>$D$21</f>
        <v>1.5959999999999998E-2</v>
      </c>
      <c r="K21" s="485"/>
      <c r="M21" s="498">
        <f>$D$21</f>
        <v>1.5959999999999998E-2</v>
      </c>
      <c r="N21" s="485"/>
    </row>
    <row r="22" spans="2:14" x14ac:dyDescent="0.2">
      <c r="C22" s="464" t="s">
        <v>370</v>
      </c>
      <c r="D22" s="81">
        <v>1.6749999999999998E-2</v>
      </c>
      <c r="E22" s="485"/>
      <c r="F22" s="495"/>
      <c r="G22" s="498">
        <f>$D$22</f>
        <v>1.6749999999999998E-2</v>
      </c>
      <c r="H22" s="485"/>
      <c r="J22" s="498">
        <f>$D$22</f>
        <v>1.6749999999999998E-2</v>
      </c>
      <c r="K22" s="485"/>
      <c r="M22" s="498">
        <f>$D$22</f>
        <v>1.6749999999999998E-2</v>
      </c>
      <c r="N22" s="485"/>
    </row>
    <row r="23" spans="2:14" x14ac:dyDescent="0.2">
      <c r="C23" s="464" t="s">
        <v>369</v>
      </c>
      <c r="D23" s="81">
        <v>-2.1999999999999997E-3</v>
      </c>
      <c r="E23" s="485"/>
      <c r="F23" s="495"/>
      <c r="G23" s="498">
        <f>$D$23</f>
        <v>-2.1999999999999997E-3</v>
      </c>
      <c r="H23" s="485"/>
      <c r="J23" s="498">
        <f>$D$23</f>
        <v>-2.1999999999999997E-3</v>
      </c>
      <c r="K23" s="485"/>
      <c r="M23" s="498">
        <f>$D$23</f>
        <v>-2.1999999999999997E-3</v>
      </c>
      <c r="N23" s="485"/>
    </row>
    <row r="24" spans="2:14" x14ac:dyDescent="0.2">
      <c r="C24" s="464" t="s">
        <v>368</v>
      </c>
      <c r="D24" s="81">
        <v>4.6739999999999997E-2</v>
      </c>
      <c r="E24" s="485"/>
      <c r="F24" s="495"/>
      <c r="G24" s="498">
        <f>$D$24</f>
        <v>4.6739999999999997E-2</v>
      </c>
      <c r="H24" s="485"/>
      <c r="J24" s="498">
        <f>$D$24</f>
        <v>4.6739999999999997E-2</v>
      </c>
      <c r="K24" s="485"/>
      <c r="M24" s="498">
        <f>$D$24</f>
        <v>4.6739999999999997E-2</v>
      </c>
      <c r="N24" s="485"/>
    </row>
    <row r="25" spans="2:14" x14ac:dyDescent="0.2">
      <c r="C25" s="464" t="s">
        <v>367</v>
      </c>
      <c r="D25" s="81">
        <v>-3.5899999999999994E-3</v>
      </c>
      <c r="E25" s="485"/>
      <c r="F25" s="495"/>
      <c r="G25" s="498">
        <f>$D$25</f>
        <v>-3.5899999999999994E-3</v>
      </c>
      <c r="H25" s="485"/>
      <c r="J25" s="498">
        <f>$D$25</f>
        <v>-3.5899999999999994E-3</v>
      </c>
      <c r="K25" s="485"/>
      <c r="M25" s="498">
        <f>$D$25</f>
        <v>-3.5899999999999994E-3</v>
      </c>
      <c r="N25" s="485"/>
    </row>
    <row r="26" spans="2:14" x14ac:dyDescent="0.2">
      <c r="C26" s="464" t="s">
        <v>366</v>
      </c>
      <c r="D26" s="81">
        <v>9.0000000000000006E-5</v>
      </c>
      <c r="E26" s="485"/>
      <c r="F26" s="495"/>
      <c r="G26" s="498">
        <f>$D$26</f>
        <v>9.0000000000000006E-5</v>
      </c>
      <c r="H26" s="485"/>
      <c r="J26" s="498">
        <f>$D$26</f>
        <v>9.0000000000000006E-5</v>
      </c>
      <c r="K26" s="485"/>
      <c r="M26" s="498">
        <f>$D$26</f>
        <v>9.0000000000000006E-5</v>
      </c>
      <c r="N26" s="485"/>
    </row>
    <row r="27" spans="2:14" x14ac:dyDescent="0.2">
      <c r="C27" s="464" t="s">
        <v>365</v>
      </c>
      <c r="D27" s="81">
        <v>7.1179999999999993E-2</v>
      </c>
      <c r="E27" s="485"/>
      <c r="F27" s="495"/>
      <c r="G27" s="498">
        <f>$D$27</f>
        <v>7.1179999999999993E-2</v>
      </c>
      <c r="H27" s="485"/>
      <c r="J27" s="498">
        <f>$D$27</f>
        <v>7.1179999999999993E-2</v>
      </c>
      <c r="K27" s="485"/>
      <c r="M27" s="498">
        <f>$D$27</f>
        <v>7.1179999999999993E-2</v>
      </c>
      <c r="N27" s="485"/>
    </row>
    <row r="28" spans="2:14" x14ac:dyDescent="0.2">
      <c r="C28" s="464" t="s">
        <v>364</v>
      </c>
      <c r="D28" s="81">
        <v>4.292E-2</v>
      </c>
      <c r="E28" s="485"/>
      <c r="F28" s="495"/>
      <c r="G28" s="498">
        <f>$D$28</f>
        <v>4.292E-2</v>
      </c>
      <c r="H28" s="485"/>
      <c r="J28" s="498">
        <f>$D$28</f>
        <v>4.292E-2</v>
      </c>
      <c r="K28" s="485"/>
      <c r="M28" s="498">
        <f>$D$28</f>
        <v>4.292E-2</v>
      </c>
      <c r="N28" s="485"/>
    </row>
    <row r="29" spans="2:14" x14ac:dyDescent="0.2">
      <c r="C29" s="464" t="s">
        <v>360</v>
      </c>
      <c r="D29" s="499">
        <f>SUM(D18:D28)</f>
        <v>0.76583000000000001</v>
      </c>
      <c r="E29" s="485">
        <f>ROUND(D29*D$9,2)</f>
        <v>49.01</v>
      </c>
      <c r="F29" s="495"/>
      <c r="G29" s="500">
        <f>SUM(G18:G28)</f>
        <v>0.76583000000000001</v>
      </c>
      <c r="H29" s="485">
        <f>ROUND(G29*G$9,2)</f>
        <v>49.01</v>
      </c>
      <c r="J29" s="500">
        <f>SUM(J18:J28)</f>
        <v>0.76583000000000001</v>
      </c>
      <c r="K29" s="485">
        <f>ROUND(J29*J$9,2)</f>
        <v>49.01</v>
      </c>
      <c r="M29" s="500">
        <f>SUM(M18:M28)</f>
        <v>0.76583000000000001</v>
      </c>
      <c r="N29" s="485">
        <f>ROUND(M29*M$9,2)</f>
        <v>49.01</v>
      </c>
    </row>
    <row r="30" spans="2:14" x14ac:dyDescent="0.2">
      <c r="D30" s="11"/>
    </row>
    <row r="31" spans="2:14" x14ac:dyDescent="0.2">
      <c r="C31" s="464" t="s">
        <v>363</v>
      </c>
      <c r="D31" s="81">
        <v>0.39673999999999998</v>
      </c>
      <c r="E31" s="485">
        <f>ROUND(D31*D$9,2)</f>
        <v>25.39</v>
      </c>
      <c r="F31" s="495"/>
      <c r="G31" s="497">
        <f>$D$31</f>
        <v>0.39673999999999998</v>
      </c>
      <c r="H31" s="485">
        <f>ROUND(G31*G$9,2)</f>
        <v>25.39</v>
      </c>
      <c r="J31" s="497">
        <f>$D$31</f>
        <v>0.39673999999999998</v>
      </c>
      <c r="K31" s="485">
        <f>ROUND(J31*J$9,2)</f>
        <v>25.39</v>
      </c>
      <c r="M31" s="497">
        <f>$D$31</f>
        <v>0.39673999999999998</v>
      </c>
      <c r="N31" s="485">
        <f>ROUND(M31*M$9,2)</f>
        <v>25.39</v>
      </c>
    </row>
    <row r="32" spans="2:14" x14ac:dyDescent="0.2">
      <c r="D32" s="501"/>
      <c r="E32" s="485"/>
      <c r="F32" s="495"/>
      <c r="G32" s="496"/>
      <c r="H32" s="485"/>
      <c r="J32" s="496"/>
      <c r="K32" s="485"/>
      <c r="M32" s="496"/>
      <c r="N32" s="485"/>
    </row>
    <row r="33" spans="2:14" x14ac:dyDescent="0.2">
      <c r="C33" s="464" t="s">
        <v>362</v>
      </c>
      <c r="D33" s="81">
        <v>0.55610999999999999</v>
      </c>
      <c r="E33" s="485"/>
      <c r="F33" s="495"/>
      <c r="G33" s="568">
        <v>0.55332000000000003</v>
      </c>
      <c r="H33" s="485"/>
      <c r="J33" s="498">
        <f>$D$33</f>
        <v>0.55610999999999999</v>
      </c>
      <c r="K33" s="485"/>
      <c r="M33" s="568">
        <v>0.55332000000000003</v>
      </c>
      <c r="N33" s="485"/>
    </row>
    <row r="34" spans="2:14" x14ac:dyDescent="0.2">
      <c r="C34" s="464" t="s">
        <v>361</v>
      </c>
      <c r="D34" s="494">
        <f>'Sch. 106'!$G$10</f>
        <v>-0.20172999999999999</v>
      </c>
      <c r="E34" s="485"/>
      <c r="F34" s="495"/>
      <c r="G34" s="498">
        <f>$D$34</f>
        <v>-0.20172999999999999</v>
      </c>
      <c r="H34" s="485"/>
      <c r="J34" s="502">
        <f>'Sch. 106'!$K$10</f>
        <v>-5.883E-2</v>
      </c>
      <c r="K34" s="485"/>
      <c r="M34" s="502">
        <f>'Sch. 106'!$K$10</f>
        <v>-5.883E-2</v>
      </c>
      <c r="N34" s="485"/>
    </row>
    <row r="35" spans="2:14" x14ac:dyDescent="0.2">
      <c r="C35" s="464" t="s">
        <v>360</v>
      </c>
      <c r="D35" s="499">
        <f>SUM(D33:D34)</f>
        <v>0.35438000000000003</v>
      </c>
      <c r="E35" s="485">
        <f>ROUND(D35*D$9,2)</f>
        <v>22.68</v>
      </c>
      <c r="F35" s="495"/>
      <c r="G35" s="500">
        <f>SUM(G33:G34)</f>
        <v>0.35159000000000007</v>
      </c>
      <c r="H35" s="485">
        <f>ROUND(G35*G$9,2)</f>
        <v>22.5</v>
      </c>
      <c r="J35" s="500">
        <f>SUM(J33:J34)</f>
        <v>0.49728</v>
      </c>
      <c r="K35" s="485">
        <f>ROUND(J35*J$9,2)</f>
        <v>31.83</v>
      </c>
      <c r="M35" s="500">
        <f>SUM(M33:M34)</f>
        <v>0.49449000000000004</v>
      </c>
      <c r="N35" s="485">
        <f>ROUND(M35*M$9,2)</f>
        <v>31.65</v>
      </c>
    </row>
    <row r="36" spans="2:14" x14ac:dyDescent="0.2">
      <c r="C36" s="464" t="s">
        <v>359</v>
      </c>
      <c r="D36" s="499">
        <f>D29+D31+D35</f>
        <v>1.51695</v>
      </c>
      <c r="E36" s="503">
        <f>SUM(E29,E31,E35)</f>
        <v>97.080000000000013</v>
      </c>
      <c r="F36" s="504"/>
      <c r="G36" s="500">
        <f>G29+G31+G35</f>
        <v>1.5141600000000002</v>
      </c>
      <c r="H36" s="503">
        <f>SUM(H29,H31,H35)</f>
        <v>96.9</v>
      </c>
      <c r="J36" s="500">
        <f>J29+J31+J35</f>
        <v>1.65985</v>
      </c>
      <c r="K36" s="503">
        <f>SUM(K29,K31,K35)</f>
        <v>106.23</v>
      </c>
      <c r="M36" s="500">
        <f>M29+M31+M35</f>
        <v>1.6570600000000002</v>
      </c>
      <c r="N36" s="503">
        <f>SUM(N29,N31,N35)</f>
        <v>106.05000000000001</v>
      </c>
    </row>
    <row r="37" spans="2:14" x14ac:dyDescent="0.2">
      <c r="E37" s="485"/>
      <c r="H37" s="485"/>
      <c r="K37" s="485"/>
      <c r="N37" s="485"/>
    </row>
    <row r="38" spans="2:14" x14ac:dyDescent="0.2">
      <c r="B38" s="464" t="s">
        <v>358</v>
      </c>
      <c r="D38" s="476"/>
      <c r="E38" s="485">
        <f>E13+E15+E36</f>
        <v>91.110000000000014</v>
      </c>
      <c r="F38" s="491"/>
      <c r="G38" s="476"/>
      <c r="H38" s="485">
        <f>H13+H15+H36</f>
        <v>90.93</v>
      </c>
      <c r="J38" s="476"/>
      <c r="K38" s="485">
        <f>K13+K15+K36</f>
        <v>100.26</v>
      </c>
      <c r="M38" s="476"/>
      <c r="N38" s="485">
        <f>N13+N15+N36</f>
        <v>100.08000000000001</v>
      </c>
    </row>
    <row r="39" spans="2:14" x14ac:dyDescent="0.2">
      <c r="B39" s="464" t="s">
        <v>357</v>
      </c>
      <c r="D39" s="476"/>
      <c r="E39" s="485"/>
      <c r="F39" s="491"/>
      <c r="G39" s="476"/>
      <c r="H39" s="485">
        <f>H38-$E38</f>
        <v>-0.18000000000000682</v>
      </c>
      <c r="J39" s="476"/>
      <c r="K39" s="485">
        <f>K38-$E38</f>
        <v>9.1499999999999915</v>
      </c>
      <c r="M39" s="476"/>
      <c r="N39" s="485">
        <f>N38-$E38</f>
        <v>8.9699999999999989</v>
      </c>
    </row>
    <row r="40" spans="2:14" x14ac:dyDescent="0.2">
      <c r="B40" s="464" t="s">
        <v>356</v>
      </c>
      <c r="D40" s="505"/>
      <c r="E40" s="505"/>
      <c r="F40" s="506"/>
      <c r="G40" s="505"/>
      <c r="H40" s="465">
        <f>H39/$E38</f>
        <v>-1.9756338491933572E-3</v>
      </c>
      <c r="J40" s="505"/>
      <c r="K40" s="465">
        <f>K39/$E38</f>
        <v>0.10042805400065843</v>
      </c>
      <c r="M40" s="505"/>
      <c r="N40" s="465">
        <f>N39/$E38</f>
        <v>9.8452420151465228E-2</v>
      </c>
    </row>
    <row r="41" spans="2:14" x14ac:dyDescent="0.2">
      <c r="E41" s="485"/>
    </row>
    <row r="42" spans="2:14" x14ac:dyDescent="0.2">
      <c r="B42" s="464" t="s">
        <v>355</v>
      </c>
      <c r="D42" s="496">
        <f>D29+D31</f>
        <v>1.1625700000000001</v>
      </c>
      <c r="E42" s="485"/>
      <c r="F42" s="504"/>
      <c r="G42" s="496">
        <f>G29+G31</f>
        <v>1.1625700000000001</v>
      </c>
      <c r="J42" s="496">
        <f>J29+J31</f>
        <v>1.1625700000000001</v>
      </c>
      <c r="M42" s="496">
        <f>M29+M31</f>
        <v>1.1625700000000001</v>
      </c>
    </row>
    <row r="44" spans="2:14" x14ac:dyDescent="0.2">
      <c r="B44" s="507" t="s">
        <v>419</v>
      </c>
      <c r="D44" s="507"/>
      <c r="E44" s="507"/>
      <c r="F44" s="508"/>
      <c r="G44" s="508"/>
      <c r="H44" s="508"/>
    </row>
    <row r="49" ht="14.25" customHeight="1" x14ac:dyDescent="0.2"/>
  </sheetData>
  <printOptions horizontalCentered="1"/>
  <pageMargins left="0.5" right="0.5" top="1" bottom="1" header="0.5" footer="0.5"/>
  <pageSetup scale="90" orientation="landscape" blackAndWhite="1" r:id="rId1"/>
  <headerFooter alignWithMargins="0">
    <oddFooter>&amp;L&amp;F  
&amp;A&amp;RPage &amp;P of &amp;N</oddFoot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Normal="100" workbookViewId="0">
      <pane ySplit="9" topLeftCell="A10" activePane="bottomLeft" state="frozen"/>
      <selection pane="bottomLeft" activeCell="O27" sqref="O27"/>
    </sheetView>
  </sheetViews>
  <sheetFormatPr defaultColWidth="9.140625" defaultRowHeight="11.25" x14ac:dyDescent="0.2"/>
  <cols>
    <col min="1" max="1" width="23.5703125" style="439" bestFit="1" customWidth="1"/>
    <col min="2" max="2" width="9.28515625" style="439" bestFit="1" customWidth="1"/>
    <col min="3" max="3" width="16.140625" style="439" customWidth="1"/>
    <col min="4" max="4" width="9.140625" style="439" bestFit="1" customWidth="1"/>
    <col min="5" max="5" width="8.7109375" style="439" bestFit="1" customWidth="1"/>
    <col min="6" max="8" width="9.140625" style="439" bestFit="1" customWidth="1"/>
    <col min="9" max="9" width="8.7109375" style="439" bestFit="1" customWidth="1"/>
    <col min="10" max="10" width="8.5703125" style="439" bestFit="1" customWidth="1"/>
    <col min="11" max="11" width="9.140625" style="439" bestFit="1" customWidth="1"/>
    <col min="12" max="12" width="12.140625" style="439" bestFit="1" customWidth="1"/>
    <col min="13" max="13" width="12" style="439" bestFit="1" customWidth="1"/>
    <col min="14" max="14" width="11.5703125" style="439" bestFit="1" customWidth="1"/>
    <col min="15" max="15" width="8.42578125" style="439" bestFit="1" customWidth="1"/>
    <col min="16" max="16384" width="9.140625" style="439"/>
  </cols>
  <sheetData>
    <row r="1" spans="1:15" x14ac:dyDescent="0.2">
      <c r="A1" s="650" t="s">
        <v>1</v>
      </c>
      <c r="B1" s="650"/>
      <c r="C1" s="650"/>
      <c r="D1" s="650"/>
      <c r="E1" s="650"/>
      <c r="F1" s="650"/>
      <c r="G1" s="650"/>
      <c r="H1" s="650"/>
      <c r="I1" s="650"/>
      <c r="J1" s="650"/>
      <c r="K1" s="650"/>
      <c r="L1" s="650"/>
      <c r="M1" s="650"/>
      <c r="N1" s="650"/>
      <c r="O1" s="650"/>
    </row>
    <row r="2" spans="1:15" x14ac:dyDescent="0.2">
      <c r="A2" s="650" t="s">
        <v>398</v>
      </c>
      <c r="B2" s="650"/>
      <c r="C2" s="650"/>
      <c r="D2" s="650"/>
      <c r="E2" s="650"/>
      <c r="F2" s="650"/>
      <c r="G2" s="650"/>
      <c r="H2" s="650"/>
      <c r="I2" s="650"/>
      <c r="J2" s="650"/>
      <c r="K2" s="650"/>
      <c r="L2" s="650"/>
      <c r="M2" s="650"/>
      <c r="N2" s="650"/>
      <c r="O2" s="650"/>
    </row>
    <row r="3" spans="1:15" x14ac:dyDescent="0.2">
      <c r="A3" s="650" t="s">
        <v>397</v>
      </c>
      <c r="B3" s="650"/>
      <c r="C3" s="650"/>
      <c r="D3" s="650"/>
      <c r="E3" s="650"/>
      <c r="F3" s="650"/>
      <c r="G3" s="650"/>
      <c r="H3" s="650"/>
      <c r="I3" s="650"/>
      <c r="J3" s="650"/>
      <c r="K3" s="650"/>
      <c r="L3" s="650"/>
      <c r="M3" s="650"/>
      <c r="N3" s="650"/>
      <c r="O3" s="650"/>
    </row>
    <row r="4" spans="1:15" x14ac:dyDescent="0.2">
      <c r="A4" s="651" t="s">
        <v>260</v>
      </c>
      <c r="B4" s="651"/>
      <c r="C4" s="651"/>
      <c r="D4" s="651"/>
      <c r="E4" s="651"/>
      <c r="F4" s="651"/>
      <c r="G4" s="651"/>
      <c r="H4" s="651"/>
      <c r="I4" s="651"/>
      <c r="J4" s="651"/>
      <c r="K4" s="651"/>
      <c r="L4" s="651"/>
      <c r="M4" s="651"/>
      <c r="N4" s="651"/>
      <c r="O4" s="651"/>
    </row>
    <row r="5" spans="1:15" x14ac:dyDescent="0.2">
      <c r="A5" s="467"/>
      <c r="B5" s="467"/>
      <c r="C5" s="467"/>
      <c r="D5" s="467"/>
      <c r="E5" s="467"/>
      <c r="F5" s="467"/>
      <c r="G5" s="467"/>
      <c r="H5" s="467"/>
      <c r="I5" s="467"/>
      <c r="J5" s="467"/>
      <c r="K5" s="467"/>
      <c r="L5" s="467"/>
      <c r="M5" s="467"/>
      <c r="N5" s="467"/>
      <c r="O5" s="467"/>
    </row>
    <row r="6" spans="1:15" x14ac:dyDescent="0.2">
      <c r="A6" s="441"/>
      <c r="B6" s="441"/>
      <c r="C6" s="441"/>
      <c r="D6" s="652" t="s">
        <v>384</v>
      </c>
      <c r="E6" s="653"/>
      <c r="F6" s="653"/>
      <c r="G6" s="654"/>
      <c r="H6" s="652" t="s">
        <v>323</v>
      </c>
      <c r="I6" s="653"/>
      <c r="J6" s="653"/>
      <c r="K6" s="654"/>
      <c r="L6" s="441"/>
      <c r="M6" s="441"/>
      <c r="N6" s="648"/>
      <c r="O6" s="649"/>
    </row>
    <row r="7" spans="1:15" x14ac:dyDescent="0.2">
      <c r="A7" s="441"/>
      <c r="B7" s="441"/>
      <c r="C7" s="441" t="s">
        <v>352</v>
      </c>
      <c r="D7" s="509" t="s">
        <v>396</v>
      </c>
      <c r="E7" s="510" t="s">
        <v>395</v>
      </c>
      <c r="F7" s="510" t="s">
        <v>394</v>
      </c>
      <c r="G7" s="509" t="s">
        <v>393</v>
      </c>
      <c r="H7" s="509" t="s">
        <v>396</v>
      </c>
      <c r="I7" s="510" t="s">
        <v>395</v>
      </c>
      <c r="J7" s="510" t="s">
        <v>394</v>
      </c>
      <c r="K7" s="511" t="s">
        <v>393</v>
      </c>
      <c r="L7" s="467" t="s">
        <v>352</v>
      </c>
      <c r="M7" s="467" t="s">
        <v>352</v>
      </c>
      <c r="N7" s="441" t="s">
        <v>392</v>
      </c>
    </row>
    <row r="8" spans="1:15" x14ac:dyDescent="0.2">
      <c r="A8" s="441"/>
      <c r="B8" s="441" t="s">
        <v>344</v>
      </c>
      <c r="C8" s="441" t="s">
        <v>391</v>
      </c>
      <c r="D8" s="511" t="s">
        <v>390</v>
      </c>
      <c r="E8" s="510" t="s">
        <v>389</v>
      </c>
      <c r="F8" s="510" t="s">
        <v>389</v>
      </c>
      <c r="G8" s="511" t="s">
        <v>388</v>
      </c>
      <c r="H8" s="511" t="s">
        <v>390</v>
      </c>
      <c r="I8" s="510" t="s">
        <v>389</v>
      </c>
      <c r="J8" s="510" t="s">
        <v>389</v>
      </c>
      <c r="K8" s="511" t="s">
        <v>388</v>
      </c>
      <c r="L8" s="467" t="s">
        <v>324</v>
      </c>
      <c r="M8" s="467" t="s">
        <v>324</v>
      </c>
      <c r="N8" s="441" t="s">
        <v>324</v>
      </c>
      <c r="O8" s="441" t="s">
        <v>90</v>
      </c>
    </row>
    <row r="9" spans="1:15" x14ac:dyDescent="0.2">
      <c r="A9" s="443" t="s">
        <v>327</v>
      </c>
      <c r="B9" s="443" t="s">
        <v>326</v>
      </c>
      <c r="C9" s="512" t="str">
        <f>'Rate Impacts Sch 101_106'!$V$6</f>
        <v>12ME Oct. 2025</v>
      </c>
      <c r="D9" s="513" t="s">
        <v>381</v>
      </c>
      <c r="E9" s="514" t="s">
        <v>381</v>
      </c>
      <c r="F9" s="514" t="s">
        <v>381</v>
      </c>
      <c r="G9" s="513" t="s">
        <v>381</v>
      </c>
      <c r="H9" s="513" t="s">
        <v>381</v>
      </c>
      <c r="I9" s="514" t="s">
        <v>381</v>
      </c>
      <c r="J9" s="513" t="s">
        <v>381</v>
      </c>
      <c r="K9" s="513" t="s">
        <v>381</v>
      </c>
      <c r="L9" s="482" t="s">
        <v>384</v>
      </c>
      <c r="M9" s="482" t="s">
        <v>323</v>
      </c>
      <c r="N9" s="443" t="s">
        <v>322</v>
      </c>
      <c r="O9" s="443" t="s">
        <v>322</v>
      </c>
    </row>
    <row r="10" spans="1:15" x14ac:dyDescent="0.2">
      <c r="A10" s="439" t="s">
        <v>4</v>
      </c>
      <c r="B10" s="440">
        <v>23</v>
      </c>
      <c r="C10" s="447">
        <f>'Therm Forecast'!P8</f>
        <v>563377415</v>
      </c>
      <c r="D10" s="515">
        <v>-0.16732</v>
      </c>
      <c r="E10" s="515">
        <v>0</v>
      </c>
      <c r="F10" s="516">
        <v>-3.4410000000000003E-2</v>
      </c>
      <c r="G10" s="517">
        <f t="shared" ref="G10:G16" si="0">SUM(D10:F10)</f>
        <v>-0.20172999999999999</v>
      </c>
      <c r="H10" s="518">
        <f>'Summary Rates'!C24</f>
        <v>-5.883E-2</v>
      </c>
      <c r="I10" s="519">
        <v>0</v>
      </c>
      <c r="J10" s="518">
        <f>'Summary Rates'!C27</f>
        <v>0</v>
      </c>
      <c r="K10" s="520">
        <f t="shared" ref="K10:K16" si="1">SUM(H10:J10)</f>
        <v>-5.883E-2</v>
      </c>
      <c r="L10" s="451">
        <f t="shared" ref="L10:L16" si="2">ROUND(C10*G10,2)</f>
        <v>-113650125.93000001</v>
      </c>
      <c r="M10" s="451">
        <f t="shared" ref="M10:M16" si="3">ROUND(C10*K10,2)</f>
        <v>-33143493.32</v>
      </c>
      <c r="N10" s="450">
        <f t="shared" ref="N10:N16" si="4">M10-L10</f>
        <v>80506632.610000014</v>
      </c>
      <c r="O10" s="521">
        <f t="shared" ref="O10:O17" si="5">N10/L10</f>
        <v>-0.70837257725157377</v>
      </c>
    </row>
    <row r="11" spans="1:15" x14ac:dyDescent="0.2">
      <c r="A11" s="439" t="s">
        <v>299</v>
      </c>
      <c r="B11" s="440">
        <v>16</v>
      </c>
      <c r="C11" s="447">
        <f>'Therm Forecast'!P9</f>
        <v>6156</v>
      </c>
      <c r="D11" s="522">
        <v>-0.16732</v>
      </c>
      <c r="E11" s="522">
        <v>0</v>
      </c>
      <c r="F11" s="516">
        <v>-3.4410000000000003E-2</v>
      </c>
      <c r="G11" s="517">
        <f t="shared" si="0"/>
        <v>-0.20172999999999999</v>
      </c>
      <c r="H11" s="523">
        <f>'Summary Rates'!D24</f>
        <v>-5.883E-2</v>
      </c>
      <c r="I11" s="516">
        <v>0</v>
      </c>
      <c r="J11" s="523">
        <f>'Summary Rates'!D27</f>
        <v>0</v>
      </c>
      <c r="K11" s="517">
        <f t="shared" si="1"/>
        <v>-5.883E-2</v>
      </c>
      <c r="L11" s="451">
        <f t="shared" si="2"/>
        <v>-1241.8499999999999</v>
      </c>
      <c r="M11" s="451">
        <f t="shared" si="3"/>
        <v>-362.16</v>
      </c>
      <c r="N11" s="450">
        <f t="shared" si="4"/>
        <v>879.68999999999983</v>
      </c>
      <c r="O11" s="521">
        <f t="shared" si="5"/>
        <v>-0.70837057615654053</v>
      </c>
    </row>
    <row r="12" spans="1:15" x14ac:dyDescent="0.2">
      <c r="A12" s="439" t="s">
        <v>298</v>
      </c>
      <c r="B12" s="440">
        <v>31</v>
      </c>
      <c r="C12" s="447">
        <f>'Therm Forecast'!P10</f>
        <v>230116288</v>
      </c>
      <c r="D12" s="522">
        <v>-0.16730999999999999</v>
      </c>
      <c r="E12" s="522">
        <v>0</v>
      </c>
      <c r="F12" s="516">
        <v>-3.2890000000000003E-2</v>
      </c>
      <c r="G12" s="517">
        <f t="shared" si="0"/>
        <v>-0.20019999999999999</v>
      </c>
      <c r="H12" s="523">
        <f>'Summary Rates'!E24</f>
        <v>-5.8819999999999997E-2</v>
      </c>
      <c r="I12" s="516">
        <v>0</v>
      </c>
      <c r="J12" s="523">
        <f>'Summary Rates'!E27</f>
        <v>0</v>
      </c>
      <c r="K12" s="517">
        <f t="shared" si="1"/>
        <v>-5.8819999999999997E-2</v>
      </c>
      <c r="L12" s="451">
        <f t="shared" si="2"/>
        <v>-46069280.859999999</v>
      </c>
      <c r="M12" s="451">
        <f t="shared" si="3"/>
        <v>-13535440.060000001</v>
      </c>
      <c r="N12" s="450">
        <f t="shared" si="4"/>
        <v>32533840.799999997</v>
      </c>
      <c r="O12" s="521">
        <f t="shared" si="5"/>
        <v>-0.7061938062125851</v>
      </c>
    </row>
    <row r="13" spans="1:15" x14ac:dyDescent="0.2">
      <c r="A13" s="439" t="s">
        <v>297</v>
      </c>
      <c r="B13" s="440">
        <v>41</v>
      </c>
      <c r="C13" s="447">
        <f>'Therm Forecast'!P11</f>
        <v>63059025</v>
      </c>
      <c r="D13" s="522">
        <v>-0.1673</v>
      </c>
      <c r="E13" s="522">
        <v>0</v>
      </c>
      <c r="F13" s="516">
        <v>-2.8920000000000001E-2</v>
      </c>
      <c r="G13" s="517">
        <f t="shared" si="0"/>
        <v>-0.19622000000000001</v>
      </c>
      <c r="H13" s="523">
        <f>'Summary Rates'!F24</f>
        <v>-5.8779999999999999E-2</v>
      </c>
      <c r="I13" s="516">
        <v>0</v>
      </c>
      <c r="J13" s="523">
        <f>'Summary Rates'!F27</f>
        <v>0</v>
      </c>
      <c r="K13" s="517">
        <f t="shared" si="1"/>
        <v>-5.8779999999999999E-2</v>
      </c>
      <c r="L13" s="451">
        <f t="shared" si="2"/>
        <v>-12373441.890000001</v>
      </c>
      <c r="M13" s="451">
        <f t="shared" si="3"/>
        <v>-3706609.49</v>
      </c>
      <c r="N13" s="450">
        <f t="shared" si="4"/>
        <v>8666832.4000000004</v>
      </c>
      <c r="O13" s="521">
        <f t="shared" si="5"/>
        <v>-0.70043828362780636</v>
      </c>
    </row>
    <row r="14" spans="1:15" x14ac:dyDescent="0.2">
      <c r="A14" s="439" t="s">
        <v>6</v>
      </c>
      <c r="B14" s="440">
        <v>85</v>
      </c>
      <c r="C14" s="447">
        <f>'Therm Forecast'!P12</f>
        <v>17533752</v>
      </c>
      <c r="D14" s="522">
        <v>-0.16728999999999999</v>
      </c>
      <c r="E14" s="522">
        <v>0</v>
      </c>
      <c r="F14" s="516">
        <v>-2.0979999999999999E-2</v>
      </c>
      <c r="G14" s="517">
        <f t="shared" si="0"/>
        <v>-0.18826999999999999</v>
      </c>
      <c r="H14" s="523">
        <f>'Summary Rates'!G24</f>
        <v>-5.8689999999999999E-2</v>
      </c>
      <c r="I14" s="516">
        <v>0</v>
      </c>
      <c r="J14" s="523">
        <f>'Summary Rates'!G27</f>
        <v>0</v>
      </c>
      <c r="K14" s="517">
        <f t="shared" si="1"/>
        <v>-5.8689999999999999E-2</v>
      </c>
      <c r="L14" s="451">
        <f t="shared" si="2"/>
        <v>-3301079.49</v>
      </c>
      <c r="M14" s="451">
        <f t="shared" si="3"/>
        <v>-1029055.9</v>
      </c>
      <c r="N14" s="450">
        <f t="shared" si="4"/>
        <v>2272023.5900000003</v>
      </c>
      <c r="O14" s="521">
        <f t="shared" si="5"/>
        <v>-0.68826685236834462</v>
      </c>
    </row>
    <row r="15" spans="1:15" x14ac:dyDescent="0.2">
      <c r="A15" s="439" t="s">
        <v>296</v>
      </c>
      <c r="B15" s="440">
        <v>86</v>
      </c>
      <c r="C15" s="447">
        <f>'Therm Forecast'!P13</f>
        <v>5007638</v>
      </c>
      <c r="D15" s="522">
        <v>-0.16728999999999999</v>
      </c>
      <c r="E15" s="522">
        <v>0</v>
      </c>
      <c r="F15" s="516">
        <v>-2.273E-2</v>
      </c>
      <c r="G15" s="517">
        <f t="shared" si="0"/>
        <v>-0.19001999999999999</v>
      </c>
      <c r="H15" s="523">
        <f>'Summary Rates'!H24</f>
        <v>-5.8709999999999998E-2</v>
      </c>
      <c r="I15" s="516">
        <v>0</v>
      </c>
      <c r="J15" s="523">
        <f>'Summary Rates'!H27</f>
        <v>0</v>
      </c>
      <c r="K15" s="517">
        <f t="shared" si="1"/>
        <v>-5.8709999999999998E-2</v>
      </c>
      <c r="L15" s="451">
        <f t="shared" si="2"/>
        <v>-951551.37</v>
      </c>
      <c r="M15" s="451">
        <f t="shared" si="3"/>
        <v>-293998.43</v>
      </c>
      <c r="N15" s="450">
        <f t="shared" si="4"/>
        <v>657552.93999999994</v>
      </c>
      <c r="O15" s="521">
        <f t="shared" si="5"/>
        <v>-0.69103251882239414</v>
      </c>
    </row>
    <row r="16" spans="1:15" x14ac:dyDescent="0.2">
      <c r="A16" s="439" t="s">
        <v>295</v>
      </c>
      <c r="B16" s="440">
        <v>87</v>
      </c>
      <c r="C16" s="447">
        <f>'Therm Forecast'!P14</f>
        <v>18486702</v>
      </c>
      <c r="D16" s="524">
        <v>-0.16728999999999999</v>
      </c>
      <c r="E16" s="524">
        <v>0</v>
      </c>
      <c r="F16" s="516">
        <v>-1.9619999999999999E-2</v>
      </c>
      <c r="G16" s="525">
        <f t="shared" si="0"/>
        <v>-0.18690999999999999</v>
      </c>
      <c r="H16" s="526">
        <f>'Summary Rates'!I24</f>
        <v>-5.8680000000000003E-2</v>
      </c>
      <c r="I16" s="527">
        <v>0</v>
      </c>
      <c r="J16" s="523">
        <f>'Summary Rates'!I27</f>
        <v>0</v>
      </c>
      <c r="K16" s="525">
        <f t="shared" si="1"/>
        <v>-5.8680000000000003E-2</v>
      </c>
      <c r="L16" s="451">
        <f t="shared" si="2"/>
        <v>-3455349.47</v>
      </c>
      <c r="M16" s="451">
        <f t="shared" si="3"/>
        <v>-1084799.67</v>
      </c>
      <c r="N16" s="450">
        <f t="shared" si="4"/>
        <v>2370549.8000000003</v>
      </c>
      <c r="O16" s="521">
        <f t="shared" si="5"/>
        <v>-0.6860521115393865</v>
      </c>
    </row>
    <row r="17" spans="1:15" x14ac:dyDescent="0.2">
      <c r="A17" s="439" t="s">
        <v>10</v>
      </c>
      <c r="C17" s="455">
        <f>SUM(C10:C16)</f>
        <v>897586976</v>
      </c>
      <c r="D17" s="449"/>
      <c r="E17" s="449"/>
      <c r="F17" s="474"/>
      <c r="G17" s="449"/>
      <c r="H17" s="449"/>
      <c r="I17" s="449"/>
      <c r="J17" s="474"/>
      <c r="K17" s="449"/>
      <c r="L17" s="457">
        <f>SUM(L10:L16)</f>
        <v>-179802070.85999998</v>
      </c>
      <c r="M17" s="457">
        <f>SUM(M10:M16)</f>
        <v>-52793759.030000001</v>
      </c>
      <c r="N17" s="456">
        <f>SUM(N10:N16)</f>
        <v>127008311.83000001</v>
      </c>
      <c r="O17" s="528">
        <f t="shared" si="5"/>
        <v>-0.70637847062892289</v>
      </c>
    </row>
  </sheetData>
  <mergeCells count="7">
    <mergeCell ref="N6:O6"/>
    <mergeCell ref="A1:O1"/>
    <mergeCell ref="A3:O3"/>
    <mergeCell ref="A4:O4"/>
    <mergeCell ref="D6:G6"/>
    <mergeCell ref="H6:K6"/>
    <mergeCell ref="A2:O2"/>
  </mergeCells>
  <pageMargins left="0.7" right="0.7" top="0.75" bottom="0.75" header="0.3" footer="0.3"/>
  <pageSetup scale="74" orientation="landscape" blackAndWhite="1" r:id="rId1"/>
  <headerFooter>
    <oddFooter>&amp;L&amp;F
&amp;A&amp;RPage &amp;P of &amp;N</oddFoot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Normal="100" workbookViewId="0">
      <selection activeCell="H40" sqref="H40"/>
    </sheetView>
  </sheetViews>
  <sheetFormatPr defaultRowHeight="11.25" x14ac:dyDescent="0.2"/>
  <cols>
    <col min="1" max="1" width="4.7109375" style="439" bestFit="1" customWidth="1"/>
    <col min="2" max="2" width="37.85546875" style="439" customWidth="1"/>
    <col min="3" max="3" width="9.140625" style="439" bestFit="1" customWidth="1"/>
    <col min="4" max="5" width="16.28515625" style="439" bestFit="1" customWidth="1"/>
    <col min="6" max="6" width="10.5703125" style="439" bestFit="1" customWidth="1"/>
    <col min="7" max="7" width="2.5703125" style="439" customWidth="1"/>
    <col min="8" max="9" width="16.28515625" style="439" bestFit="1" customWidth="1"/>
    <col min="10" max="10" width="10.5703125" style="439" customWidth="1"/>
    <col min="11" max="11" width="2.5703125" style="439" customWidth="1"/>
    <col min="12" max="12" width="9.42578125" style="439" customWidth="1"/>
    <col min="13" max="14" width="9.140625" style="439" customWidth="1"/>
    <col min="15" max="16384" width="9.140625" style="439"/>
  </cols>
  <sheetData>
    <row r="1" spans="1:14" x14ac:dyDescent="0.2">
      <c r="A1" s="437" t="s">
        <v>1</v>
      </c>
      <c r="B1" s="437"/>
      <c r="C1" s="437"/>
      <c r="D1" s="437"/>
      <c r="E1" s="437"/>
      <c r="F1" s="437"/>
      <c r="G1" s="437"/>
      <c r="H1" s="437"/>
      <c r="I1" s="437"/>
      <c r="J1" s="437"/>
      <c r="K1" s="437"/>
      <c r="L1" s="437"/>
    </row>
    <row r="2" spans="1:14" x14ac:dyDescent="0.2">
      <c r="A2" s="437" t="s">
        <v>354</v>
      </c>
      <c r="B2" s="437"/>
      <c r="C2" s="437"/>
      <c r="D2" s="437"/>
      <c r="E2" s="437"/>
      <c r="F2" s="437"/>
      <c r="G2" s="437"/>
      <c r="H2" s="437"/>
      <c r="I2" s="437"/>
      <c r="J2" s="437"/>
      <c r="K2" s="437"/>
      <c r="L2" s="437"/>
    </row>
    <row r="3" spans="1:14" x14ac:dyDescent="0.2">
      <c r="A3" s="438" t="s">
        <v>422</v>
      </c>
      <c r="B3" s="438"/>
      <c r="C3" s="438"/>
      <c r="D3" s="438"/>
      <c r="E3" s="438"/>
      <c r="F3" s="438"/>
      <c r="G3" s="438"/>
      <c r="H3" s="438"/>
      <c r="I3" s="438"/>
      <c r="J3" s="438"/>
      <c r="K3" s="438"/>
      <c r="L3" s="438"/>
    </row>
    <row r="4" spans="1:14" x14ac:dyDescent="0.2">
      <c r="A4" s="438" t="s">
        <v>260</v>
      </c>
      <c r="B4" s="438"/>
      <c r="C4" s="438"/>
      <c r="D4" s="438"/>
      <c r="E4" s="438"/>
      <c r="F4" s="438"/>
      <c r="G4" s="438"/>
      <c r="H4" s="438"/>
      <c r="I4" s="438"/>
      <c r="J4" s="438"/>
      <c r="K4" s="438"/>
      <c r="L4" s="438"/>
    </row>
    <row r="5" spans="1:14" x14ac:dyDescent="0.2">
      <c r="B5" s="440"/>
      <c r="C5" s="440"/>
      <c r="D5" s="440"/>
      <c r="E5" s="440"/>
      <c r="F5" s="440"/>
      <c r="G5" s="440"/>
      <c r="H5" s="440"/>
      <c r="I5" s="440"/>
      <c r="J5" s="440"/>
      <c r="K5" s="440"/>
      <c r="L5" s="440"/>
    </row>
    <row r="6" spans="1:14" x14ac:dyDescent="0.2">
      <c r="D6" s="655" t="s">
        <v>431</v>
      </c>
      <c r="E6" s="655"/>
      <c r="F6" s="655"/>
      <c r="G6" s="440"/>
      <c r="H6" s="655" t="s">
        <v>323</v>
      </c>
      <c r="I6" s="655"/>
      <c r="J6" s="655"/>
    </row>
    <row r="7" spans="1:14" x14ac:dyDescent="0.2">
      <c r="B7" s="441"/>
      <c r="C7" s="441"/>
      <c r="D7" s="441" t="s">
        <v>352</v>
      </c>
      <c r="E7" s="441" t="s">
        <v>352</v>
      </c>
      <c r="F7" s="441"/>
      <c r="G7" s="441"/>
      <c r="H7" s="441" t="s">
        <v>352</v>
      </c>
      <c r="I7" s="441" t="s">
        <v>352</v>
      </c>
      <c r="J7" s="441"/>
      <c r="K7" s="441"/>
      <c r="L7" s="441"/>
    </row>
    <row r="8" spans="1:14" x14ac:dyDescent="0.2">
      <c r="A8" s="439" t="s">
        <v>3</v>
      </c>
      <c r="B8" s="441"/>
      <c r="C8" s="441" t="s">
        <v>344</v>
      </c>
      <c r="D8" s="441" t="s">
        <v>391</v>
      </c>
      <c r="E8" s="441" t="s">
        <v>324</v>
      </c>
      <c r="F8" s="441" t="s">
        <v>423</v>
      </c>
      <c r="G8" s="441"/>
      <c r="H8" s="441" t="s">
        <v>391</v>
      </c>
      <c r="I8" s="441" t="s">
        <v>324</v>
      </c>
      <c r="J8" s="441" t="s">
        <v>423</v>
      </c>
      <c r="K8" s="441"/>
      <c r="L8" s="441" t="s">
        <v>10</v>
      </c>
    </row>
    <row r="9" spans="1:14" x14ac:dyDescent="0.2">
      <c r="A9" s="439" t="s">
        <v>7</v>
      </c>
      <c r="B9" s="441" t="s">
        <v>327</v>
      </c>
      <c r="C9" s="441" t="s">
        <v>326</v>
      </c>
      <c r="D9" s="134" t="s">
        <v>424</v>
      </c>
      <c r="E9" s="593" t="str">
        <f>D9</f>
        <v>Nov. 2024 - Oct. 2025</v>
      </c>
      <c r="F9" s="441" t="s">
        <v>425</v>
      </c>
      <c r="G9" s="441"/>
      <c r="H9" s="593" t="str">
        <f>D9</f>
        <v>Nov. 2024 - Oct. 2025</v>
      </c>
      <c r="I9" s="593" t="str">
        <f>D9</f>
        <v>Nov. 2024 - Oct. 2025</v>
      </c>
      <c r="J9" s="441" t="s">
        <v>425</v>
      </c>
      <c r="K9" s="441"/>
      <c r="L9" s="441" t="s">
        <v>426</v>
      </c>
      <c r="N9" s="594" t="s">
        <v>269</v>
      </c>
    </row>
    <row r="10" spans="1:14" x14ac:dyDescent="0.2">
      <c r="A10" s="595"/>
      <c r="B10" s="596" t="s">
        <v>91</v>
      </c>
      <c r="C10" s="596" t="s">
        <v>92</v>
      </c>
      <c r="D10" s="596" t="s">
        <v>93</v>
      </c>
      <c r="E10" s="596" t="s">
        <v>94</v>
      </c>
      <c r="F10" s="597" t="s">
        <v>427</v>
      </c>
      <c r="G10" s="596"/>
      <c r="H10" s="596" t="s">
        <v>98</v>
      </c>
      <c r="I10" s="596" t="s">
        <v>191</v>
      </c>
      <c r="J10" s="597" t="s">
        <v>428</v>
      </c>
      <c r="K10" s="597"/>
      <c r="L10" s="598" t="s">
        <v>429</v>
      </c>
    </row>
    <row r="11" spans="1:14" x14ac:dyDescent="0.2">
      <c r="A11" s="440">
        <v>1</v>
      </c>
      <c r="B11" s="439" t="s">
        <v>4</v>
      </c>
      <c r="C11" s="440" t="s">
        <v>300</v>
      </c>
      <c r="D11" s="599">
        <v>563377415</v>
      </c>
      <c r="E11" s="600">
        <v>776495298.10756028</v>
      </c>
      <c r="F11" s="449">
        <f>E11/D11</f>
        <v>1.3782861673777964</v>
      </c>
      <c r="G11" s="449"/>
      <c r="H11" s="601">
        <f>D11</f>
        <v>563377415</v>
      </c>
      <c r="I11" s="600">
        <v>855430107.72756028</v>
      </c>
      <c r="J11" s="449">
        <f>I11/H11</f>
        <v>1.5183961673855177</v>
      </c>
      <c r="K11" s="602"/>
      <c r="L11" s="452">
        <f>(I11-E11)/E11</f>
        <v>0.10165523192783833</v>
      </c>
      <c r="N11" s="603">
        <v>0</v>
      </c>
    </row>
    <row r="12" spans="1:14" x14ac:dyDescent="0.2">
      <c r="A12" s="440">
        <f>A11+1</f>
        <v>2</v>
      </c>
      <c r="B12" s="439" t="s">
        <v>299</v>
      </c>
      <c r="C12" s="440">
        <v>16</v>
      </c>
      <c r="D12" s="599">
        <v>6156</v>
      </c>
      <c r="E12" s="600">
        <v>7873.3118504735558</v>
      </c>
      <c r="F12" s="449">
        <f t="shared" ref="F12:F24" si="0">E12/D12</f>
        <v>1.2789655377637354</v>
      </c>
      <c r="G12" s="449"/>
      <c r="H12" s="601">
        <f t="shared" ref="H12:H24" si="1">D12</f>
        <v>6156</v>
      </c>
      <c r="I12" s="600">
        <v>8735.8318504735562</v>
      </c>
      <c r="J12" s="449">
        <f t="shared" ref="J12:J24" si="2">I12/H12</f>
        <v>1.419075999102267</v>
      </c>
      <c r="K12" s="602"/>
      <c r="L12" s="452">
        <f t="shared" ref="L12:L24" si="3">(I12-E12)/E12</f>
        <v>0.10954983320622852</v>
      </c>
      <c r="N12" s="603">
        <v>0</v>
      </c>
    </row>
    <row r="13" spans="1:14" x14ac:dyDescent="0.2">
      <c r="A13" s="440">
        <f t="shared" ref="A13:A36" si="4">A12+1</f>
        <v>3</v>
      </c>
      <c r="B13" s="439" t="s">
        <v>298</v>
      </c>
      <c r="C13" s="440">
        <v>31</v>
      </c>
      <c r="D13" s="599">
        <v>230116288</v>
      </c>
      <c r="E13" s="600">
        <v>283278666.72472996</v>
      </c>
      <c r="F13" s="449">
        <f t="shared" si="0"/>
        <v>1.2310239713441318</v>
      </c>
      <c r="G13" s="449"/>
      <c r="H13" s="601">
        <f t="shared" si="1"/>
        <v>230116288</v>
      </c>
      <c r="I13" s="600">
        <v>315195795.87472993</v>
      </c>
      <c r="J13" s="449">
        <f t="shared" si="2"/>
        <v>1.3697239713632523</v>
      </c>
      <c r="K13" s="602"/>
      <c r="L13" s="452">
        <f t="shared" si="3"/>
        <v>0.11267042985984811</v>
      </c>
      <c r="N13" s="603">
        <v>0</v>
      </c>
    </row>
    <row r="14" spans="1:14" x14ac:dyDescent="0.2">
      <c r="A14" s="440">
        <f t="shared" si="4"/>
        <v>4</v>
      </c>
      <c r="B14" s="439" t="s">
        <v>297</v>
      </c>
      <c r="C14" s="440">
        <v>41</v>
      </c>
      <c r="D14" s="599">
        <v>63059025</v>
      </c>
      <c r="E14" s="600">
        <v>53191736.838337049</v>
      </c>
      <c r="F14" s="449">
        <f t="shared" si="0"/>
        <v>0.84352298244917434</v>
      </c>
      <c r="G14" s="449"/>
      <c r="H14" s="601">
        <f t="shared" si="1"/>
        <v>63059025</v>
      </c>
      <c r="I14" s="600">
        <v>61513636.36833705</v>
      </c>
      <c r="J14" s="449">
        <f t="shared" si="2"/>
        <v>0.97549298246106797</v>
      </c>
      <c r="K14" s="602"/>
      <c r="L14" s="452">
        <f t="shared" si="3"/>
        <v>0.15645098326629808</v>
      </c>
      <c r="N14" s="603">
        <v>0</v>
      </c>
    </row>
    <row r="15" spans="1:14" x14ac:dyDescent="0.2">
      <c r="A15" s="440">
        <f t="shared" si="4"/>
        <v>5</v>
      </c>
      <c r="B15" s="439" t="s">
        <v>6</v>
      </c>
      <c r="C15" s="440">
        <v>85</v>
      </c>
      <c r="D15" s="599">
        <v>17533752</v>
      </c>
      <c r="E15" s="600">
        <v>10941269.048114762</v>
      </c>
      <c r="F15" s="449">
        <f t="shared" si="0"/>
        <v>0.62401185143457949</v>
      </c>
      <c r="G15" s="449"/>
      <c r="H15" s="601">
        <f t="shared" si="1"/>
        <v>17533752</v>
      </c>
      <c r="I15" s="600">
        <v>13173491.018114761</v>
      </c>
      <c r="J15" s="449">
        <f t="shared" si="2"/>
        <v>0.75132185159883413</v>
      </c>
      <c r="K15" s="602"/>
      <c r="L15" s="452">
        <f t="shared" si="3"/>
        <v>0.20401856130067678</v>
      </c>
      <c r="N15" s="603">
        <v>0</v>
      </c>
    </row>
    <row r="16" spans="1:14" x14ac:dyDescent="0.2">
      <c r="A16" s="440">
        <f t="shared" si="4"/>
        <v>6</v>
      </c>
      <c r="B16" s="439" t="s">
        <v>296</v>
      </c>
      <c r="C16" s="440">
        <v>86</v>
      </c>
      <c r="D16" s="599">
        <v>5007638</v>
      </c>
      <c r="E16" s="600">
        <v>3667932.4469195115</v>
      </c>
      <c r="F16" s="449">
        <f t="shared" si="0"/>
        <v>0.73246757192103573</v>
      </c>
      <c r="G16" s="449"/>
      <c r="H16" s="601">
        <f t="shared" si="1"/>
        <v>5007638</v>
      </c>
      <c r="I16" s="600">
        <v>4318725.076919511</v>
      </c>
      <c r="J16" s="449">
        <f>I16/H16</f>
        <v>0.86242757102640222</v>
      </c>
      <c r="K16" s="602"/>
      <c r="L16" s="452">
        <f t="shared" si="3"/>
        <v>0.17742764879613943</v>
      </c>
      <c r="N16" s="603">
        <v>0</v>
      </c>
    </row>
    <row r="17" spans="1:14" x14ac:dyDescent="0.2">
      <c r="A17" s="440">
        <f t="shared" si="4"/>
        <v>7</v>
      </c>
      <c r="B17" s="439" t="s">
        <v>295</v>
      </c>
      <c r="C17" s="440">
        <v>87</v>
      </c>
      <c r="D17" s="599">
        <v>18486702</v>
      </c>
      <c r="E17" s="600">
        <v>8318093.6884864513</v>
      </c>
      <c r="F17" s="449">
        <f t="shared" si="0"/>
        <v>0.44995011487102737</v>
      </c>
      <c r="G17" s="449"/>
      <c r="H17" s="601">
        <f t="shared" si="1"/>
        <v>18486702</v>
      </c>
      <c r="I17" s="600">
        <v>10656661.498486452</v>
      </c>
      <c r="J17" s="449">
        <f t="shared" si="2"/>
        <v>0.57645011524967793</v>
      </c>
      <c r="K17" s="602"/>
      <c r="L17" s="452">
        <f t="shared" si="3"/>
        <v>0.28114227821657573</v>
      </c>
      <c r="N17" s="603">
        <v>0</v>
      </c>
    </row>
    <row r="18" spans="1:14" x14ac:dyDescent="0.2">
      <c r="A18" s="440">
        <f t="shared" si="4"/>
        <v>8</v>
      </c>
      <c r="B18" s="439" t="s">
        <v>294</v>
      </c>
      <c r="C18" s="440" t="s">
        <v>293</v>
      </c>
      <c r="D18" s="599">
        <v>0</v>
      </c>
      <c r="E18" s="600">
        <v>0</v>
      </c>
      <c r="F18" s="449">
        <f>F13</f>
        <v>1.2310239713441318</v>
      </c>
      <c r="G18" s="449"/>
      <c r="H18" s="601">
        <f t="shared" si="1"/>
        <v>0</v>
      </c>
      <c r="I18" s="600">
        <v>0</v>
      </c>
      <c r="J18" s="449">
        <f>F18</f>
        <v>1.2310239713441318</v>
      </c>
      <c r="K18" s="602"/>
      <c r="L18" s="452">
        <f>(J18-F18)/F18</f>
        <v>0</v>
      </c>
      <c r="N18" s="603">
        <v>0</v>
      </c>
    </row>
    <row r="19" spans="1:14" x14ac:dyDescent="0.2">
      <c r="A19" s="440">
        <f t="shared" si="4"/>
        <v>9</v>
      </c>
      <c r="B19" s="439" t="s">
        <v>292</v>
      </c>
      <c r="C19" s="440" t="s">
        <v>291</v>
      </c>
      <c r="D19" s="599">
        <v>21124071</v>
      </c>
      <c r="E19" s="600">
        <v>8290100.0639076885</v>
      </c>
      <c r="F19" s="449">
        <f t="shared" si="0"/>
        <v>0.39244803068062439</v>
      </c>
      <c r="G19" s="449"/>
      <c r="H19" s="601">
        <f t="shared" si="1"/>
        <v>21124071</v>
      </c>
      <c r="I19" s="600">
        <v>8290100.0639076885</v>
      </c>
      <c r="J19" s="449">
        <f t="shared" si="2"/>
        <v>0.39244803068062439</v>
      </c>
      <c r="K19" s="602"/>
      <c r="L19" s="452">
        <f t="shared" si="3"/>
        <v>0</v>
      </c>
      <c r="N19" s="603">
        <v>0</v>
      </c>
    </row>
    <row r="20" spans="1:14" x14ac:dyDescent="0.2">
      <c r="A20" s="440">
        <f t="shared" si="4"/>
        <v>10</v>
      </c>
      <c r="B20" s="439" t="s">
        <v>290</v>
      </c>
      <c r="C20" s="440" t="s">
        <v>289</v>
      </c>
      <c r="D20" s="599">
        <v>55422592</v>
      </c>
      <c r="E20" s="600">
        <v>13959607.715576665</v>
      </c>
      <c r="F20" s="449">
        <f t="shared" si="0"/>
        <v>0.25187576422944391</v>
      </c>
      <c r="G20" s="449"/>
      <c r="H20" s="601">
        <f t="shared" si="1"/>
        <v>55422592</v>
      </c>
      <c r="I20" s="600">
        <v>13959607.715576665</v>
      </c>
      <c r="J20" s="449">
        <f t="shared" si="2"/>
        <v>0.25187576422944391</v>
      </c>
      <c r="K20" s="602"/>
      <c r="L20" s="452">
        <f t="shared" si="3"/>
        <v>0</v>
      </c>
      <c r="N20" s="603">
        <v>0</v>
      </c>
    </row>
    <row r="21" spans="1:14" x14ac:dyDescent="0.2">
      <c r="A21" s="440">
        <f t="shared" si="4"/>
        <v>11</v>
      </c>
      <c r="B21" s="439" t="s">
        <v>288</v>
      </c>
      <c r="C21" s="440" t="s">
        <v>287</v>
      </c>
      <c r="D21" s="599">
        <v>1365732</v>
      </c>
      <c r="E21" s="600">
        <v>465897.34232752275</v>
      </c>
      <c r="F21" s="449">
        <f t="shared" si="0"/>
        <v>0.34113379662153537</v>
      </c>
      <c r="G21" s="449"/>
      <c r="H21" s="601">
        <f t="shared" si="1"/>
        <v>1365732</v>
      </c>
      <c r="I21" s="600">
        <v>465897.34232752275</v>
      </c>
      <c r="J21" s="449">
        <f t="shared" si="2"/>
        <v>0.34113379662153537</v>
      </c>
      <c r="K21" s="602"/>
      <c r="L21" s="452">
        <f t="shared" si="3"/>
        <v>0</v>
      </c>
      <c r="N21" s="603">
        <v>0</v>
      </c>
    </row>
    <row r="22" spans="1:14" x14ac:dyDescent="0.2">
      <c r="A22" s="440">
        <f t="shared" si="4"/>
        <v>12</v>
      </c>
      <c r="B22" s="439" t="s">
        <v>286</v>
      </c>
      <c r="C22" s="440" t="s">
        <v>285</v>
      </c>
      <c r="D22" s="599">
        <v>73729827</v>
      </c>
      <c r="E22" s="600">
        <v>5304194.9229425192</v>
      </c>
      <c r="F22" s="449">
        <f t="shared" si="0"/>
        <v>7.1940965261487994E-2</v>
      </c>
      <c r="G22" s="449"/>
      <c r="H22" s="601">
        <f t="shared" si="1"/>
        <v>73729827</v>
      </c>
      <c r="I22" s="600">
        <v>5304194.9229425192</v>
      </c>
      <c r="J22" s="449">
        <f t="shared" si="2"/>
        <v>7.1940965261487994E-2</v>
      </c>
      <c r="K22" s="602"/>
      <c r="L22" s="452">
        <f t="shared" si="3"/>
        <v>0</v>
      </c>
      <c r="N22" s="603">
        <v>0</v>
      </c>
    </row>
    <row r="23" spans="1:14" x14ac:dyDescent="0.2">
      <c r="A23" s="440">
        <f t="shared" si="4"/>
        <v>13</v>
      </c>
      <c r="B23" s="439" t="s">
        <v>284</v>
      </c>
      <c r="C23" s="440" t="s">
        <v>271</v>
      </c>
      <c r="D23" s="599">
        <v>33595800</v>
      </c>
      <c r="E23" s="600">
        <v>4677561.8962804954</v>
      </c>
      <c r="F23" s="449">
        <f t="shared" si="0"/>
        <v>0.13923055549445154</v>
      </c>
      <c r="G23" s="449"/>
      <c r="H23" s="601">
        <f t="shared" si="1"/>
        <v>33595800</v>
      </c>
      <c r="I23" s="600">
        <v>4677561.8962804954</v>
      </c>
      <c r="J23" s="449">
        <f t="shared" si="2"/>
        <v>0.13923055549445154</v>
      </c>
      <c r="K23" s="602"/>
      <c r="L23" s="452">
        <f t="shared" si="3"/>
        <v>0</v>
      </c>
      <c r="N23" s="603">
        <v>0</v>
      </c>
    </row>
    <row r="24" spans="1:14" x14ac:dyDescent="0.2">
      <c r="A24" s="440">
        <f t="shared" si="4"/>
        <v>14</v>
      </c>
      <c r="B24" s="439" t="s">
        <v>270</v>
      </c>
      <c r="C24" s="440"/>
      <c r="D24" s="599">
        <v>33552816</v>
      </c>
      <c r="E24" s="600">
        <v>3202078.9903146061</v>
      </c>
      <c r="F24" s="449">
        <f t="shared" si="0"/>
        <v>9.5433986533786194E-2</v>
      </c>
      <c r="G24" s="604"/>
      <c r="H24" s="601">
        <f t="shared" si="1"/>
        <v>33552816</v>
      </c>
      <c r="I24" s="600">
        <v>3202078.9903146061</v>
      </c>
      <c r="J24" s="449">
        <f t="shared" si="2"/>
        <v>9.5433986533786194E-2</v>
      </c>
      <c r="K24" s="602"/>
      <c r="L24" s="452">
        <f t="shared" si="3"/>
        <v>0</v>
      </c>
      <c r="M24" s="347"/>
      <c r="N24" s="603">
        <v>0</v>
      </c>
    </row>
    <row r="25" spans="1:14" x14ac:dyDescent="0.2">
      <c r="A25" s="440">
        <f t="shared" si="4"/>
        <v>15</v>
      </c>
      <c r="B25" s="439" t="s">
        <v>10</v>
      </c>
      <c r="D25" s="605">
        <f>SUM(D11:D24)</f>
        <v>1116377814</v>
      </c>
      <c r="E25" s="456">
        <f>SUM(E11:E24)</f>
        <v>1171800311.0973477</v>
      </c>
      <c r="F25" s="474">
        <f>E25/D25</f>
        <v>1.0496449288066447</v>
      </c>
      <c r="G25" s="604"/>
      <c r="H25" s="605">
        <f>SUM(H11:H24)</f>
        <v>1116377814</v>
      </c>
      <c r="I25" s="456">
        <f>SUM(I11:I24)</f>
        <v>1296196594.3273482</v>
      </c>
      <c r="J25" s="474">
        <f>I25/H25</f>
        <v>1.1610734090845594</v>
      </c>
      <c r="K25" s="606"/>
      <c r="L25" s="458">
        <f>(I25-E25)/E25</f>
        <v>0.10615826096983023</v>
      </c>
      <c r="M25" s="607"/>
      <c r="N25" s="603">
        <v>4.3021142204224816E-16</v>
      </c>
    </row>
    <row r="26" spans="1:14" s="464" customFormat="1" x14ac:dyDescent="0.2">
      <c r="A26" s="440"/>
      <c r="B26" s="471"/>
      <c r="C26" s="608"/>
      <c r="D26" s="608"/>
      <c r="E26" s="608"/>
      <c r="F26" s="188"/>
      <c r="G26" s="226"/>
      <c r="H26" s="608"/>
      <c r="I26" s="608"/>
      <c r="J26" s="188"/>
      <c r="K26" s="188"/>
      <c r="L26" s="609"/>
      <c r="M26" s="475"/>
      <c r="N26" s="539"/>
    </row>
    <row r="27" spans="1:14" s="464" customFormat="1" x14ac:dyDescent="0.2">
      <c r="A27" s="440"/>
      <c r="B27" s="460" t="s">
        <v>283</v>
      </c>
      <c r="C27" s="461"/>
      <c r="D27" s="461"/>
      <c r="E27" s="461"/>
      <c r="F27" s="559"/>
      <c r="G27" s="475"/>
      <c r="H27" s="461"/>
      <c r="I27" s="461"/>
      <c r="J27" s="559"/>
      <c r="K27" s="559"/>
      <c r="L27" s="607"/>
      <c r="M27" s="475"/>
      <c r="N27" s="539"/>
    </row>
    <row r="28" spans="1:14" s="464" customFormat="1" x14ac:dyDescent="0.2">
      <c r="A28" s="440">
        <f>A25+1</f>
        <v>16</v>
      </c>
      <c r="B28" s="466" t="s">
        <v>4</v>
      </c>
      <c r="C28" s="467" t="s">
        <v>282</v>
      </c>
      <c r="D28" s="468">
        <f>D11+D12</f>
        <v>563383571</v>
      </c>
      <c r="E28" s="469">
        <f>E11+E12</f>
        <v>776503171.41941071</v>
      </c>
      <c r="F28" s="53">
        <f>E28/D28</f>
        <v>1.378285082117545</v>
      </c>
      <c r="G28" s="269"/>
      <c r="H28" s="468">
        <f>H11+H12</f>
        <v>563383571</v>
      </c>
      <c r="I28" s="469">
        <f>I11+I12</f>
        <v>855438843.55941081</v>
      </c>
      <c r="J28" s="53">
        <f>I28/H28</f>
        <v>1.5183950821303074</v>
      </c>
      <c r="K28" s="188"/>
      <c r="L28" s="452">
        <f>(I28-E28)/E28</f>
        <v>0.10165531197472055</v>
      </c>
      <c r="M28" s="610"/>
      <c r="N28" s="603">
        <v>1.3877787807814457E-16</v>
      </c>
    </row>
    <row r="29" spans="1:14" s="464" customFormat="1" x14ac:dyDescent="0.2">
      <c r="A29" s="440">
        <f t="shared" si="4"/>
        <v>17</v>
      </c>
      <c r="B29" s="470" t="s">
        <v>281</v>
      </c>
      <c r="C29" s="467" t="s">
        <v>280</v>
      </c>
      <c r="D29" s="468">
        <f t="shared" ref="D29:E33" si="5">D13+D18</f>
        <v>230116288</v>
      </c>
      <c r="E29" s="469">
        <f t="shared" si="5"/>
        <v>283278666.72472996</v>
      </c>
      <c r="F29" s="53">
        <f t="shared" ref="F29:F35" si="6">E29/D29</f>
        <v>1.2310239713441318</v>
      </c>
      <c r="G29" s="269"/>
      <c r="H29" s="468">
        <f t="shared" ref="H29:I33" si="7">H13+H18</f>
        <v>230116288</v>
      </c>
      <c r="I29" s="469">
        <f t="shared" si="7"/>
        <v>315195795.87472993</v>
      </c>
      <c r="J29" s="53">
        <f t="shared" ref="J29:J35" si="8">I29/H29</f>
        <v>1.3697239713632523</v>
      </c>
      <c r="K29" s="188"/>
      <c r="L29" s="452">
        <f t="shared" ref="L29:L36" si="9">(I29-E29)/E29</f>
        <v>0.11267042985984811</v>
      </c>
      <c r="M29" s="475"/>
      <c r="N29" s="603">
        <v>0</v>
      </c>
    </row>
    <row r="30" spans="1:14" s="464" customFormat="1" x14ac:dyDescent="0.2">
      <c r="A30" s="440">
        <f t="shared" si="4"/>
        <v>18</v>
      </c>
      <c r="B30" s="466" t="s">
        <v>279</v>
      </c>
      <c r="C30" s="467" t="s">
        <v>278</v>
      </c>
      <c r="D30" s="468">
        <f t="shared" si="5"/>
        <v>84183096</v>
      </c>
      <c r="E30" s="469">
        <f t="shared" si="5"/>
        <v>61481836.902244739</v>
      </c>
      <c r="F30" s="53">
        <f t="shared" si="6"/>
        <v>0.7303347087905242</v>
      </c>
      <c r="G30" s="269"/>
      <c r="H30" s="468">
        <f t="shared" si="7"/>
        <v>84183096</v>
      </c>
      <c r="I30" s="469">
        <f t="shared" si="7"/>
        <v>69803736.432244733</v>
      </c>
      <c r="J30" s="53">
        <f t="shared" si="8"/>
        <v>0.82918946616366707</v>
      </c>
      <c r="K30" s="188"/>
      <c r="L30" s="452">
        <f t="shared" si="9"/>
        <v>0.13535541469315071</v>
      </c>
      <c r="M30" s="475"/>
      <c r="N30" s="603">
        <v>0</v>
      </c>
    </row>
    <row r="31" spans="1:14" s="464" customFormat="1" x14ac:dyDescent="0.2">
      <c r="A31" s="440">
        <f t="shared" si="4"/>
        <v>19</v>
      </c>
      <c r="B31" s="466" t="s">
        <v>6</v>
      </c>
      <c r="C31" s="467" t="s">
        <v>277</v>
      </c>
      <c r="D31" s="468">
        <f t="shared" si="5"/>
        <v>72956344</v>
      </c>
      <c r="E31" s="469">
        <f t="shared" si="5"/>
        <v>24900876.763691425</v>
      </c>
      <c r="F31" s="53">
        <f t="shared" si="6"/>
        <v>0.34131201480835477</v>
      </c>
      <c r="G31" s="269"/>
      <c r="H31" s="468">
        <f t="shared" si="7"/>
        <v>72956344</v>
      </c>
      <c r="I31" s="469">
        <f t="shared" si="7"/>
        <v>27133098.733691424</v>
      </c>
      <c r="J31" s="53">
        <f t="shared" si="8"/>
        <v>0.37190869561242573</v>
      </c>
      <c r="K31" s="188"/>
      <c r="L31" s="452">
        <f t="shared" si="9"/>
        <v>8.964431217357198E-2</v>
      </c>
      <c r="M31" s="475"/>
      <c r="N31" s="603">
        <v>0</v>
      </c>
    </row>
    <row r="32" spans="1:14" s="464" customFormat="1" x14ac:dyDescent="0.2">
      <c r="A32" s="440">
        <f t="shared" si="4"/>
        <v>20</v>
      </c>
      <c r="B32" s="466" t="s">
        <v>276</v>
      </c>
      <c r="C32" s="467" t="s">
        <v>275</v>
      </c>
      <c r="D32" s="468">
        <f t="shared" si="5"/>
        <v>6373370</v>
      </c>
      <c r="E32" s="469">
        <f t="shared" si="5"/>
        <v>4133829.7892470341</v>
      </c>
      <c r="F32" s="53">
        <f t="shared" si="6"/>
        <v>0.64860972911458681</v>
      </c>
      <c r="G32" s="269"/>
      <c r="H32" s="468">
        <f t="shared" si="7"/>
        <v>6373370</v>
      </c>
      <c r="I32" s="469">
        <f t="shared" si="7"/>
        <v>4784622.419247034</v>
      </c>
      <c r="J32" s="53">
        <f t="shared" si="8"/>
        <v>0.75072095598514355</v>
      </c>
      <c r="K32" s="188"/>
      <c r="L32" s="452">
        <f t="shared" si="9"/>
        <v>0.15743092076331958</v>
      </c>
      <c r="M32" s="475"/>
      <c r="N32" s="603">
        <v>0</v>
      </c>
    </row>
    <row r="33" spans="1:14" s="464" customFormat="1" x14ac:dyDescent="0.2">
      <c r="A33" s="440">
        <f t="shared" si="4"/>
        <v>21</v>
      </c>
      <c r="B33" s="471" t="s">
        <v>274</v>
      </c>
      <c r="C33" s="467" t="s">
        <v>273</v>
      </c>
      <c r="D33" s="468">
        <f t="shared" si="5"/>
        <v>92216529</v>
      </c>
      <c r="E33" s="469">
        <f t="shared" si="5"/>
        <v>13622288.61142897</v>
      </c>
      <c r="F33" s="53">
        <f t="shared" si="6"/>
        <v>0.14772068260592383</v>
      </c>
      <c r="G33" s="269"/>
      <c r="H33" s="468">
        <f t="shared" si="7"/>
        <v>92216529</v>
      </c>
      <c r="I33" s="469">
        <f t="shared" si="7"/>
        <v>15960856.421428971</v>
      </c>
      <c r="J33" s="53">
        <f t="shared" si="8"/>
        <v>0.17308021234923049</v>
      </c>
      <c r="K33" s="188"/>
      <c r="L33" s="452">
        <f t="shared" si="9"/>
        <v>0.17167216733596177</v>
      </c>
      <c r="M33" s="475"/>
      <c r="N33" s="603">
        <v>0</v>
      </c>
    </row>
    <row r="34" spans="1:14" s="464" customFormat="1" x14ac:dyDescent="0.2">
      <c r="A34" s="440">
        <f t="shared" si="4"/>
        <v>22</v>
      </c>
      <c r="B34" s="471" t="s">
        <v>430</v>
      </c>
      <c r="C34" s="467" t="s">
        <v>271</v>
      </c>
      <c r="D34" s="468">
        <f>D23</f>
        <v>33595800</v>
      </c>
      <c r="E34" s="469">
        <f>E23</f>
        <v>4677561.8962804954</v>
      </c>
      <c r="F34" s="53">
        <f t="shared" si="6"/>
        <v>0.13923055549445154</v>
      </c>
      <c r="G34" s="269"/>
      <c r="H34" s="468">
        <f>H23</f>
        <v>33595800</v>
      </c>
      <c r="I34" s="469">
        <f>I23</f>
        <v>4677561.8962804954</v>
      </c>
      <c r="J34" s="53">
        <f t="shared" si="8"/>
        <v>0.13923055549445154</v>
      </c>
      <c r="K34" s="188"/>
      <c r="L34" s="452">
        <f t="shared" si="9"/>
        <v>0</v>
      </c>
      <c r="M34" s="475"/>
      <c r="N34" s="603">
        <v>0</v>
      </c>
    </row>
    <row r="35" spans="1:14" s="464" customFormat="1" x14ac:dyDescent="0.2">
      <c r="A35" s="440">
        <f t="shared" si="4"/>
        <v>23</v>
      </c>
      <c r="B35" s="471" t="s">
        <v>270</v>
      </c>
      <c r="C35" s="467"/>
      <c r="D35" s="468">
        <f>D24</f>
        <v>33552816</v>
      </c>
      <c r="E35" s="469">
        <f>E24</f>
        <v>3202078.9903146061</v>
      </c>
      <c r="F35" s="53">
        <f t="shared" si="6"/>
        <v>9.5433986533786194E-2</v>
      </c>
      <c r="G35" s="269"/>
      <c r="H35" s="468">
        <f>H24</f>
        <v>33552816</v>
      </c>
      <c r="I35" s="469">
        <f>I24</f>
        <v>3202078.9903146061</v>
      </c>
      <c r="J35" s="53">
        <f t="shared" si="8"/>
        <v>9.5433986533786194E-2</v>
      </c>
      <c r="K35" s="188"/>
      <c r="L35" s="452">
        <f t="shared" si="9"/>
        <v>0</v>
      </c>
      <c r="M35" s="475"/>
      <c r="N35" s="603">
        <v>0</v>
      </c>
    </row>
    <row r="36" spans="1:14" s="464" customFormat="1" x14ac:dyDescent="0.2">
      <c r="A36" s="440">
        <f t="shared" si="4"/>
        <v>24</v>
      </c>
      <c r="B36" s="471" t="s">
        <v>10</v>
      </c>
      <c r="C36" s="471"/>
      <c r="D36" s="611">
        <f>SUM(D28:D35)</f>
        <v>1116377814</v>
      </c>
      <c r="E36" s="612">
        <f>SUM(E28:E35)</f>
        <v>1171800311.0973482</v>
      </c>
      <c r="F36" s="613">
        <f>E36/D36</f>
        <v>1.0496449288066452</v>
      </c>
      <c r="G36" s="269"/>
      <c r="H36" s="611">
        <f>SUM(H28:H35)</f>
        <v>1116377814</v>
      </c>
      <c r="I36" s="612">
        <f>SUM(I28:I35)</f>
        <v>1296196594.3273482</v>
      </c>
      <c r="J36" s="613">
        <f>I36/H36</f>
        <v>1.1610734090845594</v>
      </c>
      <c r="K36" s="188"/>
      <c r="L36" s="458">
        <f t="shared" si="9"/>
        <v>0.10615826096982979</v>
      </c>
      <c r="M36" s="475"/>
      <c r="N36" s="603">
        <v>0</v>
      </c>
    </row>
    <row r="37" spans="1:14" s="464" customFormat="1" x14ac:dyDescent="0.2">
      <c r="B37" s="471"/>
      <c r="C37" s="471"/>
      <c r="D37" s="471"/>
      <c r="E37" s="471"/>
      <c r="F37" s="469"/>
      <c r="G37" s="269"/>
      <c r="H37" s="471"/>
      <c r="I37" s="471"/>
      <c r="J37" s="469"/>
      <c r="K37" s="188"/>
      <c r="L37" s="614"/>
      <c r="M37" s="475"/>
      <c r="N37" s="603"/>
    </row>
    <row r="38" spans="1:14" x14ac:dyDescent="0.2">
      <c r="B38" s="439" t="s">
        <v>433</v>
      </c>
    </row>
  </sheetData>
  <mergeCells count="2">
    <mergeCell ref="D6:F6"/>
    <mergeCell ref="H6:J6"/>
  </mergeCells>
  <printOptions horizontalCentered="1"/>
  <pageMargins left="0.7" right="0.7" top="0.75" bottom="0.75" header="0.3" footer="0.3"/>
  <pageSetup scale="80" orientation="landscape" blackAndWhite="1" r:id="rId1"/>
  <headerFooter>
    <oddFooter>&amp;L&amp;F 
&amp;A&amp;RPage &amp;P of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56534B2187064F9B27E5AF0EE4F322" ma:contentTypeVersion="12" ma:contentTypeDescription="" ma:contentTypeScope="" ma:versionID="9c6bd1da69d4bd5c9b0d02e3443db93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2024-09-16T07:00:00+00:00</OpenedDate>
    <SignificantOrder xmlns="dc463f71-b30c-4ab2-9473-d307f9d35888">false</SignificantOrder>
    <Date1 xmlns="dc463f71-b30c-4ab2-9473-d307f9d35888">2024-09-16T07:00:00+00:00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240708</DocketNumber>
    <DelegatedOrder xmlns="dc463f71-b30c-4ab2-9473-d307f9d35888">false</DelegatedOrder>
  </documentManagement>
</p:properties>
</file>

<file path=customXml/itemProps1.xml><?xml version="1.0" encoding="utf-8"?>
<ds:datastoreItem xmlns:ds="http://schemas.openxmlformats.org/officeDocument/2006/customXml" ds:itemID="{052C1A43-67ED-4A06-9775-E3F39D857AB5}"/>
</file>

<file path=customXml/itemProps2.xml><?xml version="1.0" encoding="utf-8"?>
<ds:datastoreItem xmlns:ds="http://schemas.openxmlformats.org/officeDocument/2006/customXml" ds:itemID="{E6412C8C-9FE1-48C9-AE7C-E4A5F73C343F}"/>
</file>

<file path=customXml/itemProps3.xml><?xml version="1.0" encoding="utf-8"?>
<ds:datastoreItem xmlns:ds="http://schemas.openxmlformats.org/officeDocument/2006/customXml" ds:itemID="{0653600C-91C8-48A6-B604-8B85FFB9D143}"/>
</file>

<file path=customXml/itemProps4.xml><?xml version="1.0" encoding="utf-8"?>
<ds:datastoreItem xmlns:ds="http://schemas.openxmlformats.org/officeDocument/2006/customXml" ds:itemID="{86B192B8-60EB-4FD8-A5C1-29AE4BF68B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17</vt:i4>
      </vt:variant>
      <vt:variant>
        <vt:lpstr>Charts</vt:lpstr>
      </vt:variant>
      <vt:variant>
        <vt:i4>1</vt:i4>
      </vt:variant>
      <vt:variant>
        <vt:lpstr>Named Ranges</vt:lpstr>
      </vt:variant>
      <vt:variant>
        <vt:i4>14</vt:i4>
      </vt:variant>
    </vt:vector>
  </HeadingPairs>
  <TitlesOfParts>
    <vt:vector size="32" baseType="lpstr">
      <vt:lpstr>REDACTED VERSION</vt:lpstr>
      <vt:lpstr>Summary Rates</vt:lpstr>
      <vt:lpstr>Sch. 106 PGA Amort Rates</vt:lpstr>
      <vt:lpstr>Sch. 106 Amort Balances</vt:lpstr>
      <vt:lpstr>Rate Impact -&gt;</vt:lpstr>
      <vt:lpstr>Rate Impacts Sch 101_106</vt:lpstr>
      <vt:lpstr>Typical Res Bill Sch 101_106</vt:lpstr>
      <vt:lpstr>Sch. 106</vt:lpstr>
      <vt:lpstr>Avg. Per Therm Combined</vt:lpstr>
      <vt:lpstr>Work Papers --&gt;</vt:lpstr>
      <vt:lpstr>(R) 191 Accounts Balances</vt:lpstr>
      <vt:lpstr>(R) Cost Projections</vt:lpstr>
      <vt:lpstr>Calc Recovery</vt:lpstr>
      <vt:lpstr>Therm Forecast</vt:lpstr>
      <vt:lpstr>Gas Resource Allocation Study</vt:lpstr>
      <vt:lpstr>FERC interest rate </vt:lpstr>
      <vt:lpstr>Conversion Factor</vt:lpstr>
      <vt:lpstr>191 Accounts Chart</vt:lpstr>
      <vt:lpstr>'(R) 191 Accounts Balances'!Print_Area</vt:lpstr>
      <vt:lpstr>'(R) Cost Projections'!Print_Area</vt:lpstr>
      <vt:lpstr>'Avg. Per Therm Combined'!Print_Area</vt:lpstr>
      <vt:lpstr>'Calc Recovery'!Print_Area</vt:lpstr>
      <vt:lpstr>'Conversion Factor'!Print_Area</vt:lpstr>
      <vt:lpstr>'FERC interest rate '!Print_Area</vt:lpstr>
      <vt:lpstr>'Gas Resource Allocation Study'!Print_Area</vt:lpstr>
      <vt:lpstr>'Rate Impacts Sch 101_106'!Print_Area</vt:lpstr>
      <vt:lpstr>'REDACTED VERSION'!Print_Area</vt:lpstr>
      <vt:lpstr>'Sch. 106 Amort Balances'!Print_Area</vt:lpstr>
      <vt:lpstr>'Therm Forecast'!Print_Area</vt:lpstr>
      <vt:lpstr>'Typical Res Bill Sch 101_106'!Print_Area</vt:lpstr>
      <vt:lpstr>'(R) 191 Accounts Balances'!Print_Titles</vt:lpstr>
      <vt:lpstr>'Calc Recovery'!Print_Titles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Kelima;Paul.Schmidt@pse.com</dc:creator>
  <cp:lastModifiedBy>Replyanskaya, Ekaterina - Transmission</cp:lastModifiedBy>
  <cp:lastPrinted>2024-09-11T21:45:34Z</cp:lastPrinted>
  <dcterms:created xsi:type="dcterms:W3CDTF">2022-09-16T17:34:31Z</dcterms:created>
  <dcterms:modified xsi:type="dcterms:W3CDTF">2024-09-13T18:17:02Z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0x0101006E56B4D1795A2E4DB2F0B01679ED314A001756534B2187064F9B27E5AF0EE4F322</vt:lpwstr>
  </property>
  <property fmtid="{D5CDD505-2E9C-101B-9397-08002B2CF9AE}" pid="3" name="_docset_NoMedatataSyncRequired">
    <vt:lpwstr>False</vt:lpwstr>
  </property>
</Properties>
</file>