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 Data\Sound Disposal\Commodity Credit Filing 7-22\"/>
    </mc:Choice>
  </mc:AlternateContent>
  <xr:revisionPtr revIDLastSave="0" documentId="13_ncr:1_{A1FD973B-5EDB-4894-9333-D2FA5F3FD50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nalysis" sheetId="4" r:id="rId1"/>
    <sheet name="Data" sheetId="1" r:id="rId2"/>
    <sheet name="Customers" sheetId="5" r:id="rId3"/>
    <sheet name="Calcs revised method" sheetId="6" r:id="rId4"/>
    <sheet name="Summary of WM Invoices" sheetId="7" r:id="rId5"/>
    <sheet name="Customer Summary" sheetId="8" r:id="rId6"/>
  </sheets>
  <definedNames>
    <definedName name="BREMAIR_COST_of_SERVICE_STUDY">#REF!</definedName>
    <definedName name="color" localSheetId="0">#REF!</definedName>
    <definedName name="color">#REF!</definedName>
    <definedName name="_xlnm.Print_Area" localSheetId="0">Analysis!$M$1:$R$82</definedName>
    <definedName name="Print1">#REF!</definedName>
    <definedName name="Print2">#REF!</definedName>
  </definedNames>
  <calcPr calcId="181029" iterate="1" iterateCount="1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C11" i="5"/>
  <c r="N12" i="8"/>
  <c r="N11" i="8"/>
  <c r="N10" i="8"/>
  <c r="N9" i="8"/>
  <c r="N8" i="8"/>
  <c r="N37" i="7"/>
  <c r="M37" i="7"/>
  <c r="L37" i="7"/>
  <c r="K37" i="7"/>
  <c r="J37" i="7"/>
  <c r="I37" i="7"/>
  <c r="H37" i="7"/>
  <c r="G37" i="7"/>
  <c r="F37" i="7"/>
  <c r="E37" i="7"/>
  <c r="D37" i="7"/>
  <c r="C37" i="7"/>
  <c r="N28" i="7"/>
  <c r="N40" i="7" s="1"/>
  <c r="M28" i="7"/>
  <c r="M40" i="7" s="1"/>
  <c r="L28" i="7"/>
  <c r="K28" i="7"/>
  <c r="J28" i="7"/>
  <c r="I28" i="7"/>
  <c r="H28" i="7"/>
  <c r="G28" i="7"/>
  <c r="F28" i="7"/>
  <c r="F40" i="7" s="1"/>
  <c r="E28" i="7"/>
  <c r="D28" i="7"/>
  <c r="C28" i="7"/>
  <c r="E40" i="7" l="1"/>
  <c r="G40" i="7"/>
  <c r="H40" i="7"/>
  <c r="D40" i="7"/>
  <c r="L40" i="7"/>
  <c r="J40" i="7"/>
  <c r="O28" i="7"/>
  <c r="K40" i="7"/>
  <c r="I40" i="7"/>
  <c r="C40" i="7"/>
  <c r="O40" i="7" l="1"/>
  <c r="C19" i="1" l="1"/>
  <c r="E18" i="1"/>
  <c r="E22" i="1"/>
  <c r="D38" i="4" l="1"/>
  <c r="C12" i="4"/>
  <c r="C11" i="4"/>
  <c r="H14" i="5"/>
  <c r="D11" i="5"/>
  <c r="H11" i="5" s="1"/>
  <c r="D12" i="5"/>
  <c r="E12" i="5" s="1"/>
  <c r="D13" i="5"/>
  <c r="E13" i="5" s="1"/>
  <c r="D14" i="5"/>
  <c r="C64" i="4" s="1"/>
  <c r="D15" i="5"/>
  <c r="H15" i="5" s="1"/>
  <c r="E15" i="5"/>
  <c r="C16" i="5"/>
  <c r="E14" i="5" l="1"/>
  <c r="C38" i="4"/>
  <c r="C39" i="4"/>
  <c r="C40" i="4" s="1"/>
  <c r="C63" i="4"/>
  <c r="H12" i="5"/>
  <c r="H13" i="5"/>
  <c r="H16" i="5" s="1"/>
  <c r="H19" i="5" s="1"/>
  <c r="E11" i="5"/>
  <c r="M16" i="5"/>
  <c r="N15" i="5"/>
  <c r="R15" i="5" s="1"/>
  <c r="O14" i="5"/>
  <c r="N14" i="5"/>
  <c r="R14" i="5" s="1"/>
  <c r="N13" i="5"/>
  <c r="R13" i="5" s="1"/>
  <c r="N12" i="5"/>
  <c r="R12" i="5" s="1"/>
  <c r="T11" i="5"/>
  <c r="N11" i="5"/>
  <c r="R11" i="5" s="1"/>
  <c r="C18" i="1"/>
  <c r="C20" i="1" s="1"/>
  <c r="B18" i="1"/>
  <c r="D18" i="1"/>
  <c r="E15" i="1"/>
  <c r="E14" i="1"/>
  <c r="E13" i="1"/>
  <c r="E12" i="1"/>
  <c r="E11" i="1"/>
  <c r="E10" i="1"/>
  <c r="E9" i="1"/>
  <c r="E8" i="1"/>
  <c r="E7" i="1"/>
  <c r="E6" i="1"/>
  <c r="E5" i="1"/>
  <c r="A1" i="4"/>
  <c r="C13" i="4"/>
  <c r="E19" i="4" s="1"/>
  <c r="E24" i="4" s="1"/>
  <c r="A37" i="4"/>
  <c r="A62" i="4" s="1"/>
  <c r="A38" i="4"/>
  <c r="A39" i="4"/>
  <c r="A64" i="4" s="1"/>
  <c r="A50" i="4"/>
  <c r="A75" i="4" s="1"/>
  <c r="A63" i="4"/>
  <c r="C65" i="4"/>
  <c r="D63" i="4"/>
  <c r="G16" i="1" l="1"/>
  <c r="G8" i="1"/>
  <c r="G6" i="1"/>
  <c r="G11" i="1"/>
  <c r="G13" i="1"/>
  <c r="G5" i="1"/>
  <c r="G10" i="1"/>
  <c r="G15" i="1"/>
  <c r="G7" i="1"/>
  <c r="G12" i="1"/>
  <c r="G9" i="1"/>
  <c r="G14" i="1"/>
  <c r="H20" i="5"/>
  <c r="H18" i="5"/>
  <c r="O13" i="5"/>
  <c r="O12" i="5"/>
  <c r="E63" i="4"/>
  <c r="E38" i="4"/>
  <c r="E20" i="1"/>
  <c r="D20" i="1" s="1"/>
  <c r="E16" i="1"/>
  <c r="R20" i="5"/>
  <c r="R19" i="5"/>
  <c r="R16" i="5"/>
  <c r="R18" i="5" s="1"/>
  <c r="O15" i="5"/>
  <c r="O11" i="5"/>
  <c r="E71" i="4"/>
  <c r="E76" i="4"/>
  <c r="E51" i="4"/>
  <c r="E46" i="4"/>
  <c r="H13" i="1" l="1"/>
  <c r="H5" i="1"/>
  <c r="H10" i="1"/>
  <c r="H15" i="1"/>
  <c r="H7" i="1"/>
  <c r="H9" i="1"/>
  <c r="H6" i="1"/>
  <c r="H11" i="1"/>
  <c r="H12" i="1"/>
  <c r="H16" i="1"/>
  <c r="H8" i="1"/>
  <c r="H14" i="1"/>
  <c r="F11" i="1"/>
  <c r="F7" i="1"/>
  <c r="F12" i="1"/>
  <c r="F9" i="1"/>
  <c r="F6" i="1"/>
  <c r="F16" i="1"/>
  <c r="F8" i="1"/>
  <c r="F13" i="1"/>
  <c r="F5" i="1"/>
  <c r="F14" i="1"/>
  <c r="F10" i="1"/>
  <c r="F15" i="1"/>
  <c r="H20" i="1"/>
  <c r="E67" i="4" s="1"/>
  <c r="E75" i="4" s="1"/>
  <c r="F77" i="4" s="1"/>
  <c r="G20" i="1"/>
  <c r="E42" i="4" s="1"/>
  <c r="E50" i="4" s="1"/>
  <c r="F52" i="4" s="1"/>
  <c r="F20" i="1"/>
  <c r="E15" i="4" s="1"/>
  <c r="E23" i="4" s="1"/>
  <c r="F25" i="4" s="1"/>
  <c r="M16" i="1"/>
  <c r="I12" i="4"/>
  <c r="I11" i="4"/>
  <c r="AF11" i="5"/>
  <c r="H22" i="1" l="1"/>
  <c r="J63" i="4"/>
  <c r="G50" i="4"/>
  <c r="G75" i="4" s="1"/>
  <c r="G39" i="4"/>
  <c r="G64" i="4" s="1"/>
  <c r="G38" i="4"/>
  <c r="G63" i="4" s="1"/>
  <c r="G37" i="4"/>
  <c r="G62" i="4" s="1"/>
  <c r="N16" i="1"/>
  <c r="N5" i="1"/>
  <c r="M18" i="1"/>
  <c r="L18" i="1"/>
  <c r="K18" i="1"/>
  <c r="N15" i="1"/>
  <c r="N14" i="1"/>
  <c r="N13" i="1"/>
  <c r="N12" i="1"/>
  <c r="N11" i="1"/>
  <c r="N10" i="1"/>
  <c r="N9" i="1"/>
  <c r="N8" i="1"/>
  <c r="N7" i="1"/>
  <c r="N6" i="1"/>
  <c r="Y16" i="5"/>
  <c r="Z15" i="5"/>
  <c r="AD15" i="5" s="1"/>
  <c r="Z14" i="5"/>
  <c r="Z13" i="5"/>
  <c r="AA13" i="5" s="1"/>
  <c r="Z12" i="5"/>
  <c r="Z11" i="5"/>
  <c r="AD11" i="5" s="1"/>
  <c r="AD14" i="5" l="1"/>
  <c r="I64" i="4"/>
  <c r="I63" i="4"/>
  <c r="K63" i="4" s="1"/>
  <c r="AD12" i="5"/>
  <c r="I38" i="4"/>
  <c r="I39" i="4"/>
  <c r="N18" i="1"/>
  <c r="N20" i="1" s="1"/>
  <c r="AA12" i="5"/>
  <c r="AD13" i="5"/>
  <c r="AA15" i="5"/>
  <c r="AA11" i="5"/>
  <c r="AA14" i="5"/>
  <c r="X5" i="1"/>
  <c r="D14" i="6" s="1"/>
  <c r="AD16" i="5" l="1"/>
  <c r="AD20" i="5" s="1"/>
  <c r="I65" i="4"/>
  <c r="U11" i="4"/>
  <c r="O11" i="4" s="1"/>
  <c r="AL11" i="5"/>
  <c r="AP11" i="5" s="1"/>
  <c r="AD18" i="5" l="1"/>
  <c r="AD19" i="5"/>
  <c r="K38" i="4"/>
  <c r="I40" i="4"/>
  <c r="K71" i="4"/>
  <c r="K76" i="4"/>
  <c r="AL15" i="5"/>
  <c r="AP15" i="5" s="1"/>
  <c r="AL13" i="5"/>
  <c r="AP13" i="5" s="1"/>
  <c r="AL14" i="5"/>
  <c r="AK16" i="5"/>
  <c r="AL12" i="5"/>
  <c r="K46" i="4" l="1"/>
  <c r="K51" i="4"/>
  <c r="O64" i="4"/>
  <c r="O63" i="4"/>
  <c r="AP14" i="5"/>
  <c r="AM14" i="5"/>
  <c r="AM13" i="5"/>
  <c r="O39" i="4"/>
  <c r="O38" i="4"/>
  <c r="AP12" i="5"/>
  <c r="H10" i="6"/>
  <c r="L10" i="6"/>
  <c r="D10" i="6"/>
  <c r="G10" i="6"/>
  <c r="E10" i="6"/>
  <c r="I10" i="6"/>
  <c r="M10" i="6"/>
  <c r="O10" i="6"/>
  <c r="F10" i="6"/>
  <c r="J10" i="6"/>
  <c r="N10" i="6"/>
  <c r="K10" i="6"/>
  <c r="AM15" i="5"/>
  <c r="AM11" i="5"/>
  <c r="AM12" i="5"/>
  <c r="AP16" i="5" l="1"/>
  <c r="AP18" i="5" s="1"/>
  <c r="O65" i="4"/>
  <c r="AP20" i="5" l="1"/>
  <c r="Q76" i="4"/>
  <c r="AP19" i="5"/>
  <c r="V18" i="1"/>
  <c r="W18" i="1"/>
  <c r="X18" i="1" s="1"/>
  <c r="AO20" i="1"/>
  <c r="AL19" i="1"/>
  <c r="AL18" i="1"/>
  <c r="AP21" i="5" l="1"/>
  <c r="AN24" i="1"/>
  <c r="AN25" i="1" s="1"/>
  <c r="AI6" i="1"/>
  <c r="U18" i="1"/>
  <c r="X15" i="1"/>
  <c r="N14" i="6" s="1"/>
  <c r="X14" i="1"/>
  <c r="M14" i="6" s="1"/>
  <c r="X13" i="1"/>
  <c r="L14" i="6" s="1"/>
  <c r="X12" i="1"/>
  <c r="K14" i="6" s="1"/>
  <c r="X11" i="1"/>
  <c r="J14" i="6" s="1"/>
  <c r="X10" i="1"/>
  <c r="I14" i="6" s="1"/>
  <c r="X9" i="1"/>
  <c r="H14" i="6" s="1"/>
  <c r="X8" i="1"/>
  <c r="G14" i="6" s="1"/>
  <c r="X7" i="1"/>
  <c r="F14" i="6" s="1"/>
  <c r="X6" i="1"/>
  <c r="E14" i="6" s="1"/>
  <c r="M50" i="4"/>
  <c r="M75" i="4" s="1"/>
  <c r="O40" i="4"/>
  <c r="M39" i="4"/>
  <c r="M64" i="4" s="1"/>
  <c r="M38" i="4"/>
  <c r="M63" i="4" s="1"/>
  <c r="M37" i="4"/>
  <c r="M62" i="4" s="1"/>
  <c r="AG19" i="1" l="1"/>
  <c r="V19" i="1" s="1"/>
  <c r="Q15" i="1"/>
  <c r="Q14" i="1"/>
  <c r="Q13" i="1"/>
  <c r="Q12" i="1"/>
  <c r="Q11" i="1"/>
  <c r="Q10" i="1"/>
  <c r="Q9" i="1"/>
  <c r="Q8" i="1"/>
  <c r="Q7" i="1"/>
  <c r="Q6" i="1"/>
  <c r="Q5" i="1"/>
  <c r="O16" i="1"/>
  <c r="Q16" i="1"/>
  <c r="P15" i="1"/>
  <c r="P14" i="1"/>
  <c r="P13" i="1"/>
  <c r="P12" i="1"/>
  <c r="P11" i="1"/>
  <c r="P10" i="1"/>
  <c r="P9" i="1"/>
  <c r="P8" i="1"/>
  <c r="P7" i="1"/>
  <c r="P6" i="1"/>
  <c r="P5" i="1"/>
  <c r="O15" i="1"/>
  <c r="O13" i="1"/>
  <c r="O11" i="1"/>
  <c r="O10" i="1"/>
  <c r="O8" i="1"/>
  <c r="O7" i="1"/>
  <c r="O5" i="1"/>
  <c r="P16" i="1"/>
  <c r="O14" i="1"/>
  <c r="O12" i="1"/>
  <c r="O9" i="1"/>
  <c r="O6" i="1"/>
  <c r="L19" i="1"/>
  <c r="L20" i="1" s="1"/>
  <c r="M20" i="1" s="1"/>
  <c r="Y7" i="1"/>
  <c r="Y11" i="1"/>
  <c r="Y15" i="1"/>
  <c r="AA7" i="1"/>
  <c r="AA11" i="1"/>
  <c r="AA15" i="1"/>
  <c r="Z8" i="1"/>
  <c r="Z12" i="1"/>
  <c r="Z16" i="1"/>
  <c r="Z13" i="1"/>
  <c r="Y14" i="1"/>
  <c r="AA14" i="1"/>
  <c r="Z15" i="1"/>
  <c r="Y8" i="1"/>
  <c r="Y12" i="1"/>
  <c r="Y16" i="1"/>
  <c r="AA8" i="1"/>
  <c r="AA12" i="1"/>
  <c r="AA16" i="1"/>
  <c r="Z9" i="1"/>
  <c r="Z6" i="1"/>
  <c r="Y6" i="1"/>
  <c r="AA6" i="1"/>
  <c r="Z7" i="1"/>
  <c r="Y9" i="1"/>
  <c r="Y13" i="1"/>
  <c r="Y5" i="1"/>
  <c r="AA9" i="1"/>
  <c r="AA13" i="1"/>
  <c r="AA5" i="1"/>
  <c r="Z10" i="1"/>
  <c r="Z14" i="1"/>
  <c r="Z5" i="1"/>
  <c r="Y10" i="1"/>
  <c r="AA10" i="1"/>
  <c r="Z11" i="1"/>
  <c r="Q51" i="4"/>
  <c r="V20" i="1"/>
  <c r="X20" i="1"/>
  <c r="X16" i="1"/>
  <c r="O14" i="6" s="1"/>
  <c r="Q20" i="1" l="1"/>
  <c r="K67" i="4" s="1"/>
  <c r="P20" i="1"/>
  <c r="K42" i="4" s="1"/>
  <c r="O20" i="1"/>
  <c r="O20" i="6"/>
  <c r="O8" i="6"/>
  <c r="O12" i="6" s="1"/>
  <c r="O16" i="6" s="1"/>
  <c r="W20" i="1"/>
  <c r="D8" i="6"/>
  <c r="D12" i="6" s="1"/>
  <c r="D16" i="6" s="1"/>
  <c r="D20" i="6"/>
  <c r="K20" i="6"/>
  <c r="K8" i="6"/>
  <c r="K12" i="6" s="1"/>
  <c r="K16" i="6" s="1"/>
  <c r="M20" i="6"/>
  <c r="M8" i="6"/>
  <c r="M12" i="6" s="1"/>
  <c r="M16" i="6" s="1"/>
  <c r="N20" i="6"/>
  <c r="N8" i="6"/>
  <c r="N12" i="6" s="1"/>
  <c r="N16" i="6" s="1"/>
  <c r="I20" i="6"/>
  <c r="I8" i="6"/>
  <c r="I12" i="6" s="1"/>
  <c r="I16" i="6" s="1"/>
  <c r="L20" i="6"/>
  <c r="L8" i="6"/>
  <c r="L12" i="6" s="1"/>
  <c r="L16" i="6" s="1"/>
  <c r="E20" i="6"/>
  <c r="E8" i="6"/>
  <c r="E12" i="6" s="1"/>
  <c r="E16" i="6" s="1"/>
  <c r="G20" i="6"/>
  <c r="G8" i="6"/>
  <c r="G12" i="6" s="1"/>
  <c r="G16" i="6" s="1"/>
  <c r="J20" i="6"/>
  <c r="J8" i="6"/>
  <c r="J12" i="6" s="1"/>
  <c r="J16" i="6" s="1"/>
  <c r="H20" i="6"/>
  <c r="H8" i="6"/>
  <c r="H12" i="6" s="1"/>
  <c r="H16" i="6" s="1"/>
  <c r="F20" i="6"/>
  <c r="F8" i="6"/>
  <c r="F12" i="6" s="1"/>
  <c r="F16" i="6" s="1"/>
  <c r="Y20" i="1" l="1"/>
  <c r="Q23" i="4" s="1"/>
  <c r="Q15" i="4"/>
  <c r="K50" i="4"/>
  <c r="L52" i="4" s="1"/>
  <c r="D39" i="4" s="1"/>
  <c r="E39" i="4" s="1"/>
  <c r="E40" i="4" s="1"/>
  <c r="E44" i="4" s="1"/>
  <c r="F48" i="4" s="1"/>
  <c r="F54" i="4" s="1"/>
  <c r="K75" i="4"/>
  <c r="L77" i="4" s="1"/>
  <c r="D64" i="4" s="1"/>
  <c r="E64" i="4" s="1"/>
  <c r="E65" i="4" s="1"/>
  <c r="E69" i="4" s="1"/>
  <c r="F73" i="4" s="1"/>
  <c r="F79" i="4" s="1"/>
  <c r="K15" i="4"/>
  <c r="Q22" i="1"/>
  <c r="Z20" i="1"/>
  <c r="Q42" i="4" s="1"/>
  <c r="Q50" i="4" s="1"/>
  <c r="R52" i="4" s="1"/>
  <c r="J39" i="4" s="1"/>
  <c r="K39" i="4" s="1"/>
  <c r="K40" i="4" s="1"/>
  <c r="K44" i="4" s="1"/>
  <c r="L48" i="4" s="1"/>
  <c r="AA20" i="1"/>
  <c r="Q67" i="4" s="1"/>
  <c r="Q75" i="4" s="1"/>
  <c r="R77" i="4" s="1"/>
  <c r="J64" i="4" s="1"/>
  <c r="K64" i="4" s="1"/>
  <c r="K65" i="4" s="1"/>
  <c r="K69" i="4" s="1"/>
  <c r="L73" i="4" s="1"/>
  <c r="AI13" i="1"/>
  <c r="L79" i="4" l="1"/>
  <c r="L54" i="4"/>
  <c r="K23" i="4"/>
  <c r="AA22" i="1"/>
  <c r="AH5" i="1"/>
  <c r="AI7" i="1" l="1"/>
  <c r="AI8" i="1"/>
  <c r="AI9" i="1"/>
  <c r="AI10" i="1"/>
  <c r="AI11" i="1"/>
  <c r="AI12" i="1"/>
  <c r="AI14" i="1"/>
  <c r="AI15" i="1"/>
  <c r="AH16" i="1" s="1"/>
  <c r="AI16" i="1" s="1"/>
  <c r="AN6" i="1"/>
  <c r="AN7" i="1"/>
  <c r="AN8" i="1"/>
  <c r="AN9" i="1"/>
  <c r="AN10" i="1"/>
  <c r="AN12" i="1"/>
  <c r="AN13" i="1"/>
  <c r="AN14" i="1"/>
  <c r="AN15" i="1"/>
  <c r="AN16" i="1"/>
  <c r="AN17" i="1"/>
  <c r="AN5" i="1"/>
  <c r="U12" i="4" l="1"/>
  <c r="O12" i="4" s="1"/>
  <c r="AG18" i="1"/>
  <c r="AH18" i="1"/>
  <c r="AF18" i="1"/>
  <c r="V11" i="4"/>
  <c r="AA12" i="4"/>
  <c r="AA13" i="4" s="1"/>
  <c r="AC19" i="4" s="1"/>
  <c r="AC24" i="4" s="1"/>
  <c r="S1" i="4"/>
  <c r="M1" i="4" s="1"/>
  <c r="G1" i="4" s="1"/>
  <c r="Y50" i="4"/>
  <c r="S50" i="4"/>
  <c r="AC50" i="4"/>
  <c r="Y39" i="4"/>
  <c r="S39" i="4"/>
  <c r="Y38" i="4"/>
  <c r="V38" i="4"/>
  <c r="S38" i="4"/>
  <c r="Y37" i="4"/>
  <c r="S37" i="4"/>
  <c r="O13" i="4" l="1"/>
  <c r="Q19" i="4" s="1"/>
  <c r="Q24" i="4" s="1"/>
  <c r="R25" i="4" s="1"/>
  <c r="I13" i="4"/>
  <c r="K19" i="4" s="1"/>
  <c r="K24" i="4" s="1"/>
  <c r="L25" i="4" s="1"/>
  <c r="D12" i="4" s="1"/>
  <c r="E12" i="4" s="1"/>
  <c r="AI18" i="1"/>
  <c r="AI20" i="1" s="1"/>
  <c r="W11" i="4"/>
  <c r="AC12" i="4"/>
  <c r="AC39" i="4"/>
  <c r="AC11" i="4"/>
  <c r="U13" i="4"/>
  <c r="W19" i="4" s="1"/>
  <c r="W24" i="4" s="1"/>
  <c r="AC38" i="4"/>
  <c r="W38" i="4"/>
  <c r="U40" i="4"/>
  <c r="W50" i="4"/>
  <c r="AA40" i="4"/>
  <c r="AC46" i="4" s="1"/>
  <c r="AC51" i="4" s="1"/>
  <c r="AD52" i="4" s="1"/>
  <c r="AM18" i="1"/>
  <c r="AO18" i="1" s="1"/>
  <c r="AO21" i="1" s="1"/>
  <c r="AO26" i="1" s="1"/>
  <c r="AO27" i="1" s="1"/>
  <c r="AO29" i="1" s="1"/>
  <c r="AM19" i="1"/>
  <c r="J12" i="4" l="1"/>
  <c r="AC13" i="4"/>
  <c r="AC17" i="4" s="1"/>
  <c r="AD21" i="4" s="1"/>
  <c r="AG20" i="1"/>
  <c r="AC40" i="4"/>
  <c r="AC44" i="4" s="1"/>
  <c r="AD48" i="4" s="1"/>
  <c r="AD54" i="4" s="1"/>
  <c r="AD57" i="4" s="1"/>
  <c r="V39" i="4"/>
  <c r="W51" i="4"/>
  <c r="X52" i="4" s="1"/>
  <c r="W46" i="4"/>
  <c r="K12" i="4" l="1"/>
  <c r="D11" i="4"/>
  <c r="E11" i="4" s="1"/>
  <c r="E13" i="4" s="1"/>
  <c r="E17" i="4" s="1"/>
  <c r="F21" i="4" s="1"/>
  <c r="F27" i="4" s="1"/>
  <c r="AH20" i="1"/>
  <c r="W15" i="4" s="1"/>
  <c r="AC23" i="4"/>
  <c r="AD25" i="4" s="1"/>
  <c r="W39" i="4"/>
  <c r="W40" i="4" s="1"/>
  <c r="W44" i="4" s="1"/>
  <c r="X48" i="4" s="1"/>
  <c r="X54" i="4" s="1"/>
  <c r="X57" i="4" s="1"/>
  <c r="W23" i="4" l="1"/>
  <c r="X25" i="4" s="1"/>
  <c r="P12" i="4" s="1"/>
  <c r="P11" i="4"/>
  <c r="AD27" i="4"/>
  <c r="AD30" i="4" s="1"/>
  <c r="V12" i="4"/>
  <c r="J11" i="4" l="1"/>
  <c r="K11" i="4" s="1"/>
  <c r="K13" i="4" s="1"/>
  <c r="K17" i="4" s="1"/>
  <c r="L21" i="4" s="1"/>
  <c r="L27" i="4" s="1"/>
  <c r="Q12" i="4"/>
  <c r="G17" i="6"/>
  <c r="G19" i="6" s="1"/>
  <c r="G21" i="6" s="1"/>
  <c r="Q39" i="4"/>
  <c r="P64" i="4"/>
  <c r="Q64" i="4" s="1"/>
  <c r="D17" i="6"/>
  <c r="W12" i="4"/>
  <c r="W13" i="4" s="1"/>
  <c r="W17" i="4" s="1"/>
  <c r="X21" i="4" s="1"/>
  <c r="X27" i="4" s="1"/>
  <c r="X30" i="4" s="1"/>
  <c r="Q11" i="4"/>
  <c r="Q13" i="4" s="1"/>
  <c r="Q17" i="4" s="1"/>
  <c r="L17" i="6" l="1"/>
  <c r="R21" i="4"/>
  <c r="R27" i="4" s="1"/>
  <c r="P63" i="4"/>
  <c r="Q63" i="4" s="1"/>
  <c r="Q65" i="4" s="1"/>
  <c r="R79" i="4" s="1"/>
  <c r="Q38" i="4"/>
  <c r="Q40" i="4" s="1"/>
  <c r="D19" i="6"/>
  <c r="D21" i="6" s="1"/>
  <c r="F17" i="6"/>
  <c r="E17" i="6"/>
  <c r="E19" i="6" s="1"/>
  <c r="E21" i="6" s="1"/>
  <c r="M17" i="6"/>
  <c r="L19" i="6"/>
  <c r="L21" i="6" s="1"/>
  <c r="R54" i="4" l="1"/>
  <c r="H17" i="6"/>
  <c r="F19" i="6"/>
  <c r="F21" i="6" s="1"/>
  <c r="M19" i="6"/>
  <c r="M21" i="6" s="1"/>
  <c r="N17" i="6"/>
  <c r="O17" i="6" l="1"/>
  <c r="O19" i="6" s="1"/>
  <c r="O21" i="6" s="1"/>
  <c r="N19" i="6"/>
  <c r="N21" i="6" s="1"/>
  <c r="H19" i="6"/>
  <c r="H21" i="6" s="1"/>
  <c r="I17" i="6"/>
  <c r="I19" i="6" l="1"/>
  <c r="I21" i="6" s="1"/>
  <c r="J17" i="6"/>
  <c r="K17" i="6" l="1"/>
  <c r="J19" i="6"/>
  <c r="J21" i="6" s="1"/>
  <c r="K19" i="6" l="1"/>
  <c r="K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tc={04156B1C-0FC8-4F65-BE48-CCD35C9AFF11}</author>
    <author>tc={80581467-A6CA-4901-80A5-2148692B4D00}</author>
    <author>tc={D5E911F6-776F-40BC-BB40-0BD818277CFD}</author>
  </authors>
  <commentList>
    <comment ref="Q15" authorId="0" shapeId="0" xr:uid="{04156B1C-0FC8-4F65-BE48-CCD35C9AFF1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was changed to the total regulated commodity values to reflect the fact that only residential commodity adjustment was in place at the time this was set.</t>
        </r>
      </text>
    </comment>
    <comment ref="E42" authorId="1" shapeId="0" xr:uid="{5B041756-0219-492B-AA88-97887BE250D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current commodity value table for 96 gal</t>
        </r>
      </text>
    </comment>
    <comment ref="K42" authorId="1" shapeId="0" xr:uid="{80581467-A6CA-4901-80A5-2148692B4D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current commodity value table for 96 gal</t>
        </r>
      </text>
    </comment>
    <comment ref="D64" authorId="2" shapeId="0" xr:uid="{5B7F2F89-919C-478C-A2F4-3A809F0FA93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projected value from prior year</t>
        </r>
      </text>
    </comment>
    <comment ref="J64" authorId="2" shapeId="0" xr:uid="{D5E911F6-776F-40BC-BB40-0BD818277CF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projected value from prior year</t>
        </r>
      </text>
    </comment>
  </commentList>
</comments>
</file>

<file path=xl/sharedStrings.xml><?xml version="1.0" encoding="utf-8"?>
<sst xmlns="http://schemas.openxmlformats.org/spreadsheetml/2006/main" count="445" uniqueCount="130">
  <si>
    <t>Sound Disposal Inc.</t>
  </si>
  <si>
    <t>Based on previous UTC Staff analyses</t>
  </si>
  <si>
    <t>Do not use cumulative method</t>
  </si>
  <si>
    <t>per docket TG-</t>
  </si>
  <si>
    <t>per docket TG-180703</t>
  </si>
  <si>
    <t>2019-2020</t>
  </si>
  <si>
    <t>2018-2019</t>
  </si>
  <si>
    <t>Residential</t>
  </si>
  <si>
    <t>Commodity</t>
  </si>
  <si>
    <t>Total</t>
  </si>
  <si>
    <t>Customers</t>
  </si>
  <si>
    <t>Credit</t>
  </si>
  <si>
    <t>Credits</t>
  </si>
  <si>
    <t>Projected Revenue October 2018-September 2019</t>
  </si>
  <si>
    <t>Projected Revenue October 2017-September 2018</t>
  </si>
  <si>
    <t>Jul-Sep projected value without adjustment factor</t>
  </si>
  <si>
    <t>Aug-Sep projected value without adjustment factor</t>
  </si>
  <si>
    <t>Oct-Jun projected value without adjustment factor</t>
  </si>
  <si>
    <t>Oct-Sep projected value without adjustment factor</t>
  </si>
  <si>
    <t>Actual Commodity Revenue (adj. to reflect current customers)</t>
  </si>
  <si>
    <t>Owe Customer (company)</t>
  </si>
  <si>
    <t>Total Customers</t>
  </si>
  <si>
    <t>Commodity Adjustment</t>
  </si>
  <si>
    <t>Projected Revenue October 2019-September 2020</t>
  </si>
  <si>
    <t>Projected Value</t>
  </si>
  <si>
    <t>Residential Commodity Adjustment</t>
  </si>
  <si>
    <t>Additional credit</t>
  </si>
  <si>
    <t>Adjusted Credit</t>
  </si>
  <si>
    <t>Multi-family</t>
  </si>
  <si>
    <t>Yards</t>
  </si>
  <si>
    <t>Actual Commodity Revenue</t>
  </si>
  <si>
    <t>Multi-family Commodity Adjustment</t>
  </si>
  <si>
    <t>Sound  Disposal, Inc. Commodity Charges</t>
  </si>
  <si>
    <t>Twelve months ended 06/30/2019</t>
  </si>
  <si>
    <t>Twelve months ended 06/30/2018</t>
  </si>
  <si>
    <t>Monthly customers</t>
  </si>
  <si>
    <t>Tons</t>
  </si>
  <si>
    <t>Cost</t>
  </si>
  <si>
    <t>tons</t>
  </si>
  <si>
    <t>$</t>
  </si>
  <si>
    <t>per ton</t>
  </si>
  <si>
    <t>six month avg</t>
  </si>
  <si>
    <t>per ton 2017</t>
  </si>
  <si>
    <t>increase</t>
  </si>
  <si>
    <t>prior 12 mos tonnage</t>
  </si>
  <si>
    <t>less commercial</t>
  </si>
  <si>
    <t>resicential tons</t>
  </si>
  <si>
    <t xml:space="preserve"> Increase $</t>
  </si>
  <si>
    <t>Monthly</t>
  </si>
  <si>
    <t xml:space="preserve"> # customers</t>
  </si>
  <si>
    <t>per customer</t>
  </si>
  <si>
    <t>Twelve months ended 06/30/2020</t>
  </si>
  <si>
    <t>Type</t>
  </si>
  <si>
    <t xml:space="preserve">Monthly </t>
  </si>
  <si>
    <t xml:space="preserve">Annual </t>
  </si>
  <si>
    <t>How billed</t>
  </si>
  <si>
    <t>Pickups</t>
  </si>
  <si>
    <t>monthly</t>
  </si>
  <si>
    <t>per pick-up</t>
  </si>
  <si>
    <t>Totals</t>
  </si>
  <si>
    <t xml:space="preserve"> </t>
  </si>
  <si>
    <t>Sound Disposal</t>
  </si>
  <si>
    <t>Sound Disposal Multi-Family</t>
  </si>
  <si>
    <t>July 2019 - June 2020</t>
  </si>
  <si>
    <t>Multi family - 96gal WR</t>
  </si>
  <si>
    <t>Multi family - 96gal EOWR</t>
  </si>
  <si>
    <t>Multi family - 1.25yd WR</t>
  </si>
  <si>
    <t>Multi family 1 1.25yd EOWR</t>
  </si>
  <si>
    <t>$ / Ton</t>
  </si>
  <si>
    <t>MF 96 gal</t>
  </si>
  <si>
    <t>Meeks</t>
  </si>
  <si>
    <t>Weights</t>
  </si>
  <si>
    <t>Residential allocation of recyclable material</t>
  </si>
  <si>
    <t>MF 96 gal allocation of recyclable material</t>
  </si>
  <si>
    <t>MF 1.25 yd allocation of recyclable material</t>
  </si>
  <si>
    <t>Less commercial tons</t>
  </si>
  <si>
    <t xml:space="preserve">Total regulated </t>
  </si>
  <si>
    <t>Pickups 96gal</t>
  </si>
  <si>
    <t>Total Pickups</t>
  </si>
  <si>
    <t>Pickups 1.25 yd</t>
  </si>
  <si>
    <t>Residential and Multi-Family</t>
  </si>
  <si>
    <t>Tonnage</t>
  </si>
  <si>
    <t>Containers/Customers</t>
  </si>
  <si>
    <t>Tons/Container-Customer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</si>
  <si>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</si>
  <si>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</si>
  <si>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</si>
  <si>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</si>
  <si>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</si>
  <si>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</si>
  <si>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</si>
  <si>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</si>
  <si>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</si>
  <si>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</si>
  <si>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</si>
  <si>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 xml:space="preserve">MF 1.25 yd </t>
  </si>
  <si>
    <t>Projected Revenue July 2019-June 2020</t>
  </si>
  <si>
    <t>Projected Revenue October 2020-September 2021</t>
  </si>
  <si>
    <t>2020-2021</t>
  </si>
  <si>
    <t>July 2020 - June 2021</t>
  </si>
  <si>
    <t>2021-2022</t>
  </si>
  <si>
    <t>Projected Revenue October 2021-September 2022</t>
  </si>
  <si>
    <t>Twelve months ended 06/30/2021</t>
  </si>
  <si>
    <t>Twelve months ended 06/30/2022</t>
  </si>
  <si>
    <t>July 2021 - June 2022</t>
  </si>
  <si>
    <t>Projected Revenue September 2022 -August 2023</t>
  </si>
  <si>
    <t>2022-2023</t>
  </si>
  <si>
    <t>Projected Revenue July 2021-June 2022</t>
  </si>
  <si>
    <t>Projected Revenue July 2020-June 2021</t>
  </si>
  <si>
    <t>Commercial tonnage has increased about 2% in current year</t>
  </si>
  <si>
    <t>Sound Disposal, Inc</t>
  </si>
  <si>
    <t>From WM Invoices</t>
  </si>
  <si>
    <t>Monthly Tonnages</t>
  </si>
  <si>
    <t>Shown on WM Invoices</t>
  </si>
  <si>
    <t>Cost per Ton</t>
  </si>
  <si>
    <t>Single Strem - Loose</t>
  </si>
  <si>
    <t>MRF Environmental Fee</t>
  </si>
  <si>
    <t>MRF Fuel Surcharge</t>
  </si>
  <si>
    <t>Contamination Charge</t>
  </si>
  <si>
    <t>Total Monthly Cost</t>
  </si>
  <si>
    <t>Recycling Expenses from Waste Management Invoices</t>
  </si>
  <si>
    <t>Recycling Customer Counts by Month - 07/01/21 -06/30/22</t>
  </si>
  <si>
    <t>AVG</t>
  </si>
  <si>
    <t>Multi Family 96 gallon WR</t>
  </si>
  <si>
    <t>Multi Family 96 gallon EOWR</t>
  </si>
  <si>
    <t>Multi Family 1-1.25yd WR</t>
  </si>
  <si>
    <t>Multi Family 1-1.25yd EOWR</t>
  </si>
  <si>
    <t>Sound Disposal, Inc.</t>
  </si>
  <si>
    <t>Recylcing Customer Counts</t>
  </si>
  <si>
    <t>7/1/21 to 6/30/22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</si>
</sst>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&quot;$&quot;#,##0.00"/>
    <numFmt numFmtId="168" formatCode="_(* #,##0.000_);_(* \(#,##0.000\);_(* &quot;-&quot;??_);_(@_)"/>
    <numFmt numFmtId="169" formatCode="mm/dd/yy;@"/>
    <numFmt numFmtId="172" formatCode="[$-409]m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mic Sans MS"/>
      <family val="4"/>
    </font>
    <font>
      <b/>
      <sz val="10"/>
      <name val="Arial"/>
      <family val="2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sz val="9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sz val="11"/>
      <color rgb="FFFF0000"/>
      <name val="Calibri"/>
      <family val="2"/>
      <scheme val="minor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7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3" fontId="1" fillId="0" borderId="0" xfId="1" applyFont="1"/>
    <xf numFmtId="44" fontId="1" fillId="0" borderId="0" xfId="2" applyFont="1"/>
    <xf numFmtId="43" fontId="1" fillId="0" borderId="1" xfId="1" applyFont="1" applyBorder="1"/>
    <xf numFmtId="43" fontId="0" fillId="0" borderId="0" xfId="0" applyNumberFormat="1"/>
    <xf numFmtId="164" fontId="0" fillId="0" borderId="2" xfId="0" applyNumberFormat="1" applyBorder="1"/>
    <xf numFmtId="0" fontId="4" fillId="2" borderId="4" xfId="3" applyFont="1" applyFill="1" applyBorder="1"/>
    <xf numFmtId="0" fontId="4" fillId="2" borderId="5" xfId="3" applyFont="1" applyFill="1" applyBorder="1"/>
    <xf numFmtId="0" fontId="3" fillId="2" borderId="5" xfId="3" applyFill="1" applyBorder="1"/>
    <xf numFmtId="0" fontId="3" fillId="2" borderId="6" xfId="3" applyFill="1" applyBorder="1"/>
    <xf numFmtId="0" fontId="3" fillId="0" borderId="0" xfId="3"/>
    <xf numFmtId="0" fontId="5" fillId="2" borderId="7" xfId="3" applyFont="1" applyFill="1" applyBorder="1"/>
    <xf numFmtId="0" fontId="5" fillId="2" borderId="0" xfId="3" applyFont="1" applyFill="1" applyBorder="1"/>
    <xf numFmtId="0" fontId="6" fillId="2" borderId="0" xfId="3" applyFont="1" applyFill="1" applyBorder="1"/>
    <xf numFmtId="0" fontId="3" fillId="2" borderId="0" xfId="3" applyFill="1" applyBorder="1"/>
    <xf numFmtId="0" fontId="3" fillId="2" borderId="8" xfId="3" applyFill="1" applyBorder="1"/>
    <xf numFmtId="15" fontId="5" fillId="2" borderId="7" xfId="3" applyNumberFormat="1" applyFont="1" applyFill="1" applyBorder="1"/>
    <xf numFmtId="15" fontId="5" fillId="2" borderId="0" xfId="3" applyNumberFormat="1" applyFont="1" applyFill="1" applyBorder="1"/>
    <xf numFmtId="0" fontId="3" fillId="2" borderId="7" xfId="3" applyFill="1" applyBorder="1"/>
    <xf numFmtId="0" fontId="5" fillId="2" borderId="0" xfId="3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10" fillId="2" borderId="9" xfId="3" applyFont="1" applyFill="1" applyBorder="1"/>
    <xf numFmtId="0" fontId="10" fillId="2" borderId="0" xfId="3" applyFont="1" applyFill="1" applyBorder="1"/>
    <xf numFmtId="0" fontId="3" fillId="2" borderId="0" xfId="3" applyFill="1" applyBorder="1" applyAlignment="1">
      <alignment horizontal="center"/>
    </xf>
    <xf numFmtId="0" fontId="0" fillId="2" borderId="7" xfId="3" applyFont="1" applyFill="1" applyBorder="1"/>
    <xf numFmtId="41" fontId="3" fillId="2" borderId="0" xfId="3" applyNumberFormat="1" applyFill="1" applyBorder="1"/>
    <xf numFmtId="44" fontId="11" fillId="2" borderId="0" xfId="4" applyFont="1" applyFill="1" applyBorder="1"/>
    <xf numFmtId="0" fontId="3" fillId="2" borderId="7" xfId="3" applyFont="1" applyFill="1" applyBorder="1"/>
    <xf numFmtId="0" fontId="12" fillId="2" borderId="0" xfId="3" applyFont="1" applyFill="1" applyBorder="1"/>
    <xf numFmtId="41" fontId="13" fillId="2" borderId="0" xfId="3" applyNumberFormat="1" applyFont="1" applyFill="1" applyBorder="1"/>
    <xf numFmtId="44" fontId="3" fillId="2" borderId="8" xfId="4" applyFont="1" applyFill="1" applyBorder="1"/>
    <xf numFmtId="165" fontId="3" fillId="2" borderId="0" xfId="4" applyNumberFormat="1" applyFont="1" applyFill="1" applyBorder="1"/>
    <xf numFmtId="164" fontId="3" fillId="2" borderId="0" xfId="5" applyNumberFormat="1" applyFont="1" applyFill="1" applyBorder="1"/>
    <xf numFmtId="164" fontId="3" fillId="2" borderId="0" xfId="3" applyNumberFormat="1" applyFill="1" applyBorder="1"/>
    <xf numFmtId="44" fontId="13" fillId="2" borderId="8" xfId="4" applyFont="1" applyFill="1" applyBorder="1"/>
    <xf numFmtId="44" fontId="14" fillId="2" borderId="10" xfId="4" applyFont="1" applyFill="1" applyBorder="1"/>
    <xf numFmtId="44" fontId="5" fillId="2" borderId="8" xfId="4" applyFont="1" applyFill="1" applyBorder="1"/>
    <xf numFmtId="0" fontId="3" fillId="2" borderId="0" xfId="3" applyFont="1" applyFill="1" applyBorder="1" applyAlignment="1">
      <alignment horizontal="right"/>
    </xf>
    <xf numFmtId="0" fontId="5" fillId="2" borderId="8" xfId="3" applyFont="1" applyFill="1" applyBorder="1"/>
    <xf numFmtId="44" fontId="5" fillId="2" borderId="11" xfId="3" applyNumberFormat="1" applyFont="1" applyFill="1" applyBorder="1"/>
    <xf numFmtId="0" fontId="3" fillId="2" borderId="0" xfId="3" applyFont="1" applyFill="1" applyBorder="1"/>
    <xf numFmtId="44" fontId="3" fillId="2" borderId="8" xfId="3" applyNumberFormat="1" applyFill="1" applyBorder="1"/>
    <xf numFmtId="0" fontId="5" fillId="2" borderId="1" xfId="3" applyFont="1" applyFill="1" applyBorder="1" applyAlignment="1">
      <alignment horizontal="center"/>
    </xf>
    <xf numFmtId="43" fontId="3" fillId="2" borderId="0" xfId="3" applyNumberFormat="1" applyFill="1" applyBorder="1"/>
    <xf numFmtId="44" fontId="3" fillId="2" borderId="8" xfId="4" applyNumberFormat="1" applyFont="1" applyFill="1" applyBorder="1"/>
    <xf numFmtId="44" fontId="14" fillId="2" borderId="8" xfId="4" applyFont="1" applyFill="1" applyBorder="1"/>
    <xf numFmtId="0" fontId="0" fillId="2" borderId="9" xfId="3" applyFont="1" applyFill="1" applyBorder="1"/>
    <xf numFmtId="0" fontId="3" fillId="2" borderId="1" xfId="3" applyFill="1" applyBorder="1"/>
    <xf numFmtId="0" fontId="3" fillId="2" borderId="12" xfId="3" applyFill="1" applyBorder="1"/>
    <xf numFmtId="44" fontId="14" fillId="2" borderId="11" xfId="4" applyFont="1" applyFill="1" applyBorder="1"/>
    <xf numFmtId="0" fontId="3" fillId="2" borderId="1" xfId="3" applyFont="1" applyFill="1" applyBorder="1" applyAlignment="1">
      <alignment horizontal="right"/>
    </xf>
    <xf numFmtId="0" fontId="10" fillId="2" borderId="1" xfId="3" applyFont="1" applyFill="1" applyBorder="1"/>
    <xf numFmtId="165" fontId="3" fillId="3" borderId="0" xfId="4" applyNumberFormat="1" applyFont="1" applyFill="1" applyBorder="1"/>
    <xf numFmtId="41" fontId="3" fillId="3" borderId="0" xfId="3" applyNumberFormat="1" applyFill="1" applyBorder="1"/>
    <xf numFmtId="0" fontId="0" fillId="3" borderId="0" xfId="0" applyFill="1"/>
    <xf numFmtId="165" fontId="0" fillId="0" borderId="0" xfId="2" applyNumberFormat="1" applyFont="1"/>
    <xf numFmtId="166" fontId="0" fillId="0" borderId="0" xfId="0" applyNumberFormat="1"/>
    <xf numFmtId="164" fontId="0" fillId="0" borderId="0" xfId="1" applyNumberFormat="1" applyFont="1"/>
    <xf numFmtId="165" fontId="0" fillId="0" borderId="0" xfId="2" applyNumberFormat="1" applyFont="1" applyFill="1"/>
    <xf numFmtId="0" fontId="0" fillId="0" borderId="0" xfId="0" applyFill="1"/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2" xfId="2" applyNumberFormat="1" applyFont="1" applyBorder="1"/>
    <xf numFmtId="44" fontId="0" fillId="0" borderId="0" xfId="0" applyNumberFormat="1"/>
    <xf numFmtId="44" fontId="0" fillId="0" borderId="0" xfId="2" applyFont="1" applyFill="1"/>
    <xf numFmtId="44" fontId="0" fillId="0" borderId="0" xfId="2" applyFont="1"/>
    <xf numFmtId="0" fontId="0" fillId="4" borderId="0" xfId="0" applyFill="1"/>
    <xf numFmtId="44" fontId="0" fillId="4" borderId="0" xfId="2" applyFont="1" applyFill="1"/>
    <xf numFmtId="44" fontId="0" fillId="3" borderId="0" xfId="0" applyNumberFormat="1" applyFill="1"/>
    <xf numFmtId="0" fontId="0" fillId="3" borderId="1" xfId="0" applyFill="1" applyBorder="1"/>
    <xf numFmtId="0" fontId="0" fillId="5" borderId="0" xfId="0" applyFill="1"/>
    <xf numFmtId="44" fontId="0" fillId="5" borderId="0" xfId="2" applyFont="1" applyFill="1"/>
    <xf numFmtId="166" fontId="0" fillId="0" borderId="0" xfId="0" applyNumberFormat="1" applyFill="1"/>
    <xf numFmtId="164" fontId="0" fillId="0" borderId="0" xfId="1" applyNumberFormat="1" applyFont="1" applyFill="1"/>
    <xf numFmtId="44" fontId="0" fillId="0" borderId="0" xfId="0" applyNumberFormat="1" applyFill="1"/>
    <xf numFmtId="43" fontId="1" fillId="0" borderId="3" xfId="1" applyNumberFormat="1" applyFont="1" applyBorder="1"/>
    <xf numFmtId="0" fontId="0" fillId="0" borderId="0" xfId="0" applyAlignment="1"/>
    <xf numFmtId="164" fontId="3" fillId="0" borderId="0" xfId="1" applyNumberFormat="1" applyFont="1" applyAlignment="1">
      <alignment horizontal="center"/>
    </xf>
    <xf numFmtId="0" fontId="15" fillId="0" borderId="0" xfId="0" applyFont="1" applyFill="1" applyAlignment="1"/>
    <xf numFmtId="0" fontId="0" fillId="0" borderId="0" xfId="0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20" fillId="0" borderId="2" xfId="0" applyFont="1" applyBorder="1" applyAlignment="1">
      <alignment horizontal="center"/>
    </xf>
    <xf numFmtId="43" fontId="19" fillId="0" borderId="2" xfId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/>
    <xf numFmtId="0" fontId="20" fillId="0" borderId="0" xfId="0" quotePrefix="1" applyFont="1" applyAlignment="1">
      <alignment horizontal="center"/>
    </xf>
    <xf numFmtId="4" fontId="19" fillId="0" borderId="0" xfId="1" applyNumberFormat="1" applyFont="1" applyFill="1" applyAlignment="1">
      <alignment horizontal="right"/>
    </xf>
    <xf numFmtId="167" fontId="20" fillId="0" borderId="0" xfId="2" applyNumberFormat="1" applyFont="1" applyFill="1" applyAlignment="1">
      <alignment horizontal="right"/>
    </xf>
    <xf numFmtId="167" fontId="19" fillId="0" borderId="0" xfId="2" applyNumberFormat="1" applyFont="1" applyFill="1" applyAlignment="1">
      <alignment horizontal="right"/>
    </xf>
    <xf numFmtId="167" fontId="19" fillId="0" borderId="1" xfId="2" applyNumberFormat="1" applyFont="1" applyFill="1" applyBorder="1" applyAlignment="1">
      <alignment horizontal="right"/>
    </xf>
    <xf numFmtId="164" fontId="19" fillId="0" borderId="0" xfId="1" applyNumberFormat="1" applyFont="1" applyAlignment="1">
      <alignment horizontal="center"/>
    </xf>
    <xf numFmtId="3" fontId="20" fillId="0" borderId="0" xfId="0" applyNumberFormat="1" applyFont="1" applyAlignment="1"/>
    <xf numFmtId="3" fontId="19" fillId="0" borderId="0" xfId="0" applyNumberFormat="1" applyFont="1" applyAlignment="1">
      <alignment horizontal="right"/>
    </xf>
    <xf numFmtId="0" fontId="19" fillId="0" borderId="0" xfId="0" applyFont="1" applyFill="1"/>
    <xf numFmtId="3" fontId="19" fillId="0" borderId="0" xfId="0" applyNumberFormat="1" applyFont="1" applyFill="1" applyBorder="1" applyAlignment="1">
      <alignment horizontal="center"/>
    </xf>
    <xf numFmtId="9" fontId="19" fillId="0" borderId="0" xfId="0" applyNumberFormat="1" applyFont="1" applyFill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  <xf numFmtId="165" fontId="21" fillId="0" borderId="0" xfId="2" applyNumberFormat="1" applyFont="1" applyFill="1" applyBorder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Fill="1" applyBorder="1"/>
    <xf numFmtId="165" fontId="21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43" fontId="0" fillId="0" borderId="0" xfId="1" applyFont="1" applyFill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169" fontId="23" fillId="0" borderId="0" xfId="7" applyNumberFormat="1" applyFont="1" applyAlignment="1">
      <alignment horizontal="center"/>
    </xf>
    <xf numFmtId="166" fontId="23" fillId="0" borderId="0" xfId="7" applyNumberFormat="1" applyFont="1" applyAlignment="1">
      <alignment horizontal="center"/>
    </xf>
    <xf numFmtId="0" fontId="2" fillId="0" borderId="0" xfId="7" applyFont="1" applyAlignment="1">
      <alignment horizontal="center"/>
    </xf>
    <xf numFmtId="0" fontId="2" fillId="0" borderId="0" xfId="8" applyFont="1"/>
    <xf numFmtId="0" fontId="1" fillId="0" borderId="0" xfId="7"/>
    <xf numFmtId="0" fontId="1" fillId="0" borderId="0" xfId="7" applyFill="1"/>
    <xf numFmtId="0" fontId="1" fillId="0" borderId="0" xfId="8" applyFill="1"/>
    <xf numFmtId="0" fontId="2" fillId="0" borderId="0" xfId="7" applyFont="1"/>
    <xf numFmtId="43" fontId="0" fillId="0" borderId="0" xfId="9" applyFont="1"/>
    <xf numFmtId="43" fontId="0" fillId="0" borderId="0" xfId="9" applyFont="1" applyFill="1"/>
    <xf numFmtId="0" fontId="2" fillId="0" borderId="0" xfId="7" applyFont="1" applyFill="1"/>
    <xf numFmtId="3" fontId="1" fillId="0" borderId="0" xfId="7" applyNumberFormat="1"/>
    <xf numFmtId="3" fontId="1" fillId="0" borderId="0" xfId="7" applyNumberFormat="1" applyFill="1"/>
    <xf numFmtId="3" fontId="1" fillId="0" borderId="0" xfId="8" applyNumberFormat="1" applyFill="1"/>
    <xf numFmtId="3" fontId="2" fillId="0" borderId="0" xfId="7" applyNumberFormat="1" applyFont="1"/>
    <xf numFmtId="168" fontId="0" fillId="0" borderId="0" xfId="9" applyNumberFormat="1" applyFont="1"/>
    <xf numFmtId="168" fontId="0" fillId="0" borderId="0" xfId="9" applyNumberFormat="1" applyFont="1" applyFill="1"/>
    <xf numFmtId="168" fontId="1" fillId="0" borderId="0" xfId="7" applyNumberFormat="1" applyFill="1"/>
    <xf numFmtId="164" fontId="0" fillId="0" borderId="0" xfId="9" applyNumberFormat="1" applyFont="1"/>
    <xf numFmtId="164" fontId="0" fillId="0" borderId="0" xfId="9" applyNumberFormat="1" applyFont="1" applyFill="1"/>
    <xf numFmtId="164" fontId="1" fillId="0" borderId="0" xfId="7" applyNumberFormat="1" applyFill="1"/>
    <xf numFmtId="164" fontId="1" fillId="0" borderId="0" xfId="8" applyNumberFormat="1" applyFill="1"/>
    <xf numFmtId="164" fontId="0" fillId="0" borderId="0" xfId="0" applyNumberFormat="1" applyFill="1"/>
    <xf numFmtId="164" fontId="0" fillId="0" borderId="0" xfId="0" applyNumberFormat="1"/>
    <xf numFmtId="164" fontId="1" fillId="0" borderId="0" xfId="7" applyNumberFormat="1"/>
    <xf numFmtId="164" fontId="1" fillId="0" borderId="0" xfId="8" applyNumberFormat="1"/>
    <xf numFmtId="0" fontId="1" fillId="0" borderId="0" xfId="8"/>
    <xf numFmtId="0" fontId="0" fillId="0" borderId="0" xfId="8" applyFont="1"/>
    <xf numFmtId="43" fontId="1" fillId="0" borderId="0" xfId="7" applyNumberFormat="1" applyFill="1"/>
    <xf numFmtId="0" fontId="0" fillId="0" borderId="0" xfId="7" applyFont="1"/>
    <xf numFmtId="164" fontId="1" fillId="0" borderId="0" xfId="10" applyNumberFormat="1" applyFont="1" applyFill="1"/>
    <xf numFmtId="2" fontId="19" fillId="0" borderId="0" xfId="1" applyNumberFormat="1" applyFont="1" applyAlignment="1">
      <alignment horizontal="right"/>
    </xf>
    <xf numFmtId="3" fontId="1" fillId="0" borderId="0" xfId="8" applyNumberFormat="1"/>
    <xf numFmtId="168" fontId="1" fillId="0" borderId="0" xfId="7" applyNumberFormat="1"/>
    <xf numFmtId="43" fontId="1" fillId="0" borderId="0" xfId="7" applyNumberFormat="1"/>
    <xf numFmtId="164" fontId="1" fillId="0" borderId="0" xfId="10" applyNumberFormat="1" applyFont="1"/>
    <xf numFmtId="0" fontId="0" fillId="2" borderId="0" xfId="3" applyFont="1" applyFill="1" applyBorder="1"/>
    <xf numFmtId="44" fontId="14" fillId="2" borderId="0" xfId="4" applyFont="1" applyFill="1" applyBorder="1"/>
    <xf numFmtId="0" fontId="0" fillId="6" borderId="0" xfId="0" applyFill="1"/>
    <xf numFmtId="165" fontId="0" fillId="6" borderId="2" xfId="2" applyNumberFormat="1" applyFont="1" applyFill="1" applyBorder="1"/>
    <xf numFmtId="44" fontId="0" fillId="6" borderId="0" xfId="2" applyFont="1" applyFill="1"/>
    <xf numFmtId="41" fontId="3" fillId="6" borderId="0" xfId="3" applyNumberFormat="1" applyFill="1" applyBorder="1"/>
    <xf numFmtId="165" fontId="3" fillId="6" borderId="0" xfId="4" applyNumberFormat="1" applyFont="1" applyFill="1" applyBorder="1"/>
    <xf numFmtId="3" fontId="20" fillId="6" borderId="0" xfId="0" applyNumberFormat="1" applyFont="1" applyFill="1" applyAlignment="1"/>
    <xf numFmtId="3" fontId="20" fillId="6" borderId="1" xfId="0" applyNumberFormat="1" applyFont="1" applyFill="1" applyBorder="1" applyAlignment="1"/>
    <xf numFmtId="4" fontId="19" fillId="6" borderId="0" xfId="1" applyNumberFormat="1" applyFont="1" applyFill="1" applyAlignment="1">
      <alignment horizontal="right"/>
    </xf>
    <xf numFmtId="3" fontId="19" fillId="6" borderId="0" xfId="1" applyNumberFormat="1" applyFont="1" applyFill="1" applyAlignment="1">
      <alignment horizontal="right"/>
    </xf>
    <xf numFmtId="41" fontId="13" fillId="6" borderId="0" xfId="3" applyNumberFormat="1" applyFont="1" applyFill="1" applyBorder="1"/>
    <xf numFmtId="44" fontId="3" fillId="6" borderId="8" xfId="4" applyFont="1" applyFill="1" applyBorder="1"/>
    <xf numFmtId="44" fontId="13" fillId="6" borderId="8" xfId="4" applyFont="1" applyFill="1" applyBorder="1"/>
    <xf numFmtId="44" fontId="0" fillId="6" borderId="0" xfId="0" applyNumberFormat="1" applyFill="1"/>
    <xf numFmtId="44" fontId="3" fillId="6" borderId="8" xfId="4" applyNumberFormat="1" applyFont="1" applyFill="1" applyBorder="1"/>
    <xf numFmtId="44" fontId="14" fillId="6" borderId="10" xfId="4" applyFont="1" applyFill="1" applyBorder="1"/>
    <xf numFmtId="0" fontId="0" fillId="0" borderId="0" xfId="0" applyAlignment="1">
      <alignment horizontal="center"/>
    </xf>
    <xf numFmtId="41" fontId="3" fillId="7" borderId="0" xfId="3" applyNumberFormat="1" applyFill="1" applyBorder="1"/>
    <xf numFmtId="165" fontId="3" fillId="7" borderId="0" xfId="4" applyNumberFormat="1" applyFont="1" applyFill="1" applyBorder="1"/>
    <xf numFmtId="44" fontId="14" fillId="7" borderId="10" xfId="4" applyFont="1" applyFill="1" applyBorder="1"/>
    <xf numFmtId="164" fontId="3" fillId="7" borderId="0" xfId="3" applyNumberFormat="1" applyFill="1" applyBorder="1"/>
    <xf numFmtId="44" fontId="3" fillId="7" borderId="8" xfId="4" applyNumberFormat="1" applyFont="1" applyFill="1" applyBorder="1"/>
    <xf numFmtId="41" fontId="3" fillId="8" borderId="0" xfId="3" applyNumberFormat="1" applyFill="1" applyBorder="1"/>
    <xf numFmtId="41" fontId="13" fillId="8" borderId="0" xfId="3" applyNumberFormat="1" applyFont="1" applyFill="1" applyBorder="1"/>
    <xf numFmtId="44" fontId="11" fillId="9" borderId="0" xfId="4" applyFont="1" applyFill="1" applyBorder="1"/>
    <xf numFmtId="41" fontId="3" fillId="9" borderId="0" xfId="3" applyNumberFormat="1" applyFill="1" applyBorder="1"/>
    <xf numFmtId="3" fontId="20" fillId="8" borderId="0" xfId="0" applyNumberFormat="1" applyFont="1" applyFill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3" applyFont="1" applyFill="1" applyBorder="1" applyAlignment="1">
      <alignment horizontal="center"/>
    </xf>
    <xf numFmtId="0" fontId="8" fillId="2" borderId="7" xfId="3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8" fillId="2" borderId="8" xfId="3" applyFont="1" applyFill="1" applyBorder="1" applyAlignment="1">
      <alignment horizontal="center"/>
    </xf>
    <xf numFmtId="43" fontId="16" fillId="0" borderId="0" xfId="1" applyFont="1" applyAlignment="1">
      <alignment horizontal="center"/>
    </xf>
    <xf numFmtId="43" fontId="17" fillId="0" borderId="0" xfId="1" applyFont="1" applyAlignment="1">
      <alignment horizontal="center"/>
    </xf>
    <xf numFmtId="43" fontId="18" fillId="0" borderId="0" xfId="6" applyFont="1" applyAlignment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6" borderId="0" xfId="0" applyNumberFormat="1" applyFill="1"/>
    <xf numFmtId="43" fontId="0" fillId="0" borderId="0" xfId="1" applyFont="1"/>
    <xf numFmtId="172" fontId="0" fillId="0" borderId="0" xfId="0" applyNumberFormat="1"/>
    <xf numFmtId="0" fontId="24" fillId="0" borderId="0" xfId="0" applyFont="1" applyAlignment="1">
      <alignment horizontal="centerContinuous"/>
    </xf>
    <xf numFmtId="0" fontId="25" fillId="0" borderId="0" xfId="0" applyFont="1"/>
    <xf numFmtId="0" fontId="0" fillId="0" borderId="13" xfId="0" applyBorder="1" applyAlignment="1">
      <alignment horizontal="center"/>
    </xf>
    <xf numFmtId="16" fontId="2" fillId="0" borderId="14" xfId="0" applyNumberFormat="1" applyFont="1" applyBorder="1" applyAlignment="1">
      <alignment horizontal="center"/>
    </xf>
    <xf numFmtId="16" fontId="2" fillId="0" borderId="15" xfId="0" applyNumberFormat="1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7" xfId="0" applyNumberFormat="1" applyBorder="1"/>
    <xf numFmtId="0" fontId="2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5" fillId="0" borderId="0" xfId="0" applyFont="1" applyAlignment="1">
      <alignment horizontal="centerContinuous"/>
    </xf>
  </cellXfs>
  <cellStyles count="11">
    <cellStyle name="Comma" xfId="1" builtinId="3"/>
    <cellStyle name="Comma 2" xfId="10" xr:uid="{00000000-0005-0000-0000-000001000000}"/>
    <cellStyle name="Comma 3 2" xfId="5" xr:uid="{00000000-0005-0000-0000-000002000000}"/>
    <cellStyle name="Comma 9 3" xfId="9" xr:uid="{00000000-0005-0000-0000-000003000000}"/>
    <cellStyle name="Comma_Sheet1 (2)" xfId="6" xr:uid="{00000000-0005-0000-0000-000004000000}"/>
    <cellStyle name="Currency" xfId="2" builtinId="4"/>
    <cellStyle name="Currency 3 2" xfId="4" xr:uid="{00000000-0005-0000-0000-000006000000}"/>
    <cellStyle name="Normal" xfId="0" builtinId="0"/>
    <cellStyle name="Normal 13 3" xfId="7" xr:uid="{00000000-0005-0000-0000-000008000000}"/>
    <cellStyle name="Normal 2 3" xfId="3" xr:uid="{00000000-0005-0000-0000-000009000000}"/>
    <cellStyle name="Normal 4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mmond, Greg (UTC)" id="{C22F0A4B-B3DA-4A4C-A204-4562B36D5018}" userId="S::greg.hammond@utc.wa.gov::1a12d6dc-9091-421a-bf06-5f0772164ea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1-07-06T16:22:41.82" personId="{C22F0A4B-B3DA-4A4C-A204-4562B36D5018}" id="{5570CB6E-F142-40A1-9383-605DA125F951}">
    <text>Updated to reflect actual current customer count - please verify. If actual customer counts are available by month that would be preferred</text>
  </threadedComment>
  <threadedComment ref="K15" dT="2021-07-06T16:06:00.38" personId="{C22F0A4B-B3DA-4A4C-A204-4562B36D5018}" id="{04156B1C-0FC8-4F65-BE48-CCD35C9AFF11}">
    <text>This was changed to the total regulated commodity values to reflect the fact that only residential commodity adjustment was in place at the time this was set.</text>
  </threadedComment>
  <threadedComment ref="K23" dT="2021-07-06T16:06:26.98" personId="{C22F0A4B-B3DA-4A4C-A204-4562B36D5018}" id="{68429790-C859-4C75-8642-B2779E863E8F}">
    <text>Going forward, projection uses only residential commodity values</text>
  </threadedComment>
  <threadedComment ref="C38" dT="2021-07-06T16:36:16.47" personId="{C22F0A4B-B3DA-4A4C-A204-4562B36D5018}" id="{3DAAEC81-0EA8-44C7-B27A-3175A4FAD068}">
    <text>Updated formula to pull from current customer counts for this service level</text>
  </threadedComment>
  <threadedComment ref="D39" dT="2021-07-06T16:43:32.05" personId="{C22F0A4B-B3DA-4A4C-A204-4562B36D5018}" id="{D9DC02BD-CAF9-4BCF-9EE3-4DEED817A1F1}">
    <text>Pulled from projected value from prior year</text>
  </threadedComment>
  <threadedComment ref="E42" dT="2021-07-06T16:41:05.64" personId="{C22F0A4B-B3DA-4A4C-A204-4562B36D5018}" id="{80581467-A6CA-4901-80A5-2148692B4D00}">
    <text>Pulled from current commodity value table for 96 gal</text>
  </threadedComment>
  <threadedComment ref="C63" dT="2021-07-06T16:39:12.13" personId="{C22F0A4B-B3DA-4A4C-A204-4562B36D5018}" id="{C11F1B7A-27BD-4D16-92A2-28EBE673D5AF}">
    <text>Updated formula to pull from current customer counts for this service level</text>
  </threadedComment>
  <threadedComment ref="D64" dT="2021-07-06T16:43:49.80" personId="{C22F0A4B-B3DA-4A4C-A204-4562B36D5018}" id="{D5E911F6-776F-40BC-BB40-0BD818277CFD}">
    <text>Pulled from projected value from prior year</text>
  </threadedComment>
  <threadedComment ref="E67" dT="2021-07-06T16:41:33.07" personId="{C22F0A4B-B3DA-4A4C-A204-4562B36D5018}" id="{AED968E0-CF23-4D54-A58E-DCAC4B8A4B57}">
    <text>Pulled from current commodity value table for 1.25 Yd service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3" dT="2021-07-06T16:34:26.50" personId="{C22F0A4B-B3DA-4A4C-A204-4562B36D5018}" id="{B55C5923-FDE7-49A4-B5EC-2F5D10F5050F}">
    <text>No longer any customers on this service?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2"/>
  <sheetViews>
    <sheetView tabSelected="1" zoomScaleNormal="100" workbookViewId="0">
      <selection activeCell="G11" sqref="G11"/>
    </sheetView>
  </sheetViews>
  <sheetFormatPr defaultColWidth="8.85546875" defaultRowHeight="12.75" x14ac:dyDescent="0.2"/>
  <cols>
    <col min="1" max="1" width="11" style="13" customWidth="1"/>
    <col min="2" max="2" width="46" style="13" customWidth="1"/>
    <col min="3" max="3" width="14.5703125" style="13" customWidth="1"/>
    <col min="4" max="4" width="13.28515625" style="13" customWidth="1"/>
    <col min="5" max="5" width="10.7109375" style="13" customWidth="1"/>
    <col min="6" max="6" width="11.85546875" style="13" customWidth="1"/>
    <col min="7" max="7" width="11" style="13" customWidth="1"/>
    <col min="8" max="8" width="46" style="13" customWidth="1"/>
    <col min="9" max="9" width="14.5703125" style="13" customWidth="1"/>
    <col min="10" max="10" width="13.28515625" style="13" customWidth="1"/>
    <col min="11" max="11" width="10.7109375" style="13" customWidth="1"/>
    <col min="12" max="12" width="11.85546875" style="13" customWidth="1"/>
    <col min="13" max="13" width="11" style="13" customWidth="1"/>
    <col min="14" max="14" width="46" style="13" customWidth="1"/>
    <col min="15" max="15" width="14.5703125" style="13" customWidth="1"/>
    <col min="16" max="16" width="13.42578125" style="13" customWidth="1"/>
    <col min="17" max="17" width="11" style="13" customWidth="1"/>
    <col min="18" max="18" width="11.85546875" style="13" customWidth="1"/>
    <col min="19" max="19" width="11" style="13" customWidth="1"/>
    <col min="20" max="20" width="46" style="13" customWidth="1"/>
    <col min="21" max="21" width="10.42578125" style="13" bestFit="1" customWidth="1"/>
    <col min="22" max="22" width="13.42578125" style="13" customWidth="1"/>
    <col min="23" max="23" width="11" style="13" customWidth="1"/>
    <col min="24" max="24" width="11.85546875" style="13" customWidth="1"/>
    <col min="25" max="25" width="35.85546875" style="13" customWidth="1"/>
    <col min="26" max="26" width="21.5703125" style="13" customWidth="1"/>
    <col min="27" max="27" width="24.140625" style="13" customWidth="1"/>
    <col min="28" max="28" width="11" style="13" bestFit="1" customWidth="1"/>
    <col min="29" max="29" width="10.5703125" style="13" bestFit="1" customWidth="1"/>
    <col min="30" max="30" width="10.42578125" style="13" customWidth="1"/>
    <col min="31" max="16384" width="8.85546875" style="13"/>
  </cols>
  <sheetData>
    <row r="1" spans="1:30" ht="19.5" customHeight="1" x14ac:dyDescent="0.4">
      <c r="A1" s="9" t="str">
        <f>+G1</f>
        <v>Sound Disposal Inc.</v>
      </c>
      <c r="B1" s="10"/>
      <c r="C1" s="11"/>
      <c r="D1" s="11"/>
      <c r="E1" s="11"/>
      <c r="F1" s="12"/>
      <c r="G1" s="9" t="str">
        <f>+M1</f>
        <v>Sound Disposal Inc.</v>
      </c>
      <c r="H1" s="10"/>
      <c r="I1" s="11"/>
      <c r="J1" s="11"/>
      <c r="K1" s="11"/>
      <c r="L1" s="12"/>
      <c r="M1" s="9" t="str">
        <f>S1</f>
        <v>Sound Disposal Inc.</v>
      </c>
      <c r="N1" s="10"/>
      <c r="O1" s="11"/>
      <c r="P1" s="11"/>
      <c r="Q1" s="11"/>
      <c r="R1" s="12"/>
      <c r="S1" s="9" t="str">
        <f>Y1</f>
        <v>Sound Disposal Inc.</v>
      </c>
      <c r="T1" s="10"/>
      <c r="U1" s="11"/>
      <c r="V1" s="11"/>
      <c r="W1" s="11"/>
      <c r="X1" s="12"/>
      <c r="Y1" s="9" t="s">
        <v>0</v>
      </c>
      <c r="Z1" s="10"/>
      <c r="AA1" s="11"/>
      <c r="AB1" s="11"/>
      <c r="AC1" s="11"/>
      <c r="AD1" s="12"/>
    </row>
    <row r="2" spans="1:30" ht="18" x14ac:dyDescent="0.35">
      <c r="A2" s="14" t="s">
        <v>1</v>
      </c>
      <c r="B2" s="15"/>
      <c r="C2" s="16" t="s">
        <v>2</v>
      </c>
      <c r="D2" s="17"/>
      <c r="E2" s="17"/>
      <c r="F2" s="18"/>
      <c r="G2" s="14" t="s">
        <v>1</v>
      </c>
      <c r="H2" s="15"/>
      <c r="I2" s="16" t="s">
        <v>2</v>
      </c>
      <c r="J2" s="17"/>
      <c r="K2" s="17"/>
      <c r="L2" s="18"/>
      <c r="M2" s="14" t="s">
        <v>1</v>
      </c>
      <c r="N2" s="15"/>
      <c r="O2" s="16" t="s">
        <v>2</v>
      </c>
      <c r="P2" s="17"/>
      <c r="Q2" s="17"/>
      <c r="R2" s="18"/>
      <c r="S2" s="14" t="s">
        <v>1</v>
      </c>
      <c r="T2" s="15"/>
      <c r="U2" s="16" t="s">
        <v>2</v>
      </c>
      <c r="V2" s="17"/>
      <c r="W2" s="17"/>
      <c r="X2" s="18"/>
      <c r="Y2" s="14" t="s">
        <v>1</v>
      </c>
      <c r="Z2" s="15"/>
      <c r="AA2" s="16" t="s">
        <v>2</v>
      </c>
      <c r="AB2" s="17"/>
      <c r="AC2" s="17"/>
      <c r="AD2" s="18"/>
    </row>
    <row r="3" spans="1:30" x14ac:dyDescent="0.2">
      <c r="A3" s="19" t="s">
        <v>3</v>
      </c>
      <c r="B3" s="20"/>
      <c r="C3" s="17"/>
      <c r="D3" s="17"/>
      <c r="E3" s="17"/>
      <c r="F3" s="18"/>
      <c r="G3" s="19" t="s">
        <v>3</v>
      </c>
      <c r="H3" s="20"/>
      <c r="I3" s="17"/>
      <c r="J3" s="17"/>
      <c r="K3" s="17"/>
      <c r="L3" s="18"/>
      <c r="M3" s="19" t="s">
        <v>3</v>
      </c>
      <c r="N3" s="20"/>
      <c r="O3" s="17"/>
      <c r="P3" s="17"/>
      <c r="Q3" s="17"/>
      <c r="R3" s="18"/>
      <c r="S3" s="19" t="s">
        <v>3</v>
      </c>
      <c r="T3" s="20"/>
      <c r="U3" s="17"/>
      <c r="V3" s="17"/>
      <c r="W3" s="17"/>
      <c r="X3" s="18"/>
      <c r="Y3" s="19" t="s">
        <v>4</v>
      </c>
      <c r="Z3" s="20"/>
      <c r="AA3" s="17"/>
      <c r="AB3" s="17"/>
      <c r="AC3" s="17"/>
      <c r="AD3" s="18"/>
    </row>
    <row r="4" spans="1:30" ht="20.25" x14ac:dyDescent="0.3">
      <c r="A4" s="21"/>
      <c r="B4" s="181" t="s">
        <v>106</v>
      </c>
      <c r="C4" s="181"/>
      <c r="D4" s="181"/>
      <c r="E4" s="181"/>
      <c r="F4" s="18"/>
      <c r="G4" s="21"/>
      <c r="H4" s="181" t="s">
        <v>100</v>
      </c>
      <c r="I4" s="181"/>
      <c r="J4" s="181"/>
      <c r="K4" s="181"/>
      <c r="L4" s="18"/>
      <c r="M4" s="21"/>
      <c r="N4" s="181" t="s">
        <v>98</v>
      </c>
      <c r="O4" s="181"/>
      <c r="P4" s="181"/>
      <c r="Q4" s="181"/>
      <c r="R4" s="18"/>
      <c r="S4" s="21"/>
      <c r="T4" s="181" t="s">
        <v>5</v>
      </c>
      <c r="U4" s="181"/>
      <c r="V4" s="181"/>
      <c r="W4" s="181"/>
      <c r="X4" s="18"/>
      <c r="Y4" s="21"/>
      <c r="Z4" s="181" t="s">
        <v>6</v>
      </c>
      <c r="AA4" s="181"/>
      <c r="AB4" s="181"/>
      <c r="AC4" s="181"/>
      <c r="AD4" s="18"/>
    </row>
    <row r="5" spans="1:30" x14ac:dyDescent="0.2">
      <c r="A5" s="21"/>
      <c r="B5" s="17"/>
      <c r="C5" s="17"/>
      <c r="D5" s="17"/>
      <c r="E5" s="17"/>
      <c r="F5" s="18"/>
      <c r="G5" s="21"/>
      <c r="H5" s="17"/>
      <c r="I5" s="17"/>
      <c r="J5" s="17"/>
      <c r="K5" s="17"/>
      <c r="L5" s="18"/>
      <c r="M5" s="21"/>
      <c r="N5" s="17"/>
      <c r="O5" s="17"/>
      <c r="P5" s="17"/>
      <c r="Q5" s="17"/>
      <c r="R5" s="18"/>
      <c r="S5" s="21"/>
      <c r="T5" s="17"/>
      <c r="U5" s="17"/>
      <c r="V5" s="17"/>
      <c r="W5" s="17"/>
      <c r="X5" s="18"/>
      <c r="Y5" s="21"/>
      <c r="Z5" s="17"/>
      <c r="AA5" s="17"/>
      <c r="AB5" s="17"/>
      <c r="AC5" s="17"/>
      <c r="AD5" s="18"/>
    </row>
    <row r="6" spans="1:30" ht="19.5" x14ac:dyDescent="0.4">
      <c r="A6" s="182" t="s">
        <v>7</v>
      </c>
      <c r="B6" s="183"/>
      <c r="C6" s="183"/>
      <c r="D6" s="183"/>
      <c r="E6" s="183"/>
      <c r="F6" s="184"/>
      <c r="G6" s="182" t="s">
        <v>7</v>
      </c>
      <c r="H6" s="183"/>
      <c r="I6" s="183"/>
      <c r="J6" s="183"/>
      <c r="K6" s="183"/>
      <c r="L6" s="184"/>
      <c r="M6" s="182" t="s">
        <v>7</v>
      </c>
      <c r="N6" s="183"/>
      <c r="O6" s="183"/>
      <c r="P6" s="183"/>
      <c r="Q6" s="183"/>
      <c r="R6" s="184"/>
      <c r="S6" s="182" t="s">
        <v>7</v>
      </c>
      <c r="T6" s="183"/>
      <c r="U6" s="183"/>
      <c r="V6" s="183"/>
      <c r="W6" s="183"/>
      <c r="X6" s="184"/>
      <c r="Y6" s="182" t="s">
        <v>7</v>
      </c>
      <c r="Z6" s="183"/>
      <c r="AA6" s="183"/>
      <c r="AB6" s="183"/>
      <c r="AC6" s="183"/>
      <c r="AD6" s="184"/>
    </row>
    <row r="7" spans="1:30" x14ac:dyDescent="0.2">
      <c r="A7" s="21"/>
      <c r="B7" s="17"/>
      <c r="C7" s="17"/>
      <c r="D7" s="17"/>
      <c r="E7" s="17"/>
      <c r="F7" s="18"/>
      <c r="G7" s="21"/>
      <c r="H7" s="17"/>
      <c r="I7" s="17"/>
      <c r="J7" s="17"/>
      <c r="K7" s="17"/>
      <c r="L7" s="18"/>
      <c r="M7" s="21"/>
      <c r="N7" s="17"/>
      <c r="O7" s="17"/>
      <c r="P7" s="17"/>
      <c r="Q7" s="17"/>
      <c r="R7" s="18"/>
      <c r="S7" s="21"/>
      <c r="T7" s="17"/>
      <c r="U7" s="17"/>
      <c r="V7" s="17"/>
      <c r="W7" s="17"/>
      <c r="X7" s="18"/>
      <c r="Y7" s="21"/>
      <c r="Z7" s="17"/>
      <c r="AA7" s="17"/>
      <c r="AB7" s="17"/>
      <c r="AC7" s="17"/>
      <c r="AD7" s="18"/>
    </row>
    <row r="8" spans="1:30" x14ac:dyDescent="0.2">
      <c r="A8" s="21"/>
      <c r="B8" s="17"/>
      <c r="C8" s="22"/>
      <c r="D8" s="22" t="s">
        <v>8</v>
      </c>
      <c r="E8" s="22" t="s">
        <v>9</v>
      </c>
      <c r="F8" s="18"/>
      <c r="G8" s="21"/>
      <c r="H8" s="17"/>
      <c r="I8" s="22"/>
      <c r="J8" s="22" t="s">
        <v>8</v>
      </c>
      <c r="K8" s="22" t="s">
        <v>9</v>
      </c>
      <c r="L8" s="18"/>
      <c r="M8" s="21"/>
      <c r="N8" s="17"/>
      <c r="O8" s="22"/>
      <c r="P8" s="22" t="s">
        <v>8</v>
      </c>
      <c r="Q8" s="22" t="s">
        <v>9</v>
      </c>
      <c r="R8" s="18"/>
      <c r="S8" s="21"/>
      <c r="T8" s="17"/>
      <c r="U8" s="22"/>
      <c r="V8" s="22" t="s">
        <v>8</v>
      </c>
      <c r="W8" s="22" t="s">
        <v>9</v>
      </c>
      <c r="X8" s="18"/>
      <c r="Y8" s="21"/>
      <c r="Z8" s="17"/>
      <c r="AA8" s="22"/>
      <c r="AB8" s="22" t="s">
        <v>8</v>
      </c>
      <c r="AC8" s="22" t="s">
        <v>9</v>
      </c>
      <c r="AD8" s="18"/>
    </row>
    <row r="9" spans="1:30" x14ac:dyDescent="0.2">
      <c r="A9" s="21"/>
      <c r="B9" s="17"/>
      <c r="C9" s="23" t="s">
        <v>10</v>
      </c>
      <c r="D9" s="23" t="s">
        <v>11</v>
      </c>
      <c r="E9" s="23" t="s">
        <v>12</v>
      </c>
      <c r="F9" s="18"/>
      <c r="G9" s="21"/>
      <c r="H9" s="17"/>
      <c r="I9" s="23" t="s">
        <v>10</v>
      </c>
      <c r="J9" s="23" t="s">
        <v>11</v>
      </c>
      <c r="K9" s="23" t="s">
        <v>12</v>
      </c>
      <c r="L9" s="18"/>
      <c r="M9" s="21"/>
      <c r="N9" s="17"/>
      <c r="O9" s="23" t="s">
        <v>10</v>
      </c>
      <c r="P9" s="23" t="s">
        <v>11</v>
      </c>
      <c r="Q9" s="23" t="s">
        <v>12</v>
      </c>
      <c r="R9" s="18"/>
      <c r="S9" s="21"/>
      <c r="T9" s="17"/>
      <c r="U9" s="23" t="s">
        <v>10</v>
      </c>
      <c r="V9" s="23" t="s">
        <v>11</v>
      </c>
      <c r="W9" s="23" t="s">
        <v>12</v>
      </c>
      <c r="X9" s="18"/>
      <c r="Y9" s="21"/>
      <c r="Z9" s="17"/>
      <c r="AA9" s="23" t="s">
        <v>10</v>
      </c>
      <c r="AB9" s="23" t="s">
        <v>11</v>
      </c>
      <c r="AC9" s="23" t="s">
        <v>12</v>
      </c>
      <c r="AD9" s="18"/>
    </row>
    <row r="10" spans="1:30" ht="16.5" x14ac:dyDescent="0.35">
      <c r="A10" s="24" t="s">
        <v>107</v>
      </c>
      <c r="B10" s="54"/>
      <c r="C10" s="26"/>
      <c r="D10" s="26"/>
      <c r="E10" s="26"/>
      <c r="F10" s="18"/>
      <c r="G10" s="24" t="s">
        <v>108</v>
      </c>
      <c r="H10" s="54"/>
      <c r="I10" s="26"/>
      <c r="J10" s="26"/>
      <c r="K10" s="26"/>
      <c r="L10" s="18"/>
      <c r="M10" s="24" t="s">
        <v>96</v>
      </c>
      <c r="N10" s="54"/>
      <c r="O10" s="26"/>
      <c r="P10" s="26"/>
      <c r="Q10" s="26"/>
      <c r="R10" s="18"/>
      <c r="S10" s="24" t="s">
        <v>13</v>
      </c>
      <c r="T10" s="54"/>
      <c r="U10" s="26"/>
      <c r="V10" s="26"/>
      <c r="W10" s="26"/>
      <c r="X10" s="18"/>
      <c r="Y10" s="24" t="s">
        <v>14</v>
      </c>
      <c r="Z10" s="54"/>
      <c r="AA10" s="26"/>
      <c r="AB10" s="26"/>
      <c r="AC10" s="26"/>
      <c r="AD10" s="18"/>
    </row>
    <row r="11" spans="1:30" ht="15" x14ac:dyDescent="0.25">
      <c r="A11" s="27" t="s">
        <v>15</v>
      </c>
      <c r="B11" s="17"/>
      <c r="C11" s="173">
        <f>Customers!C11*3</f>
        <v>5256</v>
      </c>
      <c r="D11" s="29">
        <f>+J12</f>
        <v>-4.0239170458884486</v>
      </c>
      <c r="E11" s="155">
        <f>C11*D11</f>
        <v>-21149.707993189684</v>
      </c>
      <c r="F11" s="18"/>
      <c r="G11" s="27" t="s">
        <v>15</v>
      </c>
      <c r="H11" s="17"/>
      <c r="I11" s="173">
        <f>Customers!Y11*3</f>
        <v>5160</v>
      </c>
      <c r="J11" s="29">
        <f>+P12</f>
        <v>-4.2024024995887101</v>
      </c>
      <c r="K11" s="155">
        <f>I11*J11</f>
        <v>-21684.396897877745</v>
      </c>
      <c r="L11" s="18"/>
      <c r="M11" s="27" t="s">
        <v>15</v>
      </c>
      <c r="N11" s="17"/>
      <c r="O11" s="155">
        <f>+U11</f>
        <v>5265</v>
      </c>
      <c r="P11" s="29">
        <f>+AD25</f>
        <v>-3.1505548636774381</v>
      </c>
      <c r="Q11" s="155">
        <f>O11*P11</f>
        <v>-16587.671357261712</v>
      </c>
      <c r="R11" s="18"/>
      <c r="S11" s="27" t="s">
        <v>15</v>
      </c>
      <c r="T11" s="17"/>
      <c r="U11" s="28">
        <f>SUM(Data!AF5:AF7)</f>
        <v>5265</v>
      </c>
      <c r="V11" s="29">
        <f>AB12</f>
        <v>0</v>
      </c>
      <c r="W11" s="28">
        <f>U11*V11</f>
        <v>0</v>
      </c>
      <c r="X11" s="18"/>
      <c r="Y11" s="27" t="s">
        <v>16</v>
      </c>
      <c r="Z11" s="17"/>
      <c r="AA11" s="28">
        <v>0</v>
      </c>
      <c r="AB11" s="29">
        <v>0</v>
      </c>
      <c r="AC11" s="28">
        <f>AA11*AB11</f>
        <v>0</v>
      </c>
      <c r="AD11" s="18"/>
    </row>
    <row r="12" spans="1:30" ht="15" x14ac:dyDescent="0.35">
      <c r="A12" s="30" t="s">
        <v>17</v>
      </c>
      <c r="B12" s="31"/>
      <c r="C12" s="174">
        <f>Customers!C11*9</f>
        <v>15768</v>
      </c>
      <c r="D12" s="29">
        <f>+L25</f>
        <v>-3.1789233961280918</v>
      </c>
      <c r="E12" s="161">
        <f>C12*D12</f>
        <v>-50125.264110147749</v>
      </c>
      <c r="F12" s="18"/>
      <c r="G12" s="30" t="s">
        <v>17</v>
      </c>
      <c r="H12" s="31"/>
      <c r="I12" s="174">
        <f>Customers!Y11*9</f>
        <v>15480</v>
      </c>
      <c r="J12" s="29">
        <f>+R25</f>
        <v>-4.0239170458884486</v>
      </c>
      <c r="K12" s="161">
        <f>I12*J12</f>
        <v>-62290.235870353186</v>
      </c>
      <c r="L12" s="18"/>
      <c r="M12" s="30" t="s">
        <v>17</v>
      </c>
      <c r="N12" s="31"/>
      <c r="O12" s="161">
        <f>+U12</f>
        <v>15795</v>
      </c>
      <c r="P12" s="29">
        <f>X25</f>
        <v>-4.2024024995887101</v>
      </c>
      <c r="Q12" s="161">
        <f>O12*P12</f>
        <v>-66376.947481003677</v>
      </c>
      <c r="R12" s="18"/>
      <c r="S12" s="30" t="s">
        <v>17</v>
      </c>
      <c r="T12" s="31"/>
      <c r="U12" s="32">
        <f>SUM(Data!AF8:AF16)</f>
        <v>15795</v>
      </c>
      <c r="V12" s="29">
        <f>AD25</f>
        <v>-3.1505548636774381</v>
      </c>
      <c r="W12" s="32">
        <f>U12*V12</f>
        <v>-49763.014071785132</v>
      </c>
      <c r="X12" s="18"/>
      <c r="Y12" s="30" t="s">
        <v>18</v>
      </c>
      <c r="Z12" s="31"/>
      <c r="AA12" s="32">
        <f>Data!AO28*12</f>
        <v>21060</v>
      </c>
      <c r="AB12" s="29">
        <v>0</v>
      </c>
      <c r="AC12" s="32">
        <f>AA12*AB12</f>
        <v>0</v>
      </c>
      <c r="AD12" s="18"/>
    </row>
    <row r="13" spans="1:30" x14ac:dyDescent="0.2">
      <c r="A13" s="21" t="s">
        <v>9</v>
      </c>
      <c r="B13" s="17"/>
      <c r="C13" s="173">
        <f>SUM(C11:C12)</f>
        <v>21024</v>
      </c>
      <c r="D13" s="17"/>
      <c r="E13" s="155">
        <f>SUM(E11:E12)</f>
        <v>-71274.972103337437</v>
      </c>
      <c r="F13" s="18"/>
      <c r="G13" s="21" t="s">
        <v>9</v>
      </c>
      <c r="H13" s="17"/>
      <c r="I13" s="173">
        <f>SUM(I11:I12)</f>
        <v>20640</v>
      </c>
      <c r="J13" s="17"/>
      <c r="K13" s="155">
        <f>SUM(K11:K12)</f>
        <v>-83974.632768230935</v>
      </c>
      <c r="L13" s="18"/>
      <c r="M13" s="21" t="s">
        <v>9</v>
      </c>
      <c r="N13" s="17"/>
      <c r="O13" s="155">
        <f>SUM(O11:O12)</f>
        <v>21060</v>
      </c>
      <c r="P13" s="17"/>
      <c r="Q13" s="155">
        <f>SUM(Q11:Q12)</f>
        <v>-82964.618838265393</v>
      </c>
      <c r="R13" s="18"/>
      <c r="S13" s="21" t="s">
        <v>9</v>
      </c>
      <c r="T13" s="17"/>
      <c r="U13" s="28">
        <f>SUM(U11:U12)</f>
        <v>21060</v>
      </c>
      <c r="V13" s="17"/>
      <c r="W13" s="28">
        <f>SUM(W11:W12)</f>
        <v>-49763.014071785132</v>
      </c>
      <c r="X13" s="18"/>
      <c r="Y13" s="21" t="s">
        <v>9</v>
      </c>
      <c r="Z13" s="17"/>
      <c r="AA13" s="28">
        <f>SUM(AA11:AA12)</f>
        <v>21060</v>
      </c>
      <c r="AB13" s="17"/>
      <c r="AC13" s="28">
        <f>SUM(AC11:AC12)</f>
        <v>0</v>
      </c>
      <c r="AD13" s="18"/>
    </row>
    <row r="14" spans="1:30" x14ac:dyDescent="0.2">
      <c r="A14" s="21"/>
      <c r="B14" s="17"/>
      <c r="C14" s="17"/>
      <c r="D14" s="17"/>
      <c r="E14" s="17"/>
      <c r="F14" s="18"/>
      <c r="G14" s="21"/>
      <c r="H14" s="17"/>
      <c r="I14" s="17"/>
      <c r="J14" s="17"/>
      <c r="K14" s="17"/>
      <c r="L14" s="18"/>
      <c r="M14" s="21"/>
      <c r="N14" s="17"/>
      <c r="O14" s="17"/>
      <c r="P14" s="17"/>
      <c r="Q14" s="17"/>
      <c r="R14" s="18"/>
      <c r="S14" s="21"/>
      <c r="T14" s="17"/>
      <c r="U14" s="17"/>
      <c r="V14" s="17"/>
      <c r="W14" s="17"/>
      <c r="X14" s="18"/>
      <c r="Y14" s="21"/>
      <c r="Z14" s="17"/>
      <c r="AA14" s="17"/>
      <c r="AB14" s="17"/>
      <c r="AC14" s="17"/>
      <c r="AD14" s="18"/>
    </row>
    <row r="15" spans="1:30" x14ac:dyDescent="0.2">
      <c r="A15" s="14" t="s">
        <v>19</v>
      </c>
      <c r="B15" s="17"/>
      <c r="C15" s="17"/>
      <c r="D15" s="17"/>
      <c r="E15" s="155">
        <f>-Data!F20</f>
        <v>-40391.681882777702</v>
      </c>
      <c r="F15" s="18"/>
      <c r="G15" s="14" t="s">
        <v>19</v>
      </c>
      <c r="H15" s="17"/>
      <c r="I15" s="17"/>
      <c r="J15" s="17"/>
      <c r="K15" s="155">
        <f>-Data!O20</f>
        <v>-65612.97889608382</v>
      </c>
      <c r="L15" s="18"/>
      <c r="M15" s="14" t="s">
        <v>19</v>
      </c>
      <c r="N15" s="17"/>
      <c r="O15" s="17"/>
      <c r="P15" s="17"/>
      <c r="Q15" s="168">
        <f>-Data!W20</f>
        <v>-92067.626533581279</v>
      </c>
      <c r="R15" s="18"/>
      <c r="S15" s="14" t="s">
        <v>19</v>
      </c>
      <c r="T15" s="17"/>
      <c r="U15" s="17"/>
      <c r="V15" s="17"/>
      <c r="W15" s="56">
        <f>-Data!AH20</f>
        <v>-88502.596641338227</v>
      </c>
      <c r="X15" s="18"/>
      <c r="Y15" s="14" t="s">
        <v>19</v>
      </c>
      <c r="Z15" s="17"/>
      <c r="AA15" s="17"/>
      <c r="AB15" s="17"/>
      <c r="AC15" s="28">
        <v>0</v>
      </c>
      <c r="AD15" s="18"/>
    </row>
    <row r="16" spans="1:30" x14ac:dyDescent="0.2">
      <c r="A16" s="21"/>
      <c r="B16" s="17"/>
      <c r="C16" s="17"/>
      <c r="D16" s="17"/>
      <c r="E16" s="17"/>
      <c r="F16" s="18"/>
      <c r="G16" s="21"/>
      <c r="H16" s="17"/>
      <c r="I16" s="17"/>
      <c r="J16" s="17"/>
      <c r="K16" s="17"/>
      <c r="L16" s="18"/>
      <c r="M16" s="21"/>
      <c r="N16" s="17"/>
      <c r="O16" s="17"/>
      <c r="P16" s="17"/>
      <c r="Q16" s="17"/>
      <c r="R16" s="18"/>
      <c r="S16" s="21"/>
      <c r="T16" s="17"/>
      <c r="U16" s="17"/>
      <c r="V16" s="17"/>
      <c r="W16" s="17"/>
      <c r="X16" s="18"/>
      <c r="Y16" s="21"/>
      <c r="Z16" s="17"/>
      <c r="AA16" s="17"/>
      <c r="AB16" s="17"/>
      <c r="AC16" s="17"/>
      <c r="AD16" s="18"/>
    </row>
    <row r="17" spans="1:30" x14ac:dyDescent="0.2">
      <c r="A17" s="21" t="s">
        <v>20</v>
      </c>
      <c r="B17" s="17"/>
      <c r="C17" s="17"/>
      <c r="D17" s="17"/>
      <c r="E17" s="155">
        <f>+E15-E13</f>
        <v>30883.290220559735</v>
      </c>
      <c r="F17" s="18"/>
      <c r="G17" s="21" t="s">
        <v>20</v>
      </c>
      <c r="H17" s="17"/>
      <c r="I17" s="17"/>
      <c r="J17" s="17"/>
      <c r="K17" s="155">
        <f>+K15-K13</f>
        <v>18361.653872147115</v>
      </c>
      <c r="L17" s="18"/>
      <c r="M17" s="21" t="s">
        <v>20</v>
      </c>
      <c r="N17" s="17"/>
      <c r="O17" s="17"/>
      <c r="P17" s="17"/>
      <c r="Q17" s="155">
        <f>+Q15-Q13</f>
        <v>-9103.0076953158859</v>
      </c>
      <c r="R17" s="18"/>
      <c r="S17" s="21" t="s">
        <v>20</v>
      </c>
      <c r="T17" s="17"/>
      <c r="U17" s="17"/>
      <c r="V17" s="17"/>
      <c r="W17" s="28">
        <f>+W15-W13</f>
        <v>-38739.582569553095</v>
      </c>
      <c r="X17" s="18"/>
      <c r="Y17" s="21" t="s">
        <v>20</v>
      </c>
      <c r="Z17" s="17"/>
      <c r="AA17" s="17"/>
      <c r="AB17" s="17"/>
      <c r="AC17" s="28">
        <f>+AC15-AC13</f>
        <v>0</v>
      </c>
      <c r="AD17" s="18"/>
    </row>
    <row r="18" spans="1:30" x14ac:dyDescent="0.2">
      <c r="A18" s="21"/>
      <c r="B18" s="17"/>
      <c r="C18" s="17"/>
      <c r="D18" s="17"/>
      <c r="E18" s="17"/>
      <c r="F18" s="18"/>
      <c r="G18" s="21"/>
      <c r="H18" s="17"/>
      <c r="I18" s="17"/>
      <c r="J18" s="17"/>
      <c r="K18" s="17"/>
      <c r="L18" s="18"/>
      <c r="M18" s="21"/>
      <c r="N18" s="17"/>
      <c r="O18" s="17"/>
      <c r="P18" s="17"/>
      <c r="Q18" s="17"/>
      <c r="R18" s="18"/>
      <c r="S18" s="21"/>
      <c r="T18" s="17"/>
      <c r="U18" s="17"/>
      <c r="V18" s="17"/>
      <c r="W18" s="17"/>
      <c r="X18" s="18"/>
      <c r="Y18" s="21"/>
      <c r="Z18" s="17"/>
      <c r="AA18" s="17"/>
      <c r="AB18" s="17"/>
      <c r="AC18" s="17"/>
      <c r="AD18" s="18"/>
    </row>
    <row r="19" spans="1:30" x14ac:dyDescent="0.2">
      <c r="A19" s="30" t="s">
        <v>21</v>
      </c>
      <c r="B19" s="17"/>
      <c r="C19" s="17"/>
      <c r="D19" s="17"/>
      <c r="E19" s="155">
        <f>C13</f>
        <v>21024</v>
      </c>
      <c r="F19" s="18"/>
      <c r="G19" s="30" t="s">
        <v>21</v>
      </c>
      <c r="H19" s="17"/>
      <c r="I19" s="17"/>
      <c r="J19" s="17"/>
      <c r="K19" s="155">
        <f>I13</f>
        <v>20640</v>
      </c>
      <c r="L19" s="18"/>
      <c r="M19" s="30" t="s">
        <v>21</v>
      </c>
      <c r="N19" s="17"/>
      <c r="O19" s="17"/>
      <c r="P19" s="17"/>
      <c r="Q19" s="155">
        <f>O13</f>
        <v>21060</v>
      </c>
      <c r="R19" s="18"/>
      <c r="S19" s="30" t="s">
        <v>21</v>
      </c>
      <c r="T19" s="17"/>
      <c r="U19" s="17"/>
      <c r="V19" s="17"/>
      <c r="W19" s="28">
        <f>U13</f>
        <v>21060</v>
      </c>
      <c r="X19" s="18"/>
      <c r="Y19" s="30" t="s">
        <v>21</v>
      </c>
      <c r="Z19" s="17"/>
      <c r="AA19" s="17"/>
      <c r="AB19" s="17"/>
      <c r="AC19" s="28">
        <f>+AA13</f>
        <v>21060</v>
      </c>
      <c r="AD19" s="18"/>
    </row>
    <row r="20" spans="1:30" x14ac:dyDescent="0.2">
      <c r="A20" s="21"/>
      <c r="B20" s="17"/>
      <c r="C20" s="17"/>
      <c r="D20" s="17"/>
      <c r="E20" s="17"/>
      <c r="F20" s="18"/>
      <c r="G20" s="21"/>
      <c r="H20" s="17"/>
      <c r="I20" s="17"/>
      <c r="J20" s="17"/>
      <c r="K20" s="17"/>
      <c r="L20" s="18"/>
      <c r="M20" s="21"/>
      <c r="N20" s="17"/>
      <c r="O20" s="17"/>
      <c r="P20" s="17"/>
      <c r="Q20" s="17"/>
      <c r="R20" s="18"/>
      <c r="S20" s="21"/>
      <c r="T20" s="17"/>
      <c r="U20" s="17"/>
      <c r="V20" s="17"/>
      <c r="W20" s="17"/>
      <c r="X20" s="18"/>
      <c r="Y20" s="21"/>
      <c r="Z20" s="17"/>
      <c r="AA20" s="17"/>
      <c r="AB20" s="17"/>
      <c r="AC20" s="17"/>
      <c r="AD20" s="18"/>
    </row>
    <row r="21" spans="1:30" x14ac:dyDescent="0.2">
      <c r="A21" s="21" t="s">
        <v>22</v>
      </c>
      <c r="B21" s="17"/>
      <c r="C21" s="17"/>
      <c r="D21" s="17"/>
      <c r="E21" s="17"/>
      <c r="F21" s="162">
        <f>(E17/E19)</f>
        <v>1.4689540630022704</v>
      </c>
      <c r="G21" s="21" t="s">
        <v>22</v>
      </c>
      <c r="H21" s="17"/>
      <c r="I21" s="17"/>
      <c r="J21" s="17"/>
      <c r="K21" s="17"/>
      <c r="L21" s="162">
        <f>(K17/K19)</f>
        <v>0.88961501318542224</v>
      </c>
      <c r="M21" s="21" t="s">
        <v>22</v>
      </c>
      <c r="N21" s="17"/>
      <c r="O21" s="17"/>
      <c r="P21" s="17"/>
      <c r="Q21" s="17"/>
      <c r="R21" s="162">
        <f>(Q17/Q19)</f>
        <v>-0.4322415809741636</v>
      </c>
      <c r="S21" s="21" t="s">
        <v>22</v>
      </c>
      <c r="T21" s="17"/>
      <c r="U21" s="17"/>
      <c r="V21" s="17"/>
      <c r="W21" s="17"/>
      <c r="X21" s="33">
        <f>(W17/W19)</f>
        <v>-1.8394863518306312</v>
      </c>
      <c r="Y21" s="21" t="s">
        <v>22</v>
      </c>
      <c r="Z21" s="17"/>
      <c r="AA21" s="17"/>
      <c r="AB21" s="17"/>
      <c r="AC21" s="17"/>
      <c r="AD21" s="33">
        <f>(AC17/AC19)</f>
        <v>0</v>
      </c>
    </row>
    <row r="22" spans="1:30" x14ac:dyDescent="0.2">
      <c r="A22" s="21"/>
      <c r="B22" s="17"/>
      <c r="C22" s="17"/>
      <c r="D22" s="17"/>
      <c r="E22" s="17"/>
      <c r="F22" s="33"/>
      <c r="G22" s="21"/>
      <c r="H22" s="17"/>
      <c r="I22" s="17"/>
      <c r="J22" s="17"/>
      <c r="K22" s="17"/>
      <c r="L22" s="33"/>
      <c r="M22" s="21"/>
      <c r="N22" s="17"/>
      <c r="O22" s="17"/>
      <c r="P22" s="17"/>
      <c r="Q22" s="17"/>
      <c r="R22" s="33"/>
      <c r="S22" s="21"/>
      <c r="T22" s="17"/>
      <c r="U22" s="17"/>
      <c r="V22" s="17"/>
      <c r="W22" s="17"/>
      <c r="X22" s="33"/>
      <c r="Y22" s="21"/>
      <c r="Z22" s="17"/>
      <c r="AA22" s="17"/>
      <c r="AB22" s="17"/>
      <c r="AC22" s="17"/>
      <c r="AD22" s="33"/>
    </row>
    <row r="23" spans="1:30" ht="16.5" x14ac:dyDescent="0.35">
      <c r="A23" s="24" t="s">
        <v>105</v>
      </c>
      <c r="B23" s="54"/>
      <c r="C23" s="17"/>
      <c r="D23" s="17"/>
      <c r="E23" s="156">
        <f>E15</f>
        <v>-40391.681882777702</v>
      </c>
      <c r="F23" s="33"/>
      <c r="G23" s="24" t="s">
        <v>101</v>
      </c>
      <c r="H23" s="54"/>
      <c r="I23" s="17"/>
      <c r="J23" s="17"/>
      <c r="K23" s="156">
        <f>K15</f>
        <v>-65612.97889608382</v>
      </c>
      <c r="L23" s="33"/>
      <c r="M23" s="24" t="s">
        <v>97</v>
      </c>
      <c r="N23" s="54"/>
      <c r="O23" s="17"/>
      <c r="P23" s="17"/>
      <c r="Q23" s="169">
        <f>-Data!Y20</f>
        <v>-84743.692986410722</v>
      </c>
      <c r="R23" s="33"/>
      <c r="S23" s="24" t="s">
        <v>23</v>
      </c>
      <c r="T23" s="25"/>
      <c r="U23" s="17"/>
      <c r="V23" s="17"/>
      <c r="W23" s="55">
        <f>W15</f>
        <v>-88502.596641338227</v>
      </c>
      <c r="X23" s="33"/>
      <c r="Y23" s="24" t="s">
        <v>13</v>
      </c>
      <c r="Z23" s="25"/>
      <c r="AA23" s="17"/>
      <c r="AB23" s="17"/>
      <c r="AC23" s="35">
        <f>-Data!AO26</f>
        <v>-66350.685429046847</v>
      </c>
      <c r="AD23" s="33"/>
    </row>
    <row r="24" spans="1:30" x14ac:dyDescent="0.2">
      <c r="A24" s="21" t="s">
        <v>21</v>
      </c>
      <c r="B24" s="17"/>
      <c r="C24" s="17"/>
      <c r="D24" s="17"/>
      <c r="E24" s="36">
        <f>E19</f>
        <v>21024</v>
      </c>
      <c r="F24" s="33"/>
      <c r="G24" s="21" t="s">
        <v>21</v>
      </c>
      <c r="H24" s="17"/>
      <c r="I24" s="17"/>
      <c r="J24" s="17"/>
      <c r="K24" s="36">
        <f>K19</f>
        <v>20640</v>
      </c>
      <c r="L24" s="33"/>
      <c r="M24" s="21" t="s">
        <v>21</v>
      </c>
      <c r="N24" s="17"/>
      <c r="O24" s="17"/>
      <c r="P24" s="17"/>
      <c r="Q24" s="36">
        <f>Q19</f>
        <v>21060</v>
      </c>
      <c r="R24" s="33"/>
      <c r="S24" s="21" t="s">
        <v>21</v>
      </c>
      <c r="T24" s="17"/>
      <c r="U24" s="17"/>
      <c r="V24" s="17"/>
      <c r="W24" s="36">
        <f>W19</f>
        <v>21060</v>
      </c>
      <c r="X24" s="33"/>
      <c r="Y24" s="21" t="s">
        <v>21</v>
      </c>
      <c r="Z24" s="17"/>
      <c r="AA24" s="17"/>
      <c r="AB24" s="17"/>
      <c r="AC24" s="28">
        <f>AC19</f>
        <v>21060</v>
      </c>
      <c r="AD24" s="33"/>
    </row>
    <row r="25" spans="1:30" ht="15" x14ac:dyDescent="0.35">
      <c r="A25" s="21" t="s">
        <v>24</v>
      </c>
      <c r="B25" s="17"/>
      <c r="C25" s="17"/>
      <c r="D25" s="17"/>
      <c r="E25" s="17"/>
      <c r="F25" s="163">
        <f>(E23/E24)</f>
        <v>-1.9212177455659105</v>
      </c>
      <c r="G25" s="21" t="s">
        <v>24</v>
      </c>
      <c r="H25" s="17"/>
      <c r="I25" s="17"/>
      <c r="J25" s="17"/>
      <c r="K25" s="17"/>
      <c r="L25" s="163">
        <f>(K23/K24)</f>
        <v>-3.1789233961280918</v>
      </c>
      <c r="M25" s="21" t="s">
        <v>24</v>
      </c>
      <c r="N25" s="17"/>
      <c r="O25" s="17"/>
      <c r="P25" s="17"/>
      <c r="Q25" s="17"/>
      <c r="R25" s="163">
        <f>(Q23/Q24)</f>
        <v>-4.0239170458884486</v>
      </c>
      <c r="S25" s="21" t="s">
        <v>24</v>
      </c>
      <c r="T25" s="17"/>
      <c r="U25" s="17"/>
      <c r="V25" s="17"/>
      <c r="W25" s="17"/>
      <c r="X25" s="37">
        <f>(W23/W24)</f>
        <v>-4.2024024995887101</v>
      </c>
      <c r="Y25" s="21" t="s">
        <v>24</v>
      </c>
      <c r="Z25" s="17"/>
      <c r="AA25" s="17"/>
      <c r="AB25" s="17"/>
      <c r="AC25" s="17"/>
      <c r="AD25" s="37">
        <f>(AC23/AC24)</f>
        <v>-3.1505548636774381</v>
      </c>
    </row>
    <row r="26" spans="1:30" x14ac:dyDescent="0.2">
      <c r="A26" s="21"/>
      <c r="B26" s="17"/>
      <c r="C26" s="17"/>
      <c r="D26" s="17"/>
      <c r="E26" s="17"/>
      <c r="F26" s="33"/>
      <c r="G26" s="21"/>
      <c r="H26" s="17"/>
      <c r="I26" s="17"/>
      <c r="J26" s="17"/>
      <c r="K26" s="17"/>
      <c r="L26" s="33"/>
      <c r="M26" s="21"/>
      <c r="N26" s="17"/>
      <c r="O26" s="17"/>
      <c r="P26" s="17"/>
      <c r="Q26" s="17"/>
      <c r="R26" s="33"/>
      <c r="S26" s="21"/>
      <c r="T26" s="17"/>
      <c r="U26" s="17"/>
      <c r="V26" s="17"/>
      <c r="W26" s="17"/>
      <c r="X26" s="33"/>
      <c r="Y26" s="21"/>
      <c r="Z26" s="17"/>
      <c r="AA26" s="17"/>
      <c r="AB26" s="17"/>
      <c r="AC26" s="17"/>
      <c r="AD26" s="33"/>
    </row>
    <row r="27" spans="1:30" ht="18.75" thickBot="1" x14ac:dyDescent="0.4">
      <c r="A27" s="14" t="s">
        <v>25</v>
      </c>
      <c r="B27" s="15"/>
      <c r="C27" s="17"/>
      <c r="D27" s="17"/>
      <c r="E27" s="17"/>
      <c r="F27" s="166">
        <f>+F25+F21</f>
        <v>-0.45226368256364013</v>
      </c>
      <c r="G27" s="14" t="s">
        <v>25</v>
      </c>
      <c r="H27" s="15"/>
      <c r="I27" s="17"/>
      <c r="J27" s="17"/>
      <c r="K27" s="17"/>
      <c r="L27" s="166">
        <f>+L25+L21</f>
        <v>-2.2893083829426697</v>
      </c>
      <c r="M27" s="14" t="s">
        <v>25</v>
      </c>
      <c r="N27" s="15"/>
      <c r="O27" s="17"/>
      <c r="P27" s="17"/>
      <c r="Q27" s="17"/>
      <c r="R27" s="170">
        <f>+R25+R21</f>
        <v>-4.4561586268626119</v>
      </c>
      <c r="S27" s="14" t="s">
        <v>25</v>
      </c>
      <c r="T27" s="15"/>
      <c r="U27" s="17"/>
      <c r="V27" s="17"/>
      <c r="W27" s="17"/>
      <c r="X27" s="38">
        <f>+X25+X21</f>
        <v>-6.0418888514193414</v>
      </c>
      <c r="Y27" s="14" t="s">
        <v>25</v>
      </c>
      <c r="Z27" s="15"/>
      <c r="AA27" s="17"/>
      <c r="AB27" s="17"/>
      <c r="AC27" s="17"/>
      <c r="AD27" s="38">
        <f>+AD25+AD21</f>
        <v>-3.1505548636774381</v>
      </c>
    </row>
    <row r="28" spans="1:30" ht="19.5" thickTop="1" thickBot="1" x14ac:dyDescent="0.4">
      <c r="A28" s="27"/>
      <c r="B28" s="17"/>
      <c r="C28" s="17"/>
      <c r="D28" s="17"/>
      <c r="E28" s="17"/>
      <c r="F28" s="151"/>
      <c r="G28" s="27"/>
      <c r="H28" s="17"/>
      <c r="I28" s="17"/>
      <c r="J28" s="17"/>
      <c r="K28" s="17"/>
      <c r="L28" s="151"/>
      <c r="M28" s="27"/>
      <c r="N28" s="17"/>
      <c r="O28" s="17"/>
      <c r="P28" s="17"/>
      <c r="Q28" s="17"/>
      <c r="R28" s="151"/>
      <c r="S28" s="150" t="s">
        <v>26</v>
      </c>
      <c r="T28" s="17"/>
      <c r="U28" s="17"/>
      <c r="V28" s="17"/>
      <c r="W28" s="17"/>
      <c r="X28" s="38"/>
      <c r="Y28" s="27" t="s">
        <v>26</v>
      </c>
      <c r="Z28" s="17"/>
      <c r="AA28" s="17"/>
      <c r="AB28" s="17"/>
      <c r="AC28" s="17"/>
      <c r="AD28" s="39">
        <v>0</v>
      </c>
    </row>
    <row r="29" spans="1:30" ht="19.5" thickTop="1" thickBot="1" x14ac:dyDescent="0.4">
      <c r="A29" s="21"/>
      <c r="B29" s="17"/>
      <c r="C29" s="17"/>
      <c r="D29" s="17"/>
      <c r="E29" s="17"/>
      <c r="F29" s="151"/>
      <c r="G29" s="21"/>
      <c r="H29" s="17"/>
      <c r="I29" s="17"/>
      <c r="J29" s="17"/>
      <c r="K29" s="17"/>
      <c r="L29" s="151"/>
      <c r="M29" s="21"/>
      <c r="N29" s="17"/>
      <c r="O29" s="17"/>
      <c r="P29" s="17"/>
      <c r="Q29" s="17"/>
      <c r="R29" s="151"/>
      <c r="S29" s="17"/>
      <c r="T29" s="17"/>
      <c r="U29" s="17"/>
      <c r="V29" s="17"/>
      <c r="W29" s="17"/>
      <c r="X29" s="38"/>
      <c r="Y29" s="21"/>
      <c r="Z29" s="17"/>
      <c r="AA29" s="17"/>
      <c r="AB29" s="17"/>
      <c r="AC29" s="40"/>
      <c r="AD29" s="41"/>
    </row>
    <row r="30" spans="1:30" ht="19.5" thickTop="1" thickBot="1" x14ac:dyDescent="0.4">
      <c r="A30" s="27"/>
      <c r="B30" s="17"/>
      <c r="C30" s="17"/>
      <c r="D30" s="17"/>
      <c r="E30" s="17"/>
      <c r="F30" s="151"/>
      <c r="G30" s="27"/>
      <c r="H30" s="17"/>
      <c r="I30" s="17"/>
      <c r="J30" s="17"/>
      <c r="K30" s="17"/>
      <c r="L30" s="151"/>
      <c r="M30" s="27"/>
      <c r="N30" s="17"/>
      <c r="O30" s="17"/>
      <c r="P30" s="17"/>
      <c r="Q30" s="17"/>
      <c r="R30" s="151"/>
      <c r="S30" s="150" t="s">
        <v>27</v>
      </c>
      <c r="T30" s="17"/>
      <c r="U30" s="17"/>
      <c r="V30" s="17"/>
      <c r="W30" s="17"/>
      <c r="X30" s="38">
        <f>SUM(X27:X29)</f>
        <v>-6.0418888514193414</v>
      </c>
      <c r="Y30" s="27" t="s">
        <v>27</v>
      </c>
      <c r="Z30" s="17"/>
      <c r="AA30" s="17"/>
      <c r="AB30" s="17"/>
      <c r="AC30" s="17"/>
      <c r="AD30" s="42">
        <f>SUM(AD27:AD29)</f>
        <v>-3.1505548636774381</v>
      </c>
    </row>
    <row r="31" spans="1:30" ht="13.5" thickTop="1" x14ac:dyDescent="0.2">
      <c r="A31" s="21"/>
      <c r="B31" s="17"/>
      <c r="C31" s="17"/>
      <c r="D31" s="17"/>
      <c r="E31" s="43"/>
      <c r="F31" s="17"/>
      <c r="G31" s="21"/>
      <c r="H31" s="17"/>
      <c r="I31" s="17"/>
      <c r="J31" s="17"/>
      <c r="K31" s="43"/>
      <c r="L31" s="17"/>
      <c r="M31" s="21"/>
      <c r="N31" s="17"/>
      <c r="O31" s="17"/>
      <c r="P31" s="17"/>
      <c r="Q31" s="43"/>
      <c r="R31" s="17"/>
      <c r="S31" s="17"/>
      <c r="T31" s="17"/>
      <c r="U31" s="17"/>
      <c r="V31" s="17"/>
      <c r="W31" s="43"/>
      <c r="X31" s="18"/>
      <c r="Y31" s="21"/>
      <c r="Z31" s="17"/>
      <c r="AA31" s="17"/>
      <c r="AB31" s="17"/>
      <c r="AC31" s="40"/>
      <c r="AD31" s="44"/>
    </row>
    <row r="32" spans="1:30" x14ac:dyDescent="0.2">
      <c r="A32" s="21"/>
      <c r="B32" s="17"/>
      <c r="C32" s="17"/>
      <c r="D32" s="17"/>
      <c r="E32" s="17"/>
      <c r="F32" s="18"/>
      <c r="G32" s="21"/>
      <c r="H32" s="17"/>
      <c r="I32" s="17"/>
      <c r="J32" s="17"/>
      <c r="K32" s="17"/>
      <c r="L32" s="18"/>
      <c r="M32" s="21"/>
      <c r="N32" s="17"/>
      <c r="O32" s="17"/>
      <c r="P32" s="17"/>
      <c r="Q32" s="17"/>
      <c r="R32" s="18"/>
      <c r="S32" s="21"/>
      <c r="T32" s="17"/>
      <c r="U32" s="17"/>
      <c r="V32" s="17"/>
      <c r="W32" s="17"/>
      <c r="X32" s="18"/>
      <c r="Y32" s="21"/>
      <c r="Z32" s="17"/>
      <c r="AA32" s="17"/>
      <c r="AB32" s="17"/>
      <c r="AC32" s="17"/>
      <c r="AD32" s="18"/>
    </row>
    <row r="33" spans="1:30" ht="19.5" x14ac:dyDescent="0.4">
      <c r="A33" s="182" t="s">
        <v>28</v>
      </c>
      <c r="B33" s="183"/>
      <c r="C33" s="183"/>
      <c r="D33" s="183"/>
      <c r="E33" s="183"/>
      <c r="F33" s="184"/>
      <c r="G33" s="182" t="s">
        <v>28</v>
      </c>
      <c r="H33" s="183"/>
      <c r="I33" s="183"/>
      <c r="J33" s="183"/>
      <c r="K33" s="183"/>
      <c r="L33" s="184"/>
      <c r="M33" s="182" t="s">
        <v>28</v>
      </c>
      <c r="N33" s="183"/>
      <c r="O33" s="183"/>
      <c r="P33" s="183"/>
      <c r="Q33" s="183"/>
      <c r="R33" s="184"/>
      <c r="S33" s="182" t="s">
        <v>28</v>
      </c>
      <c r="T33" s="183"/>
      <c r="U33" s="183"/>
      <c r="V33" s="183"/>
      <c r="W33" s="183"/>
      <c r="X33" s="184"/>
      <c r="Y33" s="182" t="s">
        <v>28</v>
      </c>
      <c r="Z33" s="183"/>
      <c r="AA33" s="183"/>
      <c r="AB33" s="183"/>
      <c r="AC33" s="183"/>
      <c r="AD33" s="184"/>
    </row>
    <row r="34" spans="1:30" x14ac:dyDescent="0.2">
      <c r="A34" s="21"/>
      <c r="B34" s="17"/>
      <c r="C34" s="17"/>
      <c r="D34" s="17"/>
      <c r="E34" s="17"/>
      <c r="F34" s="18"/>
      <c r="G34" s="21"/>
      <c r="H34" s="17"/>
      <c r="I34" s="17"/>
      <c r="J34" s="17"/>
      <c r="K34" s="17"/>
      <c r="L34" s="18"/>
      <c r="M34" s="21"/>
      <c r="N34" s="17"/>
      <c r="O34" s="17"/>
      <c r="P34" s="17"/>
      <c r="Q34" s="17"/>
      <c r="R34" s="18"/>
      <c r="S34" s="21"/>
      <c r="T34" s="17"/>
      <c r="U34" s="17"/>
      <c r="V34" s="17"/>
      <c r="W34" s="17"/>
      <c r="X34" s="18"/>
      <c r="Y34" s="21"/>
      <c r="Z34" s="17"/>
      <c r="AA34" s="17"/>
      <c r="AB34" s="17"/>
      <c r="AC34" s="17"/>
      <c r="AD34" s="18"/>
    </row>
    <row r="35" spans="1:30" x14ac:dyDescent="0.2">
      <c r="A35" s="21"/>
      <c r="B35" s="17"/>
      <c r="C35" s="22"/>
      <c r="D35" s="22" t="s">
        <v>8</v>
      </c>
      <c r="E35" s="22" t="s">
        <v>9</v>
      </c>
      <c r="F35" s="18"/>
      <c r="G35" s="21"/>
      <c r="H35" s="17"/>
      <c r="I35" s="22"/>
      <c r="J35" s="22" t="s">
        <v>8</v>
      </c>
      <c r="K35" s="22" t="s">
        <v>9</v>
      </c>
      <c r="L35" s="18"/>
      <c r="M35" s="21"/>
      <c r="N35" s="17"/>
      <c r="O35" s="22"/>
      <c r="P35" s="22" t="s">
        <v>8</v>
      </c>
      <c r="Q35" s="22" t="s">
        <v>9</v>
      </c>
      <c r="R35" s="18"/>
      <c r="S35" s="21"/>
      <c r="T35" s="17"/>
      <c r="U35" s="22"/>
      <c r="V35" s="22" t="s">
        <v>8</v>
      </c>
      <c r="W35" s="22" t="s">
        <v>9</v>
      </c>
      <c r="X35" s="18"/>
      <c r="Y35" s="21"/>
      <c r="Z35" s="17"/>
      <c r="AA35" s="22"/>
      <c r="AB35" s="22" t="s">
        <v>8</v>
      </c>
      <c r="AC35" s="22" t="s">
        <v>9</v>
      </c>
      <c r="AD35" s="18"/>
    </row>
    <row r="36" spans="1:30" x14ac:dyDescent="0.2">
      <c r="A36" s="21"/>
      <c r="B36" s="17"/>
      <c r="C36" s="45" t="s">
        <v>77</v>
      </c>
      <c r="D36" s="45" t="s">
        <v>11</v>
      </c>
      <c r="E36" s="45" t="s">
        <v>12</v>
      </c>
      <c r="F36" s="18"/>
      <c r="G36" s="21"/>
      <c r="H36" s="17"/>
      <c r="I36" s="45" t="s">
        <v>77</v>
      </c>
      <c r="J36" s="45" t="s">
        <v>11</v>
      </c>
      <c r="K36" s="45" t="s">
        <v>12</v>
      </c>
      <c r="L36" s="18"/>
      <c r="M36" s="21"/>
      <c r="N36" s="17"/>
      <c r="O36" s="45" t="s">
        <v>77</v>
      </c>
      <c r="P36" s="45" t="s">
        <v>11</v>
      </c>
      <c r="Q36" s="45" t="s">
        <v>12</v>
      </c>
      <c r="R36" s="18"/>
      <c r="S36" s="21"/>
      <c r="T36" s="17"/>
      <c r="U36" s="45" t="s">
        <v>29</v>
      </c>
      <c r="V36" s="45" t="s">
        <v>11</v>
      </c>
      <c r="W36" s="45" t="s">
        <v>12</v>
      </c>
      <c r="X36" s="18"/>
      <c r="Y36" s="21"/>
      <c r="Z36" s="17"/>
      <c r="AA36" s="45" t="s">
        <v>29</v>
      </c>
      <c r="AB36" s="45" t="s">
        <v>11</v>
      </c>
      <c r="AC36" s="45" t="s">
        <v>12</v>
      </c>
      <c r="AD36" s="18"/>
    </row>
    <row r="37" spans="1:30" ht="16.5" x14ac:dyDescent="0.35">
      <c r="A37" s="24" t="str">
        <f>A10</f>
        <v>Projected Revenue July 2021-June 2022</v>
      </c>
      <c r="B37" s="54"/>
      <c r="C37" s="26"/>
      <c r="D37" s="26"/>
      <c r="E37" s="26"/>
      <c r="F37" s="18"/>
      <c r="G37" s="24" t="str">
        <f>G10</f>
        <v>Projected Revenue July 2020-June 2021</v>
      </c>
      <c r="H37" s="54"/>
      <c r="I37" s="26"/>
      <c r="J37" s="26"/>
      <c r="K37" s="26"/>
      <c r="L37" s="18"/>
      <c r="M37" s="24" t="str">
        <f>M10</f>
        <v>Projected Revenue July 2019-June 2020</v>
      </c>
      <c r="N37" s="54"/>
      <c r="O37" s="26"/>
      <c r="P37" s="26"/>
      <c r="Q37" s="26"/>
      <c r="R37" s="18"/>
      <c r="S37" s="24" t="str">
        <f>S10</f>
        <v>Projected Revenue October 2018-September 2019</v>
      </c>
      <c r="T37" s="25"/>
      <c r="U37" s="26"/>
      <c r="V37" s="26"/>
      <c r="W37" s="26"/>
      <c r="X37" s="18"/>
      <c r="Y37" s="24" t="str">
        <f>Y10</f>
        <v>Projected Revenue October 2017-September 2018</v>
      </c>
      <c r="Z37" s="25"/>
      <c r="AA37" s="26"/>
      <c r="AB37" s="26"/>
      <c r="AC37" s="26"/>
      <c r="AD37" s="18"/>
    </row>
    <row r="38" spans="1:30" x14ac:dyDescent="0.2">
      <c r="A38" s="21" t="str">
        <f>A11</f>
        <v>Jul-Sep projected value without adjustment factor</v>
      </c>
      <c r="B38" s="31"/>
      <c r="C38" s="173">
        <f>+(+Customers!D12+Customers!D13)*3</f>
        <v>1204.3150000000001</v>
      </c>
      <c r="D38" s="29">
        <f>+L54</f>
        <v>-0.77134157224938715</v>
      </c>
      <c r="E38" s="28">
        <f>C38*D38</f>
        <v>-928.93822558352076</v>
      </c>
      <c r="F38" s="18"/>
      <c r="G38" s="21" t="str">
        <f>G11</f>
        <v>Jul-Sep projected value without adjustment factor</v>
      </c>
      <c r="H38" s="31"/>
      <c r="I38" s="173">
        <f>+(+Customers!Z12+Customers!Z13)*3</f>
        <v>1182.0900000000001</v>
      </c>
      <c r="J38" s="29">
        <v>0</v>
      </c>
      <c r="K38" s="28">
        <f>I38*J38</f>
        <v>0</v>
      </c>
      <c r="L38" s="18"/>
      <c r="M38" s="21" t="str">
        <f>M11</f>
        <v>Jul-Sep projected value without adjustment factor</v>
      </c>
      <c r="N38" s="31"/>
      <c r="O38" s="155">
        <f>+(+Customers!AL12+Customers!AL13)*3</f>
        <v>1396.9499999999998</v>
      </c>
      <c r="P38" s="29">
        <v>0</v>
      </c>
      <c r="Q38" s="28">
        <f>O38*P38</f>
        <v>0</v>
      </c>
      <c r="R38" s="18"/>
      <c r="S38" s="21" t="str">
        <f>S11</f>
        <v>Jul-Sep projected value without adjustment factor</v>
      </c>
      <c r="T38" s="31"/>
      <c r="U38" s="28"/>
      <c r="V38" s="29">
        <f>AB39</f>
        <v>0</v>
      </c>
      <c r="W38" s="28">
        <f>U38*V38</f>
        <v>0</v>
      </c>
      <c r="X38" s="18"/>
      <c r="Y38" s="21" t="str">
        <f>Y11</f>
        <v>Aug-Sep projected value without adjustment factor</v>
      </c>
      <c r="Z38" s="31"/>
      <c r="AA38" s="28"/>
      <c r="AB38" s="29"/>
      <c r="AC38" s="28">
        <f>AA38*AB38</f>
        <v>0</v>
      </c>
      <c r="AD38" s="18"/>
    </row>
    <row r="39" spans="1:30" ht="15" x14ac:dyDescent="0.35">
      <c r="A39" s="30" t="str">
        <f>A12</f>
        <v>Oct-Jun projected value without adjustment factor</v>
      </c>
      <c r="B39" s="31"/>
      <c r="C39" s="174">
        <f>+(+Customers!D12+Customers!D13)*9</f>
        <v>3612.9450000000002</v>
      </c>
      <c r="D39" s="175">
        <f>L52</f>
        <v>-0.73416244714274626</v>
      </c>
      <c r="E39" s="32">
        <f>C39*D39</f>
        <v>-2652.4885425921493</v>
      </c>
      <c r="F39" s="18"/>
      <c r="G39" s="30" t="str">
        <f>G12</f>
        <v>Oct-Jun projected value without adjustment factor</v>
      </c>
      <c r="H39" s="31"/>
      <c r="I39" s="174">
        <f>+(+Customers!Z12+Customers!Z13)*9</f>
        <v>3546.2700000000004</v>
      </c>
      <c r="J39" s="175">
        <f>R52</f>
        <v>-0.92931109604814055</v>
      </c>
      <c r="K39" s="32">
        <f>I39*J39</f>
        <v>-3295.5880605826396</v>
      </c>
      <c r="L39" s="18"/>
      <c r="M39" s="30" t="str">
        <f>M12</f>
        <v>Oct-Jun projected value without adjustment factor</v>
      </c>
      <c r="N39" s="31"/>
      <c r="O39" s="161">
        <f>+(+Customers!AL12+Customers!AL13)*9</f>
        <v>4190.8499999999995</v>
      </c>
      <c r="P39" s="29">
        <v>0</v>
      </c>
      <c r="Q39" s="32">
        <f>O39*P39</f>
        <v>0</v>
      </c>
      <c r="R39" s="18"/>
      <c r="S39" s="30" t="str">
        <f>S12</f>
        <v>Oct-Jun projected value without adjustment factor</v>
      </c>
      <c r="T39" s="31"/>
      <c r="U39" s="32"/>
      <c r="V39" s="29" t="e">
        <f>AD52</f>
        <v>#DIV/0!</v>
      </c>
      <c r="W39" s="32" t="e">
        <f>U39*V39</f>
        <v>#DIV/0!</v>
      </c>
      <c r="X39" s="18"/>
      <c r="Y39" s="30" t="str">
        <f>Y12</f>
        <v>Oct-Sep projected value without adjustment factor</v>
      </c>
      <c r="Z39" s="31"/>
      <c r="AA39" s="32"/>
      <c r="AB39" s="29"/>
      <c r="AC39" s="32">
        <f>AA39*AB39</f>
        <v>0</v>
      </c>
      <c r="AD39" s="18"/>
    </row>
    <row r="40" spans="1:30" x14ac:dyDescent="0.2">
      <c r="A40" s="21" t="s">
        <v>9</v>
      </c>
      <c r="B40" s="17"/>
      <c r="C40" s="173">
        <f>SUM(C38:C39)</f>
        <v>4817.26</v>
      </c>
      <c r="D40" s="17"/>
      <c r="E40" s="28">
        <f>+E39+E38</f>
        <v>-3581.4267681756701</v>
      </c>
      <c r="F40" s="18"/>
      <c r="G40" s="21" t="s">
        <v>9</v>
      </c>
      <c r="H40" s="17"/>
      <c r="I40" s="173">
        <f>SUM(I38:I39)</f>
        <v>4728.3600000000006</v>
      </c>
      <c r="J40" s="17"/>
      <c r="K40" s="28">
        <f>+K39+K38</f>
        <v>-3295.5880605826396</v>
      </c>
      <c r="L40" s="18"/>
      <c r="M40" s="21" t="s">
        <v>9</v>
      </c>
      <c r="N40" s="17"/>
      <c r="O40" s="155">
        <f>SUM(O38:O39)</f>
        <v>5587.7999999999993</v>
      </c>
      <c r="P40" s="17"/>
      <c r="Q40" s="28">
        <f>+Q39+Q38</f>
        <v>0</v>
      </c>
      <c r="R40" s="18"/>
      <c r="S40" s="21" t="s">
        <v>9</v>
      </c>
      <c r="T40" s="17"/>
      <c r="U40" s="28">
        <f>SUM(U38:U39)</f>
        <v>0</v>
      </c>
      <c r="V40" s="17"/>
      <c r="W40" s="28" t="e">
        <f>+W39+W38</f>
        <v>#DIV/0!</v>
      </c>
      <c r="X40" s="18"/>
      <c r="Y40" s="21" t="s">
        <v>9</v>
      </c>
      <c r="Z40" s="17"/>
      <c r="AA40" s="28">
        <f>SUM(AA38:AA39)</f>
        <v>0</v>
      </c>
      <c r="AB40" s="17"/>
      <c r="AC40" s="28">
        <f>+AC39+AC38</f>
        <v>0</v>
      </c>
      <c r="AD40" s="18"/>
    </row>
    <row r="41" spans="1:30" x14ac:dyDescent="0.2">
      <c r="A41" s="21"/>
      <c r="B41" s="17"/>
      <c r="C41" s="17"/>
      <c r="D41" s="17"/>
      <c r="E41" s="17"/>
      <c r="F41" s="18"/>
      <c r="G41" s="21"/>
      <c r="H41" s="17"/>
      <c r="I41" s="17"/>
      <c r="J41" s="17"/>
      <c r="K41" s="17"/>
      <c r="L41" s="18"/>
      <c r="M41" s="21"/>
      <c r="N41" s="17"/>
      <c r="O41" s="17"/>
      <c r="P41" s="17"/>
      <c r="Q41" s="17"/>
      <c r="R41" s="18"/>
      <c r="S41" s="21"/>
      <c r="T41" s="17"/>
      <c r="U41" s="17"/>
      <c r="V41" s="17"/>
      <c r="W41" s="17"/>
      <c r="X41" s="18"/>
      <c r="Y41" s="21"/>
      <c r="Z41" s="17"/>
      <c r="AA41" s="17"/>
      <c r="AB41" s="17"/>
      <c r="AC41" s="17"/>
      <c r="AD41" s="18"/>
    </row>
    <row r="42" spans="1:30" x14ac:dyDescent="0.2">
      <c r="A42" s="21" t="s">
        <v>30</v>
      </c>
      <c r="B42" s="17"/>
      <c r="C42" s="17"/>
      <c r="D42" s="17"/>
      <c r="E42" s="176">
        <f>-Data!G20</f>
        <v>-2137.4146413406093</v>
      </c>
      <c r="F42" s="18"/>
      <c r="G42" s="21" t="s">
        <v>30</v>
      </c>
      <c r="H42" s="17"/>
      <c r="I42" s="17"/>
      <c r="J42" s="17"/>
      <c r="K42" s="176">
        <f>-Data!P20</f>
        <v>-3471.3843485718762</v>
      </c>
      <c r="L42" s="18"/>
      <c r="M42" s="21" t="s">
        <v>30</v>
      </c>
      <c r="N42" s="17"/>
      <c r="O42" s="17"/>
      <c r="P42" s="17"/>
      <c r="Q42" s="28">
        <f>-Data!Z20</f>
        <v>-5192.804542497799</v>
      </c>
      <c r="R42" s="18"/>
      <c r="S42" s="21" t="s">
        <v>30</v>
      </c>
      <c r="T42" s="17"/>
      <c r="U42" s="17"/>
      <c r="V42" s="17"/>
      <c r="W42" s="28"/>
      <c r="X42" s="18"/>
      <c r="Y42" s="21" t="s">
        <v>30</v>
      </c>
      <c r="Z42" s="17"/>
      <c r="AA42" s="17"/>
      <c r="AB42" s="17"/>
      <c r="AC42" s="28"/>
      <c r="AD42" s="18"/>
    </row>
    <row r="43" spans="1:30" x14ac:dyDescent="0.2">
      <c r="A43" s="21"/>
      <c r="B43" s="17"/>
      <c r="C43" s="17"/>
      <c r="D43" s="17"/>
      <c r="E43" s="17"/>
      <c r="F43" s="18"/>
      <c r="G43" s="21"/>
      <c r="H43" s="17"/>
      <c r="I43" s="17"/>
      <c r="J43" s="17"/>
      <c r="K43" s="17"/>
      <c r="L43" s="18"/>
      <c r="M43" s="21"/>
      <c r="N43" s="17"/>
      <c r="O43" s="17"/>
      <c r="P43" s="17"/>
      <c r="Q43" s="17"/>
      <c r="R43" s="18"/>
      <c r="S43" s="21"/>
      <c r="T43" s="17"/>
      <c r="U43" s="17"/>
      <c r="V43" s="17"/>
      <c r="W43" s="17"/>
      <c r="X43" s="18"/>
      <c r="Y43" s="21"/>
      <c r="Z43" s="17"/>
      <c r="AA43" s="17"/>
      <c r="AB43" s="17"/>
      <c r="AC43" s="17"/>
      <c r="AD43" s="18"/>
    </row>
    <row r="44" spans="1:30" x14ac:dyDescent="0.2">
      <c r="A44" s="21" t="s">
        <v>20</v>
      </c>
      <c r="B44" s="17"/>
      <c r="C44" s="17"/>
      <c r="D44" s="17"/>
      <c r="E44" s="28">
        <f>E42-E40</f>
        <v>1444.0121268350608</v>
      </c>
      <c r="F44" s="18"/>
      <c r="G44" s="21" t="s">
        <v>20</v>
      </c>
      <c r="H44" s="17"/>
      <c r="I44" s="17"/>
      <c r="J44" s="17"/>
      <c r="K44" s="28">
        <f>K42-K40</f>
        <v>-175.79628798923659</v>
      </c>
      <c r="L44" s="18"/>
      <c r="M44" s="21" t="s">
        <v>20</v>
      </c>
      <c r="N44" s="17"/>
      <c r="O44" s="17"/>
      <c r="P44" s="17"/>
      <c r="Q44" s="168">
        <v>0</v>
      </c>
      <c r="R44" s="18"/>
      <c r="S44" s="21" t="s">
        <v>20</v>
      </c>
      <c r="T44" s="17"/>
      <c r="U44" s="17"/>
      <c r="V44" s="17"/>
      <c r="W44" s="28" t="e">
        <f>W42-W40</f>
        <v>#DIV/0!</v>
      </c>
      <c r="X44" s="18"/>
      <c r="Y44" s="21" t="s">
        <v>20</v>
      </c>
      <c r="Z44" s="17"/>
      <c r="AA44" s="17"/>
      <c r="AB44" s="17"/>
      <c r="AC44" s="28">
        <f>AC42-AC40</f>
        <v>0</v>
      </c>
      <c r="AD44" s="18"/>
    </row>
    <row r="45" spans="1:30" x14ac:dyDescent="0.2">
      <c r="A45" s="21"/>
      <c r="B45" s="17"/>
      <c r="C45" s="17"/>
      <c r="D45" s="17"/>
      <c r="E45" s="17"/>
      <c r="F45" s="18"/>
      <c r="G45" s="21"/>
      <c r="H45" s="17"/>
      <c r="I45" s="17"/>
      <c r="J45" s="17"/>
      <c r="K45" s="17"/>
      <c r="L45" s="18"/>
      <c r="M45" s="21"/>
      <c r="N45" s="17"/>
      <c r="O45" s="17"/>
      <c r="P45" s="17"/>
      <c r="Q45" s="17"/>
      <c r="R45" s="18"/>
      <c r="S45" s="21"/>
      <c r="T45" s="17"/>
      <c r="U45" s="17"/>
      <c r="V45" s="17"/>
      <c r="W45" s="17"/>
      <c r="X45" s="18"/>
      <c r="Y45" s="21"/>
      <c r="Z45" s="17"/>
      <c r="AA45" s="17"/>
      <c r="AB45" s="17"/>
      <c r="AC45" s="17"/>
      <c r="AD45" s="18"/>
    </row>
    <row r="46" spans="1:30" x14ac:dyDescent="0.2">
      <c r="A46" s="21" t="s">
        <v>78</v>
      </c>
      <c r="B46" s="17"/>
      <c r="C46" s="17"/>
      <c r="D46" s="17"/>
      <c r="E46" s="36">
        <f>+C40</f>
        <v>4817.26</v>
      </c>
      <c r="F46" s="18"/>
      <c r="G46" s="21" t="s">
        <v>78</v>
      </c>
      <c r="H46" s="17"/>
      <c r="I46" s="17"/>
      <c r="J46" s="17"/>
      <c r="K46" s="36">
        <f>+I40</f>
        <v>4728.3600000000006</v>
      </c>
      <c r="L46" s="18"/>
      <c r="M46" s="21" t="s">
        <v>78</v>
      </c>
      <c r="N46" s="17"/>
      <c r="O46" s="17"/>
      <c r="P46" s="17"/>
      <c r="Q46" s="171">
        <v>0</v>
      </c>
      <c r="R46" s="18"/>
      <c r="S46" s="21" t="s">
        <v>21</v>
      </c>
      <c r="T46" s="17"/>
      <c r="U46" s="17"/>
      <c r="V46" s="17"/>
      <c r="W46" s="46">
        <f>U40/10*12</f>
        <v>0</v>
      </c>
      <c r="X46" s="18"/>
      <c r="Y46" s="21" t="s">
        <v>21</v>
      </c>
      <c r="Z46" s="17"/>
      <c r="AA46" s="17"/>
      <c r="AB46" s="17"/>
      <c r="AC46" s="28">
        <f>+AA40</f>
        <v>0</v>
      </c>
      <c r="AD46" s="18"/>
    </row>
    <row r="47" spans="1:30" x14ac:dyDescent="0.2">
      <c r="A47" s="21"/>
      <c r="B47" s="17"/>
      <c r="C47" s="17"/>
      <c r="D47" s="17"/>
      <c r="E47" s="17"/>
      <c r="F47" s="18"/>
      <c r="G47" s="21"/>
      <c r="H47" s="17"/>
      <c r="I47" s="17"/>
      <c r="J47" s="17"/>
      <c r="K47" s="17"/>
      <c r="L47" s="18"/>
      <c r="M47" s="21"/>
      <c r="N47" s="17"/>
      <c r="O47" s="17"/>
      <c r="P47" s="17"/>
      <c r="Q47" s="17"/>
      <c r="R47" s="18"/>
      <c r="S47" s="21"/>
      <c r="T47" s="17"/>
      <c r="U47" s="17"/>
      <c r="V47" s="17"/>
      <c r="W47" s="17"/>
      <c r="X47" s="18"/>
      <c r="Y47" s="21"/>
      <c r="Z47" s="17"/>
      <c r="AA47" s="17"/>
      <c r="AB47" s="17"/>
      <c r="AC47" s="17"/>
      <c r="AD47" s="18"/>
    </row>
    <row r="48" spans="1:30" x14ac:dyDescent="0.2">
      <c r="A48" s="21" t="s">
        <v>22</v>
      </c>
      <c r="B48" s="17"/>
      <c r="C48" s="17"/>
      <c r="D48" s="17"/>
      <c r="E48" s="17"/>
      <c r="F48" s="165">
        <f>(E44/E46)</f>
        <v>0.29975798002081283</v>
      </c>
      <c r="G48" s="21" t="s">
        <v>22</v>
      </c>
      <c r="H48" s="17"/>
      <c r="I48" s="17"/>
      <c r="J48" s="17"/>
      <c r="K48" s="17"/>
      <c r="L48" s="165">
        <f>(K44/K46)</f>
        <v>-3.7179125106640898E-2</v>
      </c>
      <c r="M48" s="21" t="s">
        <v>22</v>
      </c>
      <c r="N48" s="17"/>
      <c r="O48" s="17"/>
      <c r="P48" s="17"/>
      <c r="Q48" s="17"/>
      <c r="R48" s="172">
        <v>0</v>
      </c>
      <c r="S48" s="21" t="s">
        <v>22</v>
      </c>
      <c r="T48" s="17"/>
      <c r="U48" s="17"/>
      <c r="V48" s="17"/>
      <c r="W48" s="17"/>
      <c r="X48" s="47" t="e">
        <f>(W44/W46)</f>
        <v>#DIV/0!</v>
      </c>
      <c r="Y48" s="21" t="s">
        <v>22</v>
      </c>
      <c r="Z48" s="17"/>
      <c r="AA48" s="17"/>
      <c r="AB48" s="17"/>
      <c r="AC48" s="17"/>
      <c r="AD48" s="47" t="e">
        <f>(AC44/AC46)</f>
        <v>#DIV/0!</v>
      </c>
    </row>
    <row r="49" spans="1:30" x14ac:dyDescent="0.2">
      <c r="A49" s="21"/>
      <c r="B49" s="17"/>
      <c r="C49" s="17"/>
      <c r="D49" s="17"/>
      <c r="E49" s="28"/>
      <c r="F49" s="18"/>
      <c r="G49" s="21"/>
      <c r="H49" s="17"/>
      <c r="I49" s="17"/>
      <c r="J49" s="17"/>
      <c r="K49" s="28"/>
      <c r="L49" s="18"/>
      <c r="M49" s="21"/>
      <c r="N49" s="17"/>
      <c r="O49" s="17"/>
      <c r="P49" s="17"/>
      <c r="Q49" s="28"/>
      <c r="R49" s="18"/>
      <c r="S49" s="21"/>
      <c r="T49" s="17"/>
      <c r="U49" s="17"/>
      <c r="V49" s="17"/>
      <c r="W49" s="28"/>
      <c r="X49" s="18"/>
      <c r="Y49" s="21"/>
      <c r="Z49" s="17"/>
      <c r="AA49" s="17"/>
      <c r="AB49" s="17"/>
      <c r="AC49" s="28"/>
      <c r="AD49" s="18"/>
    </row>
    <row r="50" spans="1:30" ht="16.5" x14ac:dyDescent="0.35">
      <c r="A50" s="24" t="str">
        <f>A23</f>
        <v>Projected Revenue September 2022 -August 2023</v>
      </c>
      <c r="B50" s="54"/>
      <c r="C50" s="17"/>
      <c r="D50" s="17"/>
      <c r="E50" s="156">
        <f>E42</f>
        <v>-2137.4146413406093</v>
      </c>
      <c r="F50" s="18"/>
      <c r="G50" s="24" t="str">
        <f>G23</f>
        <v>Projected Revenue October 2021-September 2022</v>
      </c>
      <c r="H50" s="54"/>
      <c r="I50" s="17"/>
      <c r="J50" s="17"/>
      <c r="K50" s="156">
        <f>K42</f>
        <v>-3471.3843485718762</v>
      </c>
      <c r="L50" s="18"/>
      <c r="M50" s="24" t="str">
        <f>M23</f>
        <v>Projected Revenue October 2020-September 2021</v>
      </c>
      <c r="N50" s="54"/>
      <c r="O50" s="17"/>
      <c r="P50" s="17"/>
      <c r="Q50" s="156">
        <f>Q42</f>
        <v>-5192.804542497799</v>
      </c>
      <c r="R50" s="18"/>
      <c r="S50" s="24" t="str">
        <f>S23</f>
        <v>Projected Revenue October 2019-September 2020</v>
      </c>
      <c r="T50" s="25"/>
      <c r="U50" s="17"/>
      <c r="V50" s="17"/>
      <c r="W50" s="34">
        <f>W42</f>
        <v>0</v>
      </c>
      <c r="X50" s="18"/>
      <c r="Y50" s="24" t="str">
        <f>Y23</f>
        <v>Projected Revenue October 2018-September 2019</v>
      </c>
      <c r="Z50" s="25"/>
      <c r="AA50" s="17"/>
      <c r="AB50" s="17"/>
      <c r="AC50" s="34">
        <f>+AC42</f>
        <v>0</v>
      </c>
      <c r="AD50" s="18"/>
    </row>
    <row r="51" spans="1:30" x14ac:dyDescent="0.2">
      <c r="A51" s="21" t="s">
        <v>78</v>
      </c>
      <c r="B51" s="17"/>
      <c r="C51" s="17"/>
      <c r="D51" s="17"/>
      <c r="E51" s="28">
        <f>C40</f>
        <v>4817.26</v>
      </c>
      <c r="F51" s="18"/>
      <c r="G51" s="21" t="s">
        <v>78</v>
      </c>
      <c r="H51" s="17"/>
      <c r="I51" s="17"/>
      <c r="J51" s="17"/>
      <c r="K51" s="28">
        <f>I40</f>
        <v>4728.3600000000006</v>
      </c>
      <c r="L51" s="18"/>
      <c r="M51" s="21" t="s">
        <v>78</v>
      </c>
      <c r="N51" s="17"/>
      <c r="O51" s="17"/>
      <c r="P51" s="17"/>
      <c r="Q51" s="28">
        <f>O40</f>
        <v>5587.7999999999993</v>
      </c>
      <c r="R51" s="18"/>
      <c r="S51" s="21" t="s">
        <v>21</v>
      </c>
      <c r="T51" s="17"/>
      <c r="U51" s="17"/>
      <c r="V51" s="17"/>
      <c r="W51" s="28">
        <f>U40</f>
        <v>0</v>
      </c>
      <c r="X51" s="18"/>
      <c r="Y51" s="21" t="s">
        <v>21</v>
      </c>
      <c r="Z51" s="17"/>
      <c r="AA51" s="17"/>
      <c r="AB51" s="17"/>
      <c r="AC51" s="28">
        <f>AC46</f>
        <v>0</v>
      </c>
      <c r="AD51" s="18"/>
    </row>
    <row r="52" spans="1:30" ht="15" x14ac:dyDescent="0.35">
      <c r="A52" s="21" t="s">
        <v>24</v>
      </c>
      <c r="B52" s="17"/>
      <c r="C52" s="17"/>
      <c r="D52" s="17"/>
      <c r="E52" s="17"/>
      <c r="F52" s="163">
        <f>(E50/E51)</f>
        <v>-0.44369924839859365</v>
      </c>
      <c r="G52" s="21" t="s">
        <v>24</v>
      </c>
      <c r="H52" s="17"/>
      <c r="I52" s="17"/>
      <c r="J52" s="17"/>
      <c r="K52" s="17"/>
      <c r="L52" s="163">
        <f>(K50/K51)</f>
        <v>-0.73416244714274626</v>
      </c>
      <c r="M52" s="21" t="s">
        <v>24</v>
      </c>
      <c r="N52" s="17"/>
      <c r="O52" s="17"/>
      <c r="P52" s="17"/>
      <c r="Q52" s="17"/>
      <c r="R52" s="163">
        <f>(Q50/Q51)</f>
        <v>-0.92931109604814055</v>
      </c>
      <c r="S52" s="21" t="s">
        <v>24</v>
      </c>
      <c r="T52" s="17"/>
      <c r="U52" s="17"/>
      <c r="V52" s="17"/>
      <c r="W52" s="17"/>
      <c r="X52" s="37" t="e">
        <f>(W50/W51)/0.5*0.72395</f>
        <v>#DIV/0!</v>
      </c>
      <c r="Y52" s="21" t="s">
        <v>24</v>
      </c>
      <c r="Z52" s="17"/>
      <c r="AA52" s="17"/>
      <c r="AB52" s="17"/>
      <c r="AC52" s="17"/>
      <c r="AD52" s="37" t="e">
        <f>(AC50/AC51)</f>
        <v>#DIV/0!</v>
      </c>
    </row>
    <row r="53" spans="1:30" x14ac:dyDescent="0.2">
      <c r="A53" s="21"/>
      <c r="B53" s="17"/>
      <c r="C53" s="17"/>
      <c r="D53" s="17"/>
      <c r="E53" s="17"/>
      <c r="F53" s="18"/>
      <c r="G53" s="21"/>
      <c r="H53" s="17"/>
      <c r="I53" s="17"/>
      <c r="J53" s="17"/>
      <c r="K53" s="17"/>
      <c r="L53" s="18"/>
      <c r="M53" s="21"/>
      <c r="N53" s="17"/>
      <c r="O53" s="17"/>
      <c r="P53" s="17"/>
      <c r="Q53" s="17"/>
      <c r="R53" s="18"/>
      <c r="S53" s="21"/>
      <c r="T53" s="17"/>
      <c r="U53" s="17"/>
      <c r="V53" s="17"/>
      <c r="W53" s="17"/>
      <c r="X53" s="18"/>
      <c r="Y53" s="21"/>
      <c r="Z53" s="17"/>
      <c r="AA53" s="17"/>
      <c r="AB53" s="17"/>
      <c r="AC53" s="17"/>
      <c r="AD53" s="18"/>
    </row>
    <row r="54" spans="1:30" ht="18.75" thickBot="1" x14ac:dyDescent="0.4">
      <c r="A54" s="14" t="s">
        <v>31</v>
      </c>
      <c r="B54" s="15"/>
      <c r="C54" s="17"/>
      <c r="D54" s="17"/>
      <c r="E54" s="17"/>
      <c r="F54" s="166">
        <f>+F52+F48</f>
        <v>-0.14394126837778082</v>
      </c>
      <c r="G54" s="14" t="s">
        <v>31</v>
      </c>
      <c r="H54" s="15"/>
      <c r="I54" s="17"/>
      <c r="J54" s="17"/>
      <c r="K54" s="17"/>
      <c r="L54" s="166">
        <f>+L52+L48</f>
        <v>-0.77134157224938715</v>
      </c>
      <c r="M54" s="14" t="s">
        <v>31</v>
      </c>
      <c r="N54" s="15"/>
      <c r="O54" s="17"/>
      <c r="P54" s="17"/>
      <c r="Q54" s="17"/>
      <c r="R54" s="166">
        <f>+R52+R48</f>
        <v>-0.92931109604814055</v>
      </c>
      <c r="S54" s="14" t="s">
        <v>31</v>
      </c>
      <c r="T54" s="15"/>
      <c r="U54" s="17"/>
      <c r="V54" s="17"/>
      <c r="W54" s="17"/>
      <c r="X54" s="38" t="e">
        <f>+X52+X48</f>
        <v>#DIV/0!</v>
      </c>
      <c r="Y54" s="14" t="s">
        <v>31</v>
      </c>
      <c r="Z54" s="15"/>
      <c r="AA54" s="17"/>
      <c r="AB54" s="17"/>
      <c r="AC54" s="17"/>
      <c r="AD54" s="38" t="e">
        <f>+AD52+AD48</f>
        <v>#DIV/0!</v>
      </c>
    </row>
    <row r="55" spans="1:30" ht="18.75" thickTop="1" x14ac:dyDescent="0.35">
      <c r="A55" s="27"/>
      <c r="B55" s="15"/>
      <c r="C55" s="17"/>
      <c r="D55" s="17"/>
      <c r="E55" s="17"/>
      <c r="F55" s="48"/>
      <c r="G55" s="27"/>
      <c r="H55" s="15"/>
      <c r="I55" s="17"/>
      <c r="J55" s="17"/>
      <c r="K55" s="17"/>
      <c r="L55" s="48"/>
      <c r="M55" s="27"/>
      <c r="N55" s="15"/>
      <c r="O55" s="17"/>
      <c r="P55" s="17"/>
      <c r="Q55" s="17"/>
      <c r="R55" s="48"/>
      <c r="S55" s="27" t="s">
        <v>26</v>
      </c>
      <c r="T55" s="15"/>
      <c r="U55" s="17"/>
      <c r="V55" s="17"/>
      <c r="W55" s="17"/>
      <c r="X55" s="48"/>
      <c r="Y55" s="27" t="s">
        <v>26</v>
      </c>
      <c r="Z55" s="15"/>
      <c r="AA55" s="17"/>
      <c r="AB55" s="40"/>
      <c r="AC55" s="17"/>
      <c r="AD55" s="48">
        <v>0</v>
      </c>
    </row>
    <row r="56" spans="1:30" x14ac:dyDescent="0.2">
      <c r="A56" s="21"/>
      <c r="B56" s="17"/>
      <c r="C56" s="17"/>
      <c r="D56" s="17"/>
      <c r="E56" s="17"/>
      <c r="F56" s="18"/>
      <c r="G56" s="21"/>
      <c r="H56" s="17"/>
      <c r="I56" s="17"/>
      <c r="J56" s="17"/>
      <c r="K56" s="17"/>
      <c r="L56" s="18"/>
      <c r="M56" s="21"/>
      <c r="N56" s="17"/>
      <c r="O56" s="17"/>
      <c r="P56" s="17"/>
      <c r="Q56" s="17"/>
      <c r="R56" s="18"/>
      <c r="S56" s="21"/>
      <c r="T56" s="17"/>
      <c r="U56" s="17"/>
      <c r="V56" s="17"/>
      <c r="W56" s="17"/>
      <c r="X56" s="18"/>
      <c r="Y56" s="21"/>
      <c r="Z56" s="17"/>
      <c r="AA56" s="17"/>
      <c r="AB56" s="17"/>
      <c r="AC56" s="17"/>
      <c r="AD56" s="18"/>
    </row>
    <row r="57" spans="1:30" ht="18.75" thickBot="1" x14ac:dyDescent="0.4">
      <c r="A57" s="49"/>
      <c r="B57" s="51"/>
      <c r="C57" s="51"/>
      <c r="D57" s="51"/>
      <c r="E57" s="51"/>
      <c r="F57" s="52"/>
      <c r="G57" s="49"/>
      <c r="H57" s="51"/>
      <c r="I57" s="51"/>
      <c r="J57" s="51"/>
      <c r="K57" s="51"/>
      <c r="L57" s="52"/>
      <c r="M57" s="49"/>
      <c r="N57" s="51"/>
      <c r="O57" s="51"/>
      <c r="P57" s="51"/>
      <c r="Q57" s="51"/>
      <c r="R57" s="52"/>
      <c r="S57" s="49" t="s">
        <v>27</v>
      </c>
      <c r="T57" s="51"/>
      <c r="U57" s="51"/>
      <c r="V57" s="51"/>
      <c r="W57" s="51"/>
      <c r="X57" s="52" t="e">
        <f>SUM(X54:X56)</f>
        <v>#DIV/0!</v>
      </c>
      <c r="Y57" s="49" t="s">
        <v>27</v>
      </c>
      <c r="Z57" s="50"/>
      <c r="AA57" s="50"/>
      <c r="AB57" s="53"/>
      <c r="AC57" s="50"/>
      <c r="AD57" s="52" t="e">
        <f>SUM(AD54:AD56)</f>
        <v>#DIV/0!</v>
      </c>
    </row>
    <row r="58" spans="1:30" ht="19.5" x14ac:dyDescent="0.4">
      <c r="A58" s="182" t="s">
        <v>28</v>
      </c>
      <c r="B58" s="183"/>
      <c r="C58" s="183"/>
      <c r="D58" s="183"/>
      <c r="E58" s="183"/>
      <c r="F58" s="184"/>
      <c r="G58" s="182" t="s">
        <v>28</v>
      </c>
      <c r="H58" s="183"/>
      <c r="I58" s="183"/>
      <c r="J58" s="183"/>
      <c r="K58" s="183"/>
      <c r="L58" s="184"/>
      <c r="M58" s="182" t="s">
        <v>28</v>
      </c>
      <c r="N58" s="183"/>
      <c r="O58" s="183"/>
      <c r="P58" s="183"/>
      <c r="Q58" s="183"/>
      <c r="R58" s="184"/>
    </row>
    <row r="59" spans="1:30" x14ac:dyDescent="0.2">
      <c r="A59" s="21"/>
      <c r="B59" s="17"/>
      <c r="C59" s="17"/>
      <c r="D59" s="17"/>
      <c r="E59" s="17"/>
      <c r="F59" s="18"/>
      <c r="G59" s="21"/>
      <c r="H59" s="17"/>
      <c r="I59" s="17"/>
      <c r="J59" s="17"/>
      <c r="K59" s="17"/>
      <c r="L59" s="18"/>
      <c r="M59" s="21"/>
      <c r="N59" s="17"/>
      <c r="O59" s="17"/>
      <c r="P59" s="17"/>
      <c r="Q59" s="17"/>
      <c r="R59" s="18"/>
    </row>
    <row r="60" spans="1:30" x14ac:dyDescent="0.2">
      <c r="A60" s="21"/>
      <c r="B60" s="17"/>
      <c r="C60" s="22"/>
      <c r="D60" s="22" t="s">
        <v>8</v>
      </c>
      <c r="E60" s="22" t="s">
        <v>9</v>
      </c>
      <c r="F60" s="18"/>
      <c r="G60" s="21"/>
      <c r="H60" s="17"/>
      <c r="I60" s="22"/>
      <c r="J60" s="22" t="s">
        <v>8</v>
      </c>
      <c r="K60" s="22" t="s">
        <v>9</v>
      </c>
      <c r="L60" s="18"/>
      <c r="M60" s="21"/>
      <c r="N60" s="17"/>
      <c r="O60" s="22"/>
      <c r="P60" s="22" t="s">
        <v>8</v>
      </c>
      <c r="Q60" s="22" t="s">
        <v>9</v>
      </c>
      <c r="R60" s="18"/>
    </row>
    <row r="61" spans="1:30" x14ac:dyDescent="0.2">
      <c r="A61" s="21"/>
      <c r="B61" s="17"/>
      <c r="C61" s="45" t="s">
        <v>79</v>
      </c>
      <c r="D61" s="45" t="s">
        <v>11</v>
      </c>
      <c r="E61" s="45" t="s">
        <v>12</v>
      </c>
      <c r="F61" s="18"/>
      <c r="G61" s="21"/>
      <c r="H61" s="17"/>
      <c r="I61" s="45" t="s">
        <v>79</v>
      </c>
      <c r="J61" s="45" t="s">
        <v>11</v>
      </c>
      <c r="K61" s="45" t="s">
        <v>12</v>
      </c>
      <c r="L61" s="18"/>
      <c r="M61" s="21"/>
      <c r="N61" s="17"/>
      <c r="O61" s="45" t="s">
        <v>79</v>
      </c>
      <c r="P61" s="45" t="s">
        <v>11</v>
      </c>
      <c r="Q61" s="45" t="s">
        <v>12</v>
      </c>
      <c r="R61" s="18"/>
    </row>
    <row r="62" spans="1:30" ht="16.5" x14ac:dyDescent="0.35">
      <c r="A62" s="24" t="str">
        <f>+A37</f>
        <v>Projected Revenue July 2021-June 2022</v>
      </c>
      <c r="B62" s="54"/>
      <c r="C62" s="26"/>
      <c r="D62" s="26"/>
      <c r="E62" s="26"/>
      <c r="F62" s="18"/>
      <c r="G62" s="24" t="str">
        <f>+G37</f>
        <v>Projected Revenue July 2020-June 2021</v>
      </c>
      <c r="H62" s="54"/>
      <c r="I62" s="26"/>
      <c r="J62" s="26"/>
      <c r="K62" s="26"/>
      <c r="L62" s="18"/>
      <c r="M62" s="24" t="str">
        <f>+M37</f>
        <v>Projected Revenue July 2019-June 2020</v>
      </c>
      <c r="N62" s="54"/>
      <c r="O62" s="26"/>
      <c r="P62" s="26"/>
      <c r="Q62" s="26"/>
      <c r="R62" s="18"/>
    </row>
    <row r="63" spans="1:30" x14ac:dyDescent="0.2">
      <c r="A63" s="21" t="str">
        <f>+A38</f>
        <v>Jul-Sep projected value without adjustment factor</v>
      </c>
      <c r="B63" s="31"/>
      <c r="C63" s="173">
        <f>+(+Customers!D14+Customers!D15)*3</f>
        <v>555.35249999999996</v>
      </c>
      <c r="D63" s="29">
        <f>+D38</f>
        <v>-0.77134157224938715</v>
      </c>
      <c r="E63" s="28">
        <f>C63*D63</f>
        <v>-428.36647050262775</v>
      </c>
      <c r="F63" s="18"/>
      <c r="G63" s="21" t="str">
        <f>+G38</f>
        <v>Jul-Sep projected value without adjustment factor</v>
      </c>
      <c r="H63" s="31"/>
      <c r="I63" s="173">
        <f>+(+Customers!Z14+Customers!Z15)*3</f>
        <v>545.58000000000004</v>
      </c>
      <c r="J63" s="29">
        <f>+J38</f>
        <v>0</v>
      </c>
      <c r="K63" s="28">
        <f>I63*J63</f>
        <v>0</v>
      </c>
      <c r="L63" s="18"/>
      <c r="M63" s="21" t="str">
        <f>+M38</f>
        <v>Jul-Sep projected value without adjustment factor</v>
      </c>
      <c r="N63" s="31"/>
      <c r="O63" s="28">
        <f>+(+Customers!AL14+Customers!AL15)*3</f>
        <v>155.94</v>
      </c>
      <c r="P63" s="29">
        <f>+P38</f>
        <v>0</v>
      </c>
      <c r="Q63" s="28">
        <f>O63*P63</f>
        <v>0</v>
      </c>
      <c r="R63" s="18"/>
    </row>
    <row r="64" spans="1:30" ht="15" x14ac:dyDescent="0.35">
      <c r="A64" s="30" t="str">
        <f>+A39</f>
        <v>Oct-Jun projected value without adjustment factor</v>
      </c>
      <c r="B64" s="31"/>
      <c r="C64" s="174">
        <f>+(+Customers!D14+Customers!D15)*9</f>
        <v>1666.0575000000001</v>
      </c>
      <c r="D64" s="175">
        <f>L77</f>
        <v>-2.6991266439071553</v>
      </c>
      <c r="E64" s="32">
        <f>C64*D64</f>
        <v>-4496.9001885313455</v>
      </c>
      <c r="F64" s="18"/>
      <c r="G64" s="30" t="str">
        <f>+G39</f>
        <v>Oct-Jun projected value without adjustment factor</v>
      </c>
      <c r="H64" s="31"/>
      <c r="I64" s="174">
        <f>+(+Customers!Z14+Customers!Z15)*9</f>
        <v>1636.7400000000002</v>
      </c>
      <c r="J64" s="175">
        <f>R77</f>
        <v>-3.4165849119416931</v>
      </c>
      <c r="K64" s="32">
        <f>I64*J64</f>
        <v>-5592.0611887714476</v>
      </c>
      <c r="L64" s="18"/>
      <c r="M64" s="30" t="str">
        <f>+M39</f>
        <v>Oct-Jun projected value without adjustment factor</v>
      </c>
      <c r="N64" s="31"/>
      <c r="O64" s="32">
        <f>+(+Customers!AL14+Customers!AL15)*9</f>
        <v>467.82</v>
      </c>
      <c r="P64" s="29">
        <f>+P39</f>
        <v>0</v>
      </c>
      <c r="Q64" s="32">
        <f>O64*P64</f>
        <v>0</v>
      </c>
      <c r="R64" s="18"/>
    </row>
    <row r="65" spans="1:18" x14ac:dyDescent="0.2">
      <c r="A65" s="21" t="s">
        <v>9</v>
      </c>
      <c r="B65" s="17"/>
      <c r="C65" s="173">
        <f>SUM(C63:C64)</f>
        <v>2221.41</v>
      </c>
      <c r="D65" s="17"/>
      <c r="E65" s="28">
        <f>+E64+E63</f>
        <v>-4925.2666590339732</v>
      </c>
      <c r="F65" s="18"/>
      <c r="G65" s="21" t="s">
        <v>9</v>
      </c>
      <c r="H65" s="17"/>
      <c r="I65" s="173">
        <f>SUM(I63:I64)</f>
        <v>2182.3200000000002</v>
      </c>
      <c r="J65" s="17"/>
      <c r="K65" s="28">
        <f>+K64+K63</f>
        <v>-5592.0611887714476</v>
      </c>
      <c r="L65" s="18"/>
      <c r="M65" s="21" t="s">
        <v>9</v>
      </c>
      <c r="N65" s="17"/>
      <c r="O65" s="28">
        <f>SUM(O63:O64)</f>
        <v>623.76</v>
      </c>
      <c r="P65" s="17"/>
      <c r="Q65" s="28">
        <f>+Q64+Q63</f>
        <v>0</v>
      </c>
      <c r="R65" s="18"/>
    </row>
    <row r="66" spans="1:18" x14ac:dyDescent="0.2">
      <c r="A66" s="21"/>
      <c r="B66" s="17"/>
      <c r="C66" s="17"/>
      <c r="D66" s="17"/>
      <c r="E66" s="17"/>
      <c r="F66" s="18"/>
      <c r="G66" s="21"/>
      <c r="H66" s="17"/>
      <c r="I66" s="17"/>
      <c r="J66" s="17"/>
      <c r="K66" s="17"/>
      <c r="L66" s="18"/>
      <c r="M66" s="21"/>
      <c r="N66" s="17"/>
      <c r="O66" s="17"/>
      <c r="P66" s="17"/>
      <c r="Q66" s="17"/>
      <c r="R66" s="18"/>
    </row>
    <row r="67" spans="1:18" x14ac:dyDescent="0.2">
      <c r="A67" s="21" t="s">
        <v>30</v>
      </c>
      <c r="B67" s="17"/>
      <c r="C67" s="17"/>
      <c r="D67" s="17"/>
      <c r="E67" s="173">
        <f>-Data!H20</f>
        <v>-3623.6689242100001</v>
      </c>
      <c r="F67" s="18"/>
      <c r="G67" s="21" t="s">
        <v>30</v>
      </c>
      <c r="H67" s="17"/>
      <c r="I67" s="17"/>
      <c r="J67" s="17"/>
      <c r="K67" s="173">
        <f>-Data!Q20</f>
        <v>-5890.3580575314636</v>
      </c>
      <c r="L67" s="18"/>
      <c r="M67" s="21" t="s">
        <v>30</v>
      </c>
      <c r="N67" s="17"/>
      <c r="O67" s="17"/>
      <c r="P67" s="17"/>
      <c r="Q67" s="155">
        <f>-Data!AA20</f>
        <v>-2131.1290046727504</v>
      </c>
      <c r="R67" s="18"/>
    </row>
    <row r="68" spans="1:18" x14ac:dyDescent="0.2">
      <c r="A68" s="21"/>
      <c r="B68" s="17"/>
      <c r="C68" s="17"/>
      <c r="D68" s="17"/>
      <c r="E68" s="17"/>
      <c r="F68" s="18"/>
      <c r="G68" s="21"/>
      <c r="H68" s="17"/>
      <c r="I68" s="17"/>
      <c r="J68" s="17"/>
      <c r="K68" s="17"/>
      <c r="L68" s="18"/>
      <c r="M68" s="21"/>
      <c r="N68" s="17"/>
      <c r="O68" s="17"/>
      <c r="P68" s="17"/>
      <c r="Q68" s="17"/>
      <c r="R68" s="18"/>
    </row>
    <row r="69" spans="1:18" x14ac:dyDescent="0.2">
      <c r="A69" s="21" t="s">
        <v>20</v>
      </c>
      <c r="B69" s="17"/>
      <c r="C69" s="17"/>
      <c r="D69" s="17"/>
      <c r="E69" s="28">
        <f>E67-E65</f>
        <v>1301.597734823973</v>
      </c>
      <c r="F69" s="18"/>
      <c r="G69" s="21" t="s">
        <v>20</v>
      </c>
      <c r="H69" s="17"/>
      <c r="I69" s="17"/>
      <c r="J69" s="17"/>
      <c r="K69" s="28">
        <f>K67-K65</f>
        <v>-298.29686876001597</v>
      </c>
      <c r="L69" s="18"/>
      <c r="M69" s="21" t="s">
        <v>20</v>
      </c>
      <c r="N69" s="17"/>
      <c r="O69" s="17"/>
      <c r="P69" s="17"/>
      <c r="Q69" s="168">
        <v>0</v>
      </c>
      <c r="R69" s="18"/>
    </row>
    <row r="70" spans="1:18" x14ac:dyDescent="0.2">
      <c r="A70" s="21"/>
      <c r="B70" s="17"/>
      <c r="C70" s="17"/>
      <c r="D70" s="17"/>
      <c r="E70" s="17"/>
      <c r="F70" s="18"/>
      <c r="G70" s="21"/>
      <c r="H70" s="17"/>
      <c r="I70" s="17"/>
      <c r="J70" s="17"/>
      <c r="K70" s="17"/>
      <c r="L70" s="18"/>
      <c r="M70" s="21"/>
      <c r="N70" s="17"/>
      <c r="O70" s="17"/>
      <c r="P70" s="17"/>
      <c r="Q70" s="17"/>
      <c r="R70" s="18"/>
    </row>
    <row r="71" spans="1:18" x14ac:dyDescent="0.2">
      <c r="A71" s="21" t="s">
        <v>78</v>
      </c>
      <c r="B71" s="17"/>
      <c r="C71" s="17"/>
      <c r="D71" s="17"/>
      <c r="E71" s="36">
        <f>+C65</f>
        <v>2221.41</v>
      </c>
      <c r="F71" s="18"/>
      <c r="G71" s="21" t="s">
        <v>78</v>
      </c>
      <c r="H71" s="17"/>
      <c r="I71" s="17"/>
      <c r="J71" s="17"/>
      <c r="K71" s="36">
        <f>+I65</f>
        <v>2182.3200000000002</v>
      </c>
      <c r="L71" s="18"/>
      <c r="M71" s="21" t="s">
        <v>78</v>
      </c>
      <c r="N71" s="17"/>
      <c r="O71" s="17"/>
      <c r="P71" s="17"/>
      <c r="Q71" s="171">
        <v>0</v>
      </c>
      <c r="R71" s="18"/>
    </row>
    <row r="72" spans="1:18" x14ac:dyDescent="0.2">
      <c r="A72" s="21"/>
      <c r="B72" s="17"/>
      <c r="C72" s="17"/>
      <c r="D72" s="17"/>
      <c r="E72" s="17"/>
      <c r="F72" s="18"/>
      <c r="G72" s="21"/>
      <c r="H72" s="17"/>
      <c r="I72" s="17"/>
      <c r="J72" s="17"/>
      <c r="K72" s="17"/>
      <c r="L72" s="18"/>
      <c r="M72" s="21"/>
      <c r="N72" s="17"/>
      <c r="O72" s="17"/>
      <c r="P72" s="17"/>
      <c r="Q72" s="17"/>
      <c r="R72" s="18"/>
    </row>
    <row r="73" spans="1:18" x14ac:dyDescent="0.2">
      <c r="A73" s="21" t="s">
        <v>22</v>
      </c>
      <c r="B73" s="17"/>
      <c r="C73" s="17"/>
      <c r="D73" s="17"/>
      <c r="E73" s="17"/>
      <c r="F73" s="165">
        <f>(E69/E71)</f>
        <v>0.58593313923317758</v>
      </c>
      <c r="G73" s="21" t="s">
        <v>22</v>
      </c>
      <c r="H73" s="17"/>
      <c r="I73" s="17"/>
      <c r="J73" s="17"/>
      <c r="K73" s="17"/>
      <c r="L73" s="165">
        <f>(K69/K71)</f>
        <v>-0.13668795995088528</v>
      </c>
      <c r="M73" s="21" t="s">
        <v>22</v>
      </c>
      <c r="N73" s="17"/>
      <c r="O73" s="17"/>
      <c r="P73" s="17"/>
      <c r="Q73" s="17"/>
      <c r="R73" s="172">
        <v>0</v>
      </c>
    </row>
    <row r="74" spans="1:18" x14ac:dyDescent="0.2">
      <c r="A74" s="21"/>
      <c r="B74" s="17"/>
      <c r="C74" s="17"/>
      <c r="D74" s="17"/>
      <c r="E74" s="28"/>
      <c r="F74" s="18"/>
      <c r="G74" s="21"/>
      <c r="H74" s="17"/>
      <c r="I74" s="17"/>
      <c r="J74" s="17"/>
      <c r="K74" s="28"/>
      <c r="L74" s="18"/>
      <c r="M74" s="21"/>
      <c r="N74" s="17"/>
      <c r="O74" s="17"/>
      <c r="P74" s="17"/>
      <c r="Q74" s="28"/>
      <c r="R74" s="18"/>
    </row>
    <row r="75" spans="1:18" ht="16.5" x14ac:dyDescent="0.35">
      <c r="A75" s="24" t="str">
        <f>+A50</f>
        <v>Projected Revenue September 2022 -August 2023</v>
      </c>
      <c r="B75" s="54"/>
      <c r="C75" s="17"/>
      <c r="D75" s="17"/>
      <c r="E75" s="34">
        <f>E67</f>
        <v>-3623.6689242100001</v>
      </c>
      <c r="F75" s="18"/>
      <c r="G75" s="24" t="str">
        <f>+G50</f>
        <v>Projected Revenue October 2021-September 2022</v>
      </c>
      <c r="H75" s="54"/>
      <c r="I75" s="17"/>
      <c r="J75" s="17"/>
      <c r="K75" s="34">
        <f>K67</f>
        <v>-5890.3580575314636</v>
      </c>
      <c r="L75" s="18"/>
      <c r="M75" s="24" t="str">
        <f>+M50</f>
        <v>Projected Revenue October 2020-September 2021</v>
      </c>
      <c r="N75" s="54"/>
      <c r="O75" s="17"/>
      <c r="P75" s="17"/>
      <c r="Q75" s="34">
        <f>Q67</f>
        <v>-2131.1290046727504</v>
      </c>
      <c r="R75" s="18"/>
    </row>
    <row r="76" spans="1:18" x14ac:dyDescent="0.2">
      <c r="A76" s="21" t="s">
        <v>78</v>
      </c>
      <c r="B76" s="17"/>
      <c r="C76" s="17"/>
      <c r="D76" s="17"/>
      <c r="E76" s="28">
        <f>C65</f>
        <v>2221.41</v>
      </c>
      <c r="F76" s="18"/>
      <c r="G76" s="21" t="s">
        <v>78</v>
      </c>
      <c r="H76" s="17"/>
      <c r="I76" s="17"/>
      <c r="J76" s="17"/>
      <c r="K76" s="28">
        <f>I65</f>
        <v>2182.3200000000002</v>
      </c>
      <c r="L76" s="18"/>
      <c r="M76" s="21" t="s">
        <v>78</v>
      </c>
      <c r="N76" s="17"/>
      <c r="O76" s="17"/>
      <c r="P76" s="17"/>
      <c r="Q76" s="28">
        <f>O65</f>
        <v>623.76</v>
      </c>
      <c r="R76" s="18"/>
    </row>
    <row r="77" spans="1:18" ht="15" x14ac:dyDescent="0.35">
      <c r="A77" s="21" t="s">
        <v>24</v>
      </c>
      <c r="B77" s="17"/>
      <c r="C77" s="17"/>
      <c r="D77" s="17"/>
      <c r="E77" s="17"/>
      <c r="F77" s="163">
        <f>(E75/E76)</f>
        <v>-1.6312472367595359</v>
      </c>
      <c r="G77" s="21" t="s">
        <v>24</v>
      </c>
      <c r="H77" s="17"/>
      <c r="I77" s="17"/>
      <c r="J77" s="17"/>
      <c r="K77" s="17"/>
      <c r="L77" s="163">
        <f>(K75/K76)</f>
        <v>-2.6991266439071553</v>
      </c>
      <c r="M77" s="21" t="s">
        <v>24</v>
      </c>
      <c r="N77" s="17"/>
      <c r="O77" s="17"/>
      <c r="P77" s="17"/>
      <c r="Q77" s="17"/>
      <c r="R77" s="163">
        <f>(Q75/Q76)</f>
        <v>-3.4165849119416931</v>
      </c>
    </row>
    <row r="78" spans="1:18" x14ac:dyDescent="0.2">
      <c r="A78" s="21"/>
      <c r="B78" s="17"/>
      <c r="C78" s="17"/>
      <c r="D78" s="17"/>
      <c r="E78" s="17"/>
      <c r="F78" s="18"/>
      <c r="G78" s="21"/>
      <c r="H78" s="17"/>
      <c r="I78" s="17"/>
      <c r="J78" s="17"/>
      <c r="K78" s="17"/>
      <c r="L78" s="18"/>
      <c r="M78" s="21"/>
      <c r="N78" s="17"/>
      <c r="O78" s="17"/>
      <c r="P78" s="17"/>
      <c r="Q78" s="17"/>
      <c r="R78" s="18"/>
    </row>
    <row r="79" spans="1:18" ht="18.75" thickBot="1" x14ac:dyDescent="0.4">
      <c r="A79" s="14" t="s">
        <v>31</v>
      </c>
      <c r="B79" s="15"/>
      <c r="C79" s="17"/>
      <c r="D79" s="17"/>
      <c r="E79" s="17"/>
      <c r="F79" s="166">
        <f>+F77+F73</f>
        <v>-1.0453140975263584</v>
      </c>
      <c r="G79" s="14" t="s">
        <v>31</v>
      </c>
      <c r="H79" s="15"/>
      <c r="I79" s="17"/>
      <c r="J79" s="17"/>
      <c r="K79" s="17"/>
      <c r="L79" s="166">
        <f>+L77+L73</f>
        <v>-2.8358146038580405</v>
      </c>
      <c r="M79" s="14" t="s">
        <v>31</v>
      </c>
      <c r="N79" s="15"/>
      <c r="O79" s="17"/>
      <c r="P79" s="17"/>
      <c r="Q79" s="17"/>
      <c r="R79" s="166">
        <f>+R77+R73</f>
        <v>-3.4165849119416931</v>
      </c>
    </row>
    <row r="80" spans="1:18" ht="18.75" thickTop="1" x14ac:dyDescent="0.35">
      <c r="A80" s="27"/>
      <c r="B80" s="15"/>
      <c r="C80" s="17"/>
      <c r="D80" s="17"/>
      <c r="E80" s="17"/>
      <c r="F80" s="48"/>
      <c r="G80" s="27"/>
      <c r="H80" s="15"/>
      <c r="I80" s="17"/>
      <c r="J80" s="17"/>
      <c r="K80" s="17"/>
      <c r="L80" s="48"/>
      <c r="M80" s="27"/>
      <c r="N80" s="15"/>
      <c r="O80" s="17"/>
      <c r="P80" s="17"/>
      <c r="Q80" s="17"/>
      <c r="R80" s="48"/>
    </row>
    <row r="81" spans="1:18" x14ac:dyDescent="0.2">
      <c r="A81" s="21"/>
      <c r="B81" s="17"/>
      <c r="C81" s="17"/>
      <c r="D81" s="17"/>
      <c r="E81" s="17"/>
      <c r="F81" s="18"/>
      <c r="G81" s="21"/>
      <c r="H81" s="17"/>
      <c r="I81" s="17"/>
      <c r="J81" s="17"/>
      <c r="K81" s="17"/>
      <c r="L81" s="18"/>
      <c r="M81" s="21"/>
      <c r="N81" s="17"/>
      <c r="O81" s="17"/>
      <c r="P81" s="17"/>
      <c r="Q81" s="17"/>
      <c r="R81" s="18"/>
    </row>
    <row r="82" spans="1:18" ht="18.75" thickBot="1" x14ac:dyDescent="0.4">
      <c r="A82" s="49"/>
      <c r="B82" s="51"/>
      <c r="C82" s="51"/>
      <c r="D82" s="51"/>
      <c r="E82" s="51"/>
      <c r="F82" s="52"/>
      <c r="G82" s="49"/>
      <c r="H82" s="51"/>
      <c r="I82" s="51"/>
      <c r="J82" s="51"/>
      <c r="K82" s="51"/>
      <c r="L82" s="52"/>
      <c r="M82" s="49"/>
      <c r="N82" s="51"/>
      <c r="O82" s="51"/>
      <c r="P82" s="51"/>
      <c r="Q82" s="51"/>
      <c r="R82" s="52"/>
    </row>
  </sheetData>
  <mergeCells count="18">
    <mergeCell ref="Y33:AD33"/>
    <mergeCell ref="S6:X6"/>
    <mergeCell ref="Y6:AD6"/>
    <mergeCell ref="T4:W4"/>
    <mergeCell ref="Z4:AC4"/>
    <mergeCell ref="B4:E4"/>
    <mergeCell ref="A6:F6"/>
    <mergeCell ref="A33:F33"/>
    <mergeCell ref="A58:F58"/>
    <mergeCell ref="S33:X33"/>
    <mergeCell ref="H4:K4"/>
    <mergeCell ref="G6:L6"/>
    <mergeCell ref="G33:L33"/>
    <mergeCell ref="G58:L58"/>
    <mergeCell ref="M58:R58"/>
    <mergeCell ref="N4:Q4"/>
    <mergeCell ref="M6:R6"/>
    <mergeCell ref="M33:R33"/>
  </mergeCells>
  <pageMargins left="0.92" right="0.25" top="0.45" bottom="0.37" header="0.3" footer="0.3"/>
  <pageSetup scale="64" fitToWidth="0" orientation="portrait" horizontalDpi="300" verticalDpi="300" r:id="rId1"/>
  <colBreaks count="2" manualBreakCount="2">
    <brk id="18" max="1048575" man="1"/>
    <brk id="2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1"/>
  <sheetViews>
    <sheetView zoomScaleNormal="100" workbookViewId="0">
      <selection activeCell="X5" sqref="X5"/>
    </sheetView>
  </sheetViews>
  <sheetFormatPr defaultRowHeight="15" x14ac:dyDescent="0.25"/>
  <cols>
    <col min="2" max="2" width="11.42578125" customWidth="1"/>
    <col min="4" max="4" width="12.5703125" bestFit="1" customWidth="1"/>
    <col min="6" max="6" width="11.5703125" bestFit="1" customWidth="1"/>
    <col min="7" max="7" width="10.5703125" bestFit="1" customWidth="1"/>
    <col min="8" max="8" width="11.5703125" bestFit="1" customWidth="1"/>
    <col min="11" max="11" width="11.42578125" customWidth="1"/>
    <col min="13" max="13" width="12.5703125" bestFit="1" customWidth="1"/>
    <col min="15" max="15" width="11.5703125" bestFit="1" customWidth="1"/>
    <col min="16" max="16" width="10.5703125" bestFit="1" customWidth="1"/>
    <col min="17" max="17" width="11.5703125" bestFit="1" customWidth="1"/>
    <col min="21" max="21" width="11.42578125" customWidth="1"/>
    <col min="23" max="23" width="12.5703125" bestFit="1" customWidth="1"/>
    <col min="25" max="25" width="11.5703125" bestFit="1" customWidth="1"/>
    <col min="26" max="26" width="10.5703125" bestFit="1" customWidth="1"/>
    <col min="27" max="27" width="11.5703125" bestFit="1" customWidth="1"/>
    <col min="28" max="29" width="0" hidden="1" customWidth="1"/>
    <col min="32" max="32" width="10.5703125" bestFit="1" customWidth="1"/>
    <col min="34" max="34" width="14.28515625" customWidth="1"/>
    <col min="37" max="37" width="12" customWidth="1"/>
    <col min="38" max="38" width="14.5703125" customWidth="1"/>
    <col min="39" max="39" width="12.7109375" customWidth="1"/>
    <col min="41" max="41" width="10.5703125" bestFit="1" customWidth="1"/>
  </cols>
  <sheetData>
    <row r="1" spans="1:41" x14ac:dyDescent="0.25">
      <c r="A1" s="63" t="s">
        <v>32</v>
      </c>
      <c r="J1" s="63" t="s">
        <v>32</v>
      </c>
      <c r="T1" s="63" t="s">
        <v>32</v>
      </c>
    </row>
    <row r="2" spans="1:41" x14ac:dyDescent="0.25">
      <c r="A2" t="s">
        <v>103</v>
      </c>
      <c r="J2" t="s">
        <v>102</v>
      </c>
      <c r="T2" t="s">
        <v>51</v>
      </c>
      <c r="AE2" t="s">
        <v>33</v>
      </c>
      <c r="AK2" t="s">
        <v>34</v>
      </c>
    </row>
    <row r="4" spans="1:41" ht="30" x14ac:dyDescent="0.25">
      <c r="A4" s="1"/>
      <c r="B4" s="64" t="s">
        <v>10</v>
      </c>
      <c r="C4" s="65" t="s">
        <v>36</v>
      </c>
      <c r="D4" s="65" t="s">
        <v>37</v>
      </c>
      <c r="E4" s="3" t="s">
        <v>68</v>
      </c>
      <c r="F4" s="3" t="s">
        <v>7</v>
      </c>
      <c r="G4" s="112" t="s">
        <v>69</v>
      </c>
      <c r="H4" s="112" t="s">
        <v>95</v>
      </c>
      <c r="J4" s="1"/>
      <c r="K4" s="64" t="s">
        <v>10</v>
      </c>
      <c r="L4" s="65" t="s">
        <v>36</v>
      </c>
      <c r="M4" s="65" t="s">
        <v>37</v>
      </c>
      <c r="N4" s="3" t="s">
        <v>68</v>
      </c>
      <c r="O4" s="3" t="s">
        <v>7</v>
      </c>
      <c r="P4" s="112" t="s">
        <v>69</v>
      </c>
      <c r="Q4" s="112" t="s">
        <v>95</v>
      </c>
      <c r="T4" s="1"/>
      <c r="U4" s="64" t="s">
        <v>10</v>
      </c>
      <c r="V4" s="65" t="s">
        <v>36</v>
      </c>
      <c r="W4" s="65" t="s">
        <v>37</v>
      </c>
      <c r="X4" s="3" t="s">
        <v>68</v>
      </c>
      <c r="Y4" s="3" t="s">
        <v>7</v>
      </c>
      <c r="Z4" s="112" t="s">
        <v>69</v>
      </c>
      <c r="AA4" s="112" t="s">
        <v>95</v>
      </c>
      <c r="AE4" s="1"/>
      <c r="AF4" s="64" t="s">
        <v>35</v>
      </c>
      <c r="AG4" s="65" t="s">
        <v>36</v>
      </c>
      <c r="AH4" s="65" t="s">
        <v>37</v>
      </c>
      <c r="AL4" t="s">
        <v>38</v>
      </c>
      <c r="AM4" s="2" t="s">
        <v>39</v>
      </c>
    </row>
    <row r="5" spans="1:41" x14ac:dyDescent="0.25">
      <c r="A5" s="76">
        <v>44378</v>
      </c>
      <c r="B5" s="62"/>
      <c r="C5" s="190">
        <v>92.9</v>
      </c>
      <c r="D5" s="154">
        <v>4692.45</v>
      </c>
      <c r="E5" s="68">
        <f>D5/C5</f>
        <v>50.510764262648003</v>
      </c>
      <c r="F5" s="111">
        <f>(+C5+(+$V$19/12))*Customers!$H$18</f>
        <v>57.580588382788044</v>
      </c>
      <c r="G5" s="111">
        <f>(+C5+(+$V$19/12))*Customers!$H$19</f>
        <v>3.0470034157912735</v>
      </c>
      <c r="H5" s="111">
        <f>(+C5+(+$V$19/12))*Customers!$H$20</f>
        <v>5.165741534754023</v>
      </c>
      <c r="J5" s="76">
        <v>44013</v>
      </c>
      <c r="K5" s="62"/>
      <c r="L5" s="152">
        <v>90.78</v>
      </c>
      <c r="M5" s="154">
        <v>11432.96</v>
      </c>
      <c r="N5" s="68">
        <f>M5/L5</f>
        <v>125.94139678343247</v>
      </c>
      <c r="O5" s="111">
        <f>(+L5+(+$V$19/12))*Customers!$AP$18</f>
        <v>58.608151579244364</v>
      </c>
      <c r="P5" s="111">
        <f>(+L5+(+$V$19/12))*Customers!$AP$19</f>
        <v>3.5913076834744855</v>
      </c>
      <c r="Q5" s="111">
        <f>(+L5+(+$V$19/12))*Customers!$AP$20</f>
        <v>1.4738740706144777</v>
      </c>
      <c r="T5" s="76">
        <v>43647</v>
      </c>
      <c r="U5" s="62"/>
      <c r="V5" s="152">
        <v>87.44</v>
      </c>
      <c r="W5" s="154">
        <v>11597.29</v>
      </c>
      <c r="X5" s="68">
        <f>W5/V5</f>
        <v>132.63140439158281</v>
      </c>
      <c r="Y5" s="111">
        <f>(+V5+(+$V$19/12))*Customers!$AP$18</f>
        <v>55.533846905262429</v>
      </c>
      <c r="Z5" s="111">
        <f>(+V5+(+$V$19/12))*Customers!$AP$19</f>
        <v>3.4029247759861887</v>
      </c>
      <c r="AA5" s="111">
        <f>(+V5+(+$V$19/12))*Customers!$AP$20</f>
        <v>1.3965616520847055</v>
      </c>
      <c r="AB5" s="68"/>
      <c r="AC5" s="68"/>
      <c r="AE5" s="59">
        <v>43282</v>
      </c>
      <c r="AF5" s="62">
        <v>1755</v>
      </c>
      <c r="AG5" s="70">
        <v>86</v>
      </c>
      <c r="AH5" s="71">
        <f>AG5*AI5</f>
        <v>9271.66</v>
      </c>
      <c r="AI5" s="69">
        <v>107.81</v>
      </c>
      <c r="AJ5" s="69"/>
      <c r="AK5" s="1">
        <v>43298</v>
      </c>
      <c r="AL5">
        <v>79.2</v>
      </c>
      <c r="AM5">
        <v>325.56</v>
      </c>
      <c r="AN5" s="69">
        <f>AM5/AL5</f>
        <v>4.1106060606060604</v>
      </c>
    </row>
    <row r="6" spans="1:41" x14ac:dyDescent="0.25">
      <c r="A6" s="76">
        <v>44409</v>
      </c>
      <c r="B6" s="62"/>
      <c r="C6" s="190">
        <v>88.54</v>
      </c>
      <c r="D6" s="154">
        <v>3822.31</v>
      </c>
      <c r="E6" s="68">
        <f t="shared" ref="E6:E16" si="0">D6/C6</f>
        <v>43.170431443415403</v>
      </c>
      <c r="F6" s="111">
        <f>(+C6+(+$V$19/12))*Customers!$H$18</f>
        <v>53.764831487221784</v>
      </c>
      <c r="G6" s="111">
        <f>(+C6+(+$V$19/12))*Customers!$H$19</f>
        <v>2.8450842513442685</v>
      </c>
      <c r="H6" s="111">
        <f>(+C6+(+$V$19/12))*Customers!$H$20</f>
        <v>4.8234175947672835</v>
      </c>
      <c r="J6" s="76">
        <v>44044</v>
      </c>
      <c r="K6" s="62"/>
      <c r="L6" s="152">
        <v>78.17</v>
      </c>
      <c r="M6" s="154">
        <v>9518.0400000000009</v>
      </c>
      <c r="N6" s="68">
        <f t="shared" ref="N6:N16" si="1">M6/L6</f>
        <v>121.76077779199183</v>
      </c>
      <c r="O6" s="111">
        <f>(+L6+(+$V$19/12))*Customers!$AP$18</f>
        <v>47.00127075921079</v>
      </c>
      <c r="P6" s="111">
        <f>(+L6+(+$V$19/12))*Customers!$AP$19</f>
        <v>2.8800776046040015</v>
      </c>
      <c r="Q6" s="111">
        <f>(+L6+(+$V$19/12))*Customers!$AP$20</f>
        <v>1.1819849695185416</v>
      </c>
      <c r="T6" s="76">
        <v>43678</v>
      </c>
      <c r="U6" s="62"/>
      <c r="V6" s="152">
        <v>89.18</v>
      </c>
      <c r="W6" s="154">
        <v>11684.51</v>
      </c>
      <c r="X6" s="68">
        <f t="shared" ref="X6:X16" si="2">W6/V6</f>
        <v>131.02164162368243</v>
      </c>
      <c r="Y6" s="111">
        <f>(+V6+(+$V$19/12))*Customers!$AP$18</f>
        <v>57.135430777336857</v>
      </c>
      <c r="Z6" s="111">
        <f>(+V6+(+$V$19/12))*Customers!$AP$19</f>
        <v>3.5010643744980565</v>
      </c>
      <c r="AA6" s="111">
        <f>(+V6+(+$V$19/12))*Customers!$AP$20</f>
        <v>1.4368381814984192</v>
      </c>
      <c r="AB6" s="68"/>
      <c r="AC6" s="68"/>
      <c r="AE6" s="59">
        <v>43313</v>
      </c>
      <c r="AF6" s="62">
        <v>1755</v>
      </c>
      <c r="AG6" s="62">
        <v>98</v>
      </c>
      <c r="AH6" s="68">
        <v>10609</v>
      </c>
      <c r="AI6" s="69">
        <f>AH6/AG6</f>
        <v>108.25510204081633</v>
      </c>
      <c r="AJ6" s="69"/>
      <c r="AK6" s="1">
        <v>43329</v>
      </c>
      <c r="AL6">
        <v>100.09</v>
      </c>
      <c r="AM6">
        <v>1762.1</v>
      </c>
      <c r="AN6" s="69">
        <f t="shared" ref="AN6:AN17" si="3">AM6/AL6</f>
        <v>17.605155360175839</v>
      </c>
    </row>
    <row r="7" spans="1:41" x14ac:dyDescent="0.25">
      <c r="A7" s="76">
        <v>44440</v>
      </c>
      <c r="B7" s="62"/>
      <c r="C7" s="190">
        <v>89.75</v>
      </c>
      <c r="D7" s="154">
        <v>3176.33</v>
      </c>
      <c r="E7" s="68">
        <f t="shared" si="0"/>
        <v>35.390863509749302</v>
      </c>
      <c r="F7" s="111">
        <f>(+C7+(+$V$19/12))*Customers!$H$18</f>
        <v>54.823791543101407</v>
      </c>
      <c r="G7" s="111">
        <f>(+C7+(+$V$19/12))*Customers!$H$19</f>
        <v>2.9011214506518086</v>
      </c>
      <c r="H7" s="111">
        <f>(+C7+(+$V$19/12))*Customers!$H$20</f>
        <v>4.9184203395801172</v>
      </c>
      <c r="J7" s="76">
        <v>44075</v>
      </c>
      <c r="K7" s="62"/>
      <c r="L7" s="152">
        <v>90.67</v>
      </c>
      <c r="M7" s="154">
        <v>10523.27</v>
      </c>
      <c r="N7" s="68">
        <f t="shared" si="1"/>
        <v>116.06121098489027</v>
      </c>
      <c r="O7" s="111">
        <f>(+L7+(+$V$19/12))*Customers!$AP$18</f>
        <v>58.506902024113224</v>
      </c>
      <c r="P7" s="111">
        <f>(+L7+(+$V$19/12))*Customers!$AP$19</f>
        <v>3.585103455982356</v>
      </c>
      <c r="Q7" s="111">
        <f>(+L7+(+$V$19/12))*Customers!$AP$20</f>
        <v>1.4713278532377487</v>
      </c>
      <c r="T7" s="76">
        <v>43709</v>
      </c>
      <c r="U7" s="62"/>
      <c r="V7" s="152">
        <v>80.47</v>
      </c>
      <c r="W7" s="154">
        <v>10668</v>
      </c>
      <c r="X7" s="68">
        <f t="shared" si="2"/>
        <v>132.57114452591028</v>
      </c>
      <c r="Y7" s="111">
        <f>(+V7+(+$V$19/12))*Customers!$AP$18</f>
        <v>49.118306911952835</v>
      </c>
      <c r="Z7" s="111">
        <f>(+V7+(+$V$19/12))*Customers!$AP$19</f>
        <v>3.0098023612576186</v>
      </c>
      <c r="AA7" s="111">
        <f>(+V7+(+$V$19/12))*Customers!$AP$20</f>
        <v>1.2352240601228757</v>
      </c>
      <c r="AB7" s="68"/>
      <c r="AC7" s="68"/>
      <c r="AE7" s="59">
        <v>43344</v>
      </c>
      <c r="AF7" s="62">
        <v>1755</v>
      </c>
      <c r="AG7" s="62">
        <v>82</v>
      </c>
      <c r="AH7" s="68">
        <v>8809</v>
      </c>
      <c r="AI7" s="69">
        <f t="shared" ref="AI7:AI16" si="4">AH7/AG7</f>
        <v>107.42682926829268</v>
      </c>
      <c r="AJ7" s="69"/>
      <c r="AK7" s="1">
        <v>43360</v>
      </c>
      <c r="AL7">
        <v>80.06</v>
      </c>
      <c r="AM7">
        <v>3452.21</v>
      </c>
      <c r="AN7" s="69">
        <f t="shared" si="3"/>
        <v>43.120284786410188</v>
      </c>
    </row>
    <row r="8" spans="1:41" x14ac:dyDescent="0.25">
      <c r="A8" s="76">
        <v>44470</v>
      </c>
      <c r="B8" s="62"/>
      <c r="C8" s="190">
        <v>87.54</v>
      </c>
      <c r="D8" s="154">
        <v>3100.72</v>
      </c>
      <c r="E8" s="68">
        <f t="shared" si="0"/>
        <v>35.420607722184137</v>
      </c>
      <c r="F8" s="111">
        <f>(+C8+(+$V$19/12))*Customers!$H$18</f>
        <v>52.88965788732127</v>
      </c>
      <c r="G8" s="111">
        <f>(+C8+(+$V$19/12))*Customers!$H$19</f>
        <v>2.7987725163793593</v>
      </c>
      <c r="H8" s="111">
        <f>(+C8+(+$V$19/12))*Customers!$H$20</f>
        <v>4.7449029296327101</v>
      </c>
      <c r="J8" s="76">
        <v>44105</v>
      </c>
      <c r="K8" s="62"/>
      <c r="L8" s="152">
        <v>89.13</v>
      </c>
      <c r="M8" s="154">
        <v>9803.5400000000009</v>
      </c>
      <c r="N8" s="68">
        <f t="shared" si="1"/>
        <v>109.99147312913723</v>
      </c>
      <c r="O8" s="111">
        <f>(+L8+(+$V$19/12))*Customers!$AP$18</f>
        <v>57.089408252277238</v>
      </c>
      <c r="P8" s="111">
        <f>(+L8+(+$V$19/12))*Customers!$AP$19</f>
        <v>3.4982442710925423</v>
      </c>
      <c r="Q8" s="111">
        <f>(+L8+(+$V$19/12))*Customers!$AP$20</f>
        <v>1.4356808099635421</v>
      </c>
      <c r="T8" s="76">
        <v>43739</v>
      </c>
      <c r="U8" s="62"/>
      <c r="V8" s="152">
        <v>92.54</v>
      </c>
      <c r="W8" s="154">
        <v>12269.11</v>
      </c>
      <c r="X8" s="68">
        <f t="shared" si="2"/>
        <v>132.58169440242057</v>
      </c>
      <c r="Y8" s="111">
        <f>(+V8+(+$V$19/12))*Customers!$AP$18</f>
        <v>60.228144461342637</v>
      </c>
      <c r="Z8" s="111">
        <f>(+V8+(+$V$19/12))*Customers!$AP$19</f>
        <v>3.6905753233485576</v>
      </c>
      <c r="AA8" s="111">
        <f>(+V8+(+$V$19/12))*Customers!$AP$20</f>
        <v>1.5146135486421421</v>
      </c>
      <c r="AB8" s="68"/>
      <c r="AC8" s="68"/>
      <c r="AE8" s="59">
        <v>43374</v>
      </c>
      <c r="AF8" s="62">
        <v>1755</v>
      </c>
      <c r="AG8" s="62">
        <v>94</v>
      </c>
      <c r="AH8" s="68">
        <v>10116</v>
      </c>
      <c r="AI8" s="69">
        <f t="shared" si="4"/>
        <v>107.61702127659575</v>
      </c>
      <c r="AJ8" s="69"/>
      <c r="AK8" s="1">
        <v>43390</v>
      </c>
      <c r="AL8">
        <v>89.07</v>
      </c>
      <c r="AM8">
        <v>7495.26</v>
      </c>
      <c r="AN8" s="69">
        <f t="shared" si="3"/>
        <v>84.150218928932304</v>
      </c>
    </row>
    <row r="9" spans="1:41" x14ac:dyDescent="0.25">
      <c r="A9" s="76">
        <v>44501</v>
      </c>
      <c r="B9" s="62"/>
      <c r="C9" s="190">
        <v>92.99</v>
      </c>
      <c r="D9" s="154">
        <v>4603.9399999999996</v>
      </c>
      <c r="E9" s="68">
        <f t="shared" si="0"/>
        <v>49.510054844606948</v>
      </c>
      <c r="F9" s="111">
        <f>(+C9+(+$V$19/12))*Customers!$H$18</f>
        <v>57.659354006779076</v>
      </c>
      <c r="G9" s="111">
        <f>(+C9+(+$V$19/12))*Customers!$H$19</f>
        <v>3.0511714719381149</v>
      </c>
      <c r="H9" s="111">
        <f>(+C9+(+$V$19/12))*Customers!$H$20</f>
        <v>5.172807854616134</v>
      </c>
      <c r="J9" s="76">
        <v>44136</v>
      </c>
      <c r="K9" s="62"/>
      <c r="L9" s="152">
        <v>82.35</v>
      </c>
      <c r="M9" s="154">
        <v>8779.43</v>
      </c>
      <c r="N9" s="68">
        <f t="shared" si="1"/>
        <v>106.61117182756529</v>
      </c>
      <c r="O9" s="111">
        <f>(+L9+(+$V$19/12))*Customers!$AP$18</f>
        <v>50.848753854194157</v>
      </c>
      <c r="P9" s="111">
        <f>(+L9+(+$V$19/12))*Customers!$AP$19</f>
        <v>3.115838249304923</v>
      </c>
      <c r="Q9" s="111">
        <f>(+L9+(+$V$19/12))*Customers!$AP$20</f>
        <v>1.2787412298342442</v>
      </c>
      <c r="T9" s="76">
        <v>43770</v>
      </c>
      <c r="U9" s="62"/>
      <c r="V9" s="152">
        <v>87.29</v>
      </c>
      <c r="W9" s="154">
        <v>11733.59</v>
      </c>
      <c r="X9" s="68">
        <f t="shared" si="2"/>
        <v>134.42078130370029</v>
      </c>
      <c r="Y9" s="111">
        <f>(+V9+(+$V$19/12))*Customers!$AP$18</f>
        <v>55.395779330083613</v>
      </c>
      <c r="Z9" s="111">
        <f>(+V9+(+$V$19/12))*Customers!$AP$19</f>
        <v>3.3944644657696492</v>
      </c>
      <c r="AA9" s="111">
        <f>(+V9+(+$V$19/12))*Customers!$AP$20</f>
        <v>1.3930895374800751</v>
      </c>
      <c r="AB9" s="68"/>
      <c r="AC9" s="68"/>
      <c r="AE9" s="59">
        <v>43405</v>
      </c>
      <c r="AF9" s="62">
        <v>1755</v>
      </c>
      <c r="AG9" s="62">
        <v>100</v>
      </c>
      <c r="AH9" s="68">
        <v>10640</v>
      </c>
      <c r="AI9" s="69">
        <f t="shared" si="4"/>
        <v>106.4</v>
      </c>
      <c r="AJ9" s="69"/>
      <c r="AK9" s="1">
        <v>43421</v>
      </c>
      <c r="AL9">
        <v>102.65</v>
      </c>
      <c r="AM9">
        <v>8104.27</v>
      </c>
      <c r="AN9" s="69">
        <f t="shared" si="3"/>
        <v>78.950511446663413</v>
      </c>
    </row>
    <row r="10" spans="1:41" x14ac:dyDescent="0.25">
      <c r="A10" s="76">
        <v>44531</v>
      </c>
      <c r="B10" s="62"/>
      <c r="C10" s="190">
        <v>81.599999999999994</v>
      </c>
      <c r="D10" s="154">
        <v>6197.61</v>
      </c>
      <c r="E10" s="68">
        <f t="shared" si="0"/>
        <v>75.951102941176472</v>
      </c>
      <c r="F10" s="111">
        <f>(+C10+(+$V$19/12))*Customers!$H$18</f>
        <v>47.691126703912182</v>
      </c>
      <c r="G10" s="111">
        <f>(+C10+(+$V$19/12))*Customers!$H$19</f>
        <v>2.5236808106877966</v>
      </c>
      <c r="H10" s="111">
        <f>(+C10+(+$V$19/12))*Customers!$H$20</f>
        <v>4.2785258187333444</v>
      </c>
      <c r="J10" s="76">
        <v>44166</v>
      </c>
      <c r="K10" s="62"/>
      <c r="L10" s="152">
        <v>103.42</v>
      </c>
      <c r="M10" s="154">
        <v>10498.29</v>
      </c>
      <c r="N10" s="68">
        <f t="shared" si="1"/>
        <v>101.51121639914911</v>
      </c>
      <c r="O10" s="111">
        <f>(+L10+(+$V$19/12))*Customers!$AP$18</f>
        <v>70.242645914313712</v>
      </c>
      <c r="P10" s="111">
        <f>(+L10+(+$V$19/12))*Customers!$AP$19</f>
        <v>4.3042298243882771</v>
      </c>
      <c r="Q10" s="111">
        <f>(+L10+(+$V$19/12))*Customers!$AP$20</f>
        <v>1.7664575946313397</v>
      </c>
      <c r="T10" s="76">
        <v>43800</v>
      </c>
      <c r="U10" s="62"/>
      <c r="V10" s="152">
        <v>100.64</v>
      </c>
      <c r="W10" s="154">
        <v>13399.31</v>
      </c>
      <c r="X10" s="68">
        <f t="shared" si="2"/>
        <v>133.14099761526231</v>
      </c>
      <c r="Y10" s="111">
        <f>(+V10+(+$V$19/12))*Customers!$AP$18</f>
        <v>67.683793520999416</v>
      </c>
      <c r="Z10" s="111">
        <f>(+V10+(+$V$19/12))*Customers!$AP$19</f>
        <v>4.1474320750417313</v>
      </c>
      <c r="AA10" s="111">
        <f>(+V10+(+$V$19/12))*Customers!$AP$20</f>
        <v>1.702107737292188</v>
      </c>
      <c r="AB10" s="68"/>
      <c r="AC10" s="68"/>
      <c r="AE10" s="59">
        <v>43435</v>
      </c>
      <c r="AF10" s="62">
        <v>1755</v>
      </c>
      <c r="AG10" s="62">
        <v>95</v>
      </c>
      <c r="AH10" s="68">
        <v>10274</v>
      </c>
      <c r="AI10" s="69">
        <f t="shared" si="4"/>
        <v>108.14736842105263</v>
      </c>
      <c r="AJ10" s="69"/>
      <c r="AK10" s="1">
        <v>43451</v>
      </c>
      <c r="AL10">
        <v>97.97</v>
      </c>
      <c r="AM10">
        <v>7749.51</v>
      </c>
      <c r="AN10" s="69">
        <f t="shared" si="3"/>
        <v>79.100847198121883</v>
      </c>
    </row>
    <row r="11" spans="1:41" x14ac:dyDescent="0.25">
      <c r="A11" s="76">
        <v>44562</v>
      </c>
      <c r="B11" s="62"/>
      <c r="C11" s="190">
        <v>83.11</v>
      </c>
      <c r="D11" s="154">
        <v>7275.49</v>
      </c>
      <c r="E11" s="68">
        <f t="shared" si="0"/>
        <v>87.540488509204664</v>
      </c>
      <c r="F11" s="111">
        <f>(+C11+(+$V$19/12))*Customers!$H$18</f>
        <v>49.012638839761969</v>
      </c>
      <c r="G11" s="111">
        <f>(+C11+(+$V$19/12))*Customers!$H$19</f>
        <v>2.5936115304848104</v>
      </c>
      <c r="H11" s="111">
        <f>(+C11+(+$V$19/12))*Customers!$H$20</f>
        <v>4.3970829630865502</v>
      </c>
      <c r="J11" s="76">
        <v>44197</v>
      </c>
      <c r="K11" s="62"/>
      <c r="L11" s="152">
        <v>91.68</v>
      </c>
      <c r="M11" s="154">
        <v>9081.93</v>
      </c>
      <c r="N11" s="68">
        <f t="shared" si="1"/>
        <v>99.061191099476432</v>
      </c>
      <c r="O11" s="111">
        <f>(+L11+(+$V$19/12))*Customers!$AP$18</f>
        <v>59.436557030317346</v>
      </c>
      <c r="P11" s="111">
        <f>(+L11+(+$V$19/12))*Customers!$AP$19</f>
        <v>3.6420695447737272</v>
      </c>
      <c r="Q11" s="111">
        <f>(+L11+(+$V$19/12))*Customers!$AP$20</f>
        <v>1.4947067582422606</v>
      </c>
      <c r="T11" s="76">
        <v>43831</v>
      </c>
      <c r="U11" s="62"/>
      <c r="V11" s="152">
        <v>96.96</v>
      </c>
      <c r="W11" s="154">
        <v>12670.88</v>
      </c>
      <c r="X11" s="68">
        <f t="shared" si="2"/>
        <v>130.68151815181517</v>
      </c>
      <c r="Y11" s="111">
        <f>(+V11+(+$V$19/12))*Customers!$AP$18</f>
        <v>64.296535676612123</v>
      </c>
      <c r="Z11" s="111">
        <f>(+V11+(+$V$19/12))*Customers!$AP$19</f>
        <v>3.9398724643959433</v>
      </c>
      <c r="AA11" s="111">
        <f>(+V11+(+$V$19/12))*Customers!$AP$20</f>
        <v>1.6169251923252534</v>
      </c>
      <c r="AB11" s="68"/>
      <c r="AC11" s="68"/>
      <c r="AE11" s="59">
        <v>43466</v>
      </c>
      <c r="AF11" s="62">
        <v>1755</v>
      </c>
      <c r="AG11" s="62">
        <v>108</v>
      </c>
      <c r="AH11" s="68">
        <v>11867</v>
      </c>
      <c r="AI11" s="69">
        <f t="shared" si="4"/>
        <v>109.87962962962963</v>
      </c>
      <c r="AJ11" s="69"/>
      <c r="AN11" s="69"/>
    </row>
    <row r="12" spans="1:41" x14ac:dyDescent="0.25">
      <c r="A12" s="76">
        <v>44593</v>
      </c>
      <c r="B12" s="62"/>
      <c r="C12" s="190">
        <v>75.45</v>
      </c>
      <c r="D12" s="154">
        <v>6499.28</v>
      </c>
      <c r="E12" s="68">
        <f t="shared" si="0"/>
        <v>86.140225314777993</v>
      </c>
      <c r="F12" s="111">
        <f>(+C12+(+$V$19/12))*Customers!$H$18</f>
        <v>42.308809064524013</v>
      </c>
      <c r="G12" s="111">
        <f>(+C12+(+$V$19/12))*Customers!$H$19</f>
        <v>2.2388636406536042</v>
      </c>
      <c r="H12" s="111">
        <f>(+C12+(+$V$19/12))*Customers!$H$20</f>
        <v>3.7956606281557197</v>
      </c>
      <c r="J12" s="76">
        <v>44228</v>
      </c>
      <c r="K12" s="62"/>
      <c r="L12" s="152">
        <v>76.28</v>
      </c>
      <c r="M12" s="154">
        <v>7824.15</v>
      </c>
      <c r="N12" s="68">
        <f t="shared" si="1"/>
        <v>102.57144729942317</v>
      </c>
      <c r="O12" s="111">
        <f>(+L12+(+$V$19/12))*Customers!$AP$18</f>
        <v>45.261619311957539</v>
      </c>
      <c r="P12" s="111">
        <f>(+L12+(+$V$19/12))*Customers!$AP$19</f>
        <v>2.7734776958755947</v>
      </c>
      <c r="Q12" s="111">
        <f>(+L12+(+$V$19/12))*Customers!$AP$20</f>
        <v>1.1382363255001975</v>
      </c>
      <c r="T12" s="76">
        <v>43862</v>
      </c>
      <c r="U12" s="62"/>
      <c r="V12" s="152">
        <v>77.42</v>
      </c>
      <c r="W12" s="154">
        <v>9892.06</v>
      </c>
      <c r="X12" s="68">
        <f t="shared" si="2"/>
        <v>127.77137690519245</v>
      </c>
      <c r="Y12" s="111">
        <f>(+V12+(+$V$19/12))*Customers!$AP$18</f>
        <v>46.310932883316639</v>
      </c>
      <c r="Z12" s="111">
        <f>(+V12+(+$V$19/12))*Customers!$AP$19</f>
        <v>2.8377760535213006</v>
      </c>
      <c r="AA12" s="111">
        <f>(+V12+(+$V$19/12))*Customers!$AP$20</f>
        <v>1.1646243964953893</v>
      </c>
      <c r="AB12" s="68"/>
      <c r="AC12" s="68"/>
      <c r="AE12" s="59">
        <v>43497</v>
      </c>
      <c r="AF12" s="62">
        <v>1755</v>
      </c>
      <c r="AG12" s="74">
        <v>77</v>
      </c>
      <c r="AH12" s="75">
        <v>9077.4</v>
      </c>
      <c r="AI12" s="75">
        <f t="shared" si="4"/>
        <v>117.88831168831169</v>
      </c>
      <c r="AJ12" s="68"/>
      <c r="AK12" s="1">
        <v>43118</v>
      </c>
      <c r="AL12">
        <v>105.18</v>
      </c>
      <c r="AM12">
        <v>8835.19</v>
      </c>
      <c r="AN12" s="69">
        <f t="shared" si="3"/>
        <v>84.000665525765356</v>
      </c>
    </row>
    <row r="13" spans="1:41" x14ac:dyDescent="0.25">
      <c r="A13" s="76">
        <v>44621</v>
      </c>
      <c r="B13" s="62"/>
      <c r="C13" s="190">
        <v>92.43</v>
      </c>
      <c r="D13" s="154">
        <v>7581.16</v>
      </c>
      <c r="E13" s="68">
        <f t="shared" si="0"/>
        <v>82.020556096505459</v>
      </c>
      <c r="F13" s="111">
        <f>(+C13+(+$V$19/12))*Customers!$H$18</f>
        <v>57.169256790834801</v>
      </c>
      <c r="G13" s="111">
        <f>(+C13+(+$V$19/12))*Customers!$H$19</f>
        <v>3.0252369003577662</v>
      </c>
      <c r="H13" s="111">
        <f>(+C13+(+$V$19/12))*Customers!$H$20</f>
        <v>5.1288396421407736</v>
      </c>
      <c r="J13" s="76">
        <v>44256</v>
      </c>
      <c r="K13" s="62"/>
      <c r="L13" s="152">
        <v>89.61</v>
      </c>
      <c r="M13" s="154">
        <v>8832.9699999999993</v>
      </c>
      <c r="N13" s="68">
        <f t="shared" si="1"/>
        <v>98.571253208347272</v>
      </c>
      <c r="O13" s="111">
        <f>(+L13+(+$V$19/12))*Customers!$AP$18</f>
        <v>57.531224492849496</v>
      </c>
      <c r="P13" s="111">
        <f>(+L13+(+$V$19/12))*Customers!$AP$19</f>
        <v>3.5253172637854711</v>
      </c>
      <c r="Q13" s="111">
        <f>(+L13+(+$V$19/12))*Customers!$AP$20</f>
        <v>1.4467915766983599</v>
      </c>
      <c r="T13" s="76">
        <v>43891</v>
      </c>
      <c r="U13" s="62"/>
      <c r="V13" s="152">
        <v>80.540000000000006</v>
      </c>
      <c r="W13" s="154">
        <v>10276.99</v>
      </c>
      <c r="X13" s="68">
        <f t="shared" si="2"/>
        <v>127.60106779240128</v>
      </c>
      <c r="Y13" s="111">
        <f>(+V13+(+$V$19/12))*Customers!$AP$18</f>
        <v>49.182738447036293</v>
      </c>
      <c r="Z13" s="111">
        <f>(+V13+(+$V$19/12))*Customers!$AP$19</f>
        <v>3.013750506025338</v>
      </c>
      <c r="AA13" s="111">
        <f>(+V13+(+$V$19/12))*Customers!$AP$20</f>
        <v>1.2368443802717035</v>
      </c>
      <c r="AB13" s="68"/>
      <c r="AC13" s="68"/>
      <c r="AE13" s="59">
        <v>43525</v>
      </c>
      <c r="AF13" s="62">
        <v>1755</v>
      </c>
      <c r="AG13" s="62">
        <v>86</v>
      </c>
      <c r="AH13" s="68">
        <v>10507</v>
      </c>
      <c r="AI13" s="69">
        <f t="shared" si="4"/>
        <v>122.17441860465117</v>
      </c>
      <c r="AJ13" s="69"/>
      <c r="AK13" s="1">
        <v>43149</v>
      </c>
      <c r="AL13">
        <v>78.42</v>
      </c>
      <c r="AM13">
        <v>7264.04</v>
      </c>
      <c r="AN13" s="69">
        <f t="shared" si="3"/>
        <v>92.629941341494515</v>
      </c>
    </row>
    <row r="14" spans="1:41" x14ac:dyDescent="0.25">
      <c r="A14" s="76">
        <v>44652</v>
      </c>
      <c r="B14" s="62"/>
      <c r="C14" s="190">
        <v>81.47</v>
      </c>
      <c r="D14" s="154">
        <v>6431.24</v>
      </c>
      <c r="E14" s="68">
        <f t="shared" si="0"/>
        <v>78.939977905977656</v>
      </c>
      <c r="F14" s="111">
        <f>(+C14+(+$V$19/12))*Customers!$H$18</f>
        <v>47.57735413592512</v>
      </c>
      <c r="G14" s="111">
        <f>(+C14+(+$V$19/12))*Customers!$H$19</f>
        <v>2.5176602851423588</v>
      </c>
      <c r="H14" s="111">
        <f>(+C14+(+$V$19/12))*Customers!$H$20</f>
        <v>4.2683189122658503</v>
      </c>
      <c r="J14" s="76">
        <v>44287</v>
      </c>
      <c r="K14" s="62"/>
      <c r="L14" s="152">
        <v>86.18</v>
      </c>
      <c r="M14" s="154">
        <v>7647.75</v>
      </c>
      <c r="N14" s="68">
        <f t="shared" si="1"/>
        <v>88.741587375261076</v>
      </c>
      <c r="O14" s="111">
        <f>(+L14+(+$V$19/12))*Customers!$AP$18</f>
        <v>54.374079273760273</v>
      </c>
      <c r="P14" s="111">
        <f>(+L14+(+$V$19/12))*Customers!$AP$19</f>
        <v>3.3318581701672514</v>
      </c>
      <c r="Q14" s="111">
        <f>(+L14+(+$V$19/12))*Customers!$AP$20</f>
        <v>1.3673958894058096</v>
      </c>
      <c r="T14" s="76">
        <v>43922</v>
      </c>
      <c r="U14" s="62"/>
      <c r="V14" s="152">
        <v>80.7</v>
      </c>
      <c r="W14" s="154">
        <v>10259.48</v>
      </c>
      <c r="X14" s="68">
        <f t="shared" si="2"/>
        <v>127.13110285006195</v>
      </c>
      <c r="Y14" s="111">
        <f>(+V14+(+$V$19/12))*Customers!$AP$18</f>
        <v>49.330010527227039</v>
      </c>
      <c r="Z14" s="111">
        <f>(+V14+(+$V$19/12))*Customers!$AP$19</f>
        <v>3.0227748369229808</v>
      </c>
      <c r="AA14" s="111">
        <f>(+V14+(+$V$19/12))*Customers!$AP$20</f>
        <v>1.2405479691833092</v>
      </c>
      <c r="AB14" s="68"/>
      <c r="AC14" s="68"/>
      <c r="AE14" s="59">
        <v>43556</v>
      </c>
      <c r="AF14" s="62">
        <v>1755</v>
      </c>
      <c r="AG14" s="62">
        <v>87</v>
      </c>
      <c r="AH14" s="68">
        <v>11237</v>
      </c>
      <c r="AI14" s="69">
        <f t="shared" si="4"/>
        <v>129.16091954022988</v>
      </c>
      <c r="AJ14" s="69"/>
      <c r="AK14" s="1">
        <v>43177</v>
      </c>
      <c r="AL14">
        <v>86.18</v>
      </c>
      <c r="AM14">
        <v>8852.43</v>
      </c>
      <c r="AN14" s="69">
        <f t="shared" si="3"/>
        <v>102.72023671385472</v>
      </c>
    </row>
    <row r="15" spans="1:41" x14ac:dyDescent="0.25">
      <c r="A15" s="76">
        <v>44682</v>
      </c>
      <c r="B15" s="62"/>
      <c r="C15" s="190">
        <v>86.8</v>
      </c>
      <c r="D15" s="154">
        <v>6636.74</v>
      </c>
      <c r="E15" s="68">
        <f t="shared" si="0"/>
        <v>76.460138248847926</v>
      </c>
      <c r="F15" s="111">
        <f>(+C15+(+$V$19/12))*Customers!$H$18</f>
        <v>52.242029423394875</v>
      </c>
      <c r="G15" s="111">
        <f>(+C15+(+$V$19/12))*Customers!$H$19</f>
        <v>2.7645018325053257</v>
      </c>
      <c r="H15" s="111">
        <f>(+C15+(+$V$19/12))*Customers!$H$20</f>
        <v>4.6868020774331258</v>
      </c>
      <c r="J15" s="76">
        <v>44317</v>
      </c>
      <c r="K15" s="62"/>
      <c r="L15" s="152">
        <v>85.19</v>
      </c>
      <c r="M15" s="154">
        <v>6696.66</v>
      </c>
      <c r="N15" s="68">
        <f t="shared" si="1"/>
        <v>78.608522127010218</v>
      </c>
      <c r="O15" s="111">
        <f>(+L15+(+$V$19/12))*Customers!$AP$18</f>
        <v>53.462833277579996</v>
      </c>
      <c r="P15" s="111">
        <f>(+L15+(+$V$19/12))*Customers!$AP$19</f>
        <v>3.276020122738085</v>
      </c>
      <c r="Q15" s="111">
        <f>(+L15+(+$V$19/12))*Customers!$AP$20</f>
        <v>1.3444799330152482</v>
      </c>
      <c r="T15" s="76">
        <v>43952</v>
      </c>
      <c r="U15" s="62"/>
      <c r="V15" s="152">
        <v>78.22</v>
      </c>
      <c r="W15" s="154">
        <v>9021.25</v>
      </c>
      <c r="X15" s="68">
        <f t="shared" si="2"/>
        <v>115.33175658399387</v>
      </c>
      <c r="Y15" s="111">
        <f>(+V15+(+$V$19/12))*Customers!$AP$18</f>
        <v>47.047293284270395</v>
      </c>
      <c r="Z15" s="111">
        <f>(+V15+(+$V$19/12))*Customers!$AP$19</f>
        <v>2.8828977080095148</v>
      </c>
      <c r="AA15" s="111">
        <f>(+V15+(+$V$19/12))*Customers!$AP$20</f>
        <v>1.1831423410534185</v>
      </c>
      <c r="AB15" s="68"/>
      <c r="AC15" s="68"/>
      <c r="AE15" s="59">
        <v>43586</v>
      </c>
      <c r="AF15" s="62">
        <v>1755</v>
      </c>
      <c r="AG15" s="62">
        <v>96</v>
      </c>
      <c r="AH15" s="68">
        <v>12777</v>
      </c>
      <c r="AI15" s="69">
        <f t="shared" si="4"/>
        <v>133.09375</v>
      </c>
      <c r="AJ15" s="69"/>
      <c r="AK15" s="1">
        <v>43208</v>
      </c>
      <c r="AL15">
        <v>82.1</v>
      </c>
      <c r="AM15">
        <v>8710.91</v>
      </c>
      <c r="AN15" s="69">
        <f t="shared" si="3"/>
        <v>106.1012180267966</v>
      </c>
    </row>
    <row r="16" spans="1:41" x14ac:dyDescent="0.25">
      <c r="A16" s="76">
        <v>44713</v>
      </c>
      <c r="B16" s="62"/>
      <c r="C16" s="190">
        <v>91.7</v>
      </c>
      <c r="D16" s="154">
        <v>6993.1</v>
      </c>
      <c r="E16" s="68">
        <f t="shared" si="0"/>
        <v>76.260632497273718</v>
      </c>
      <c r="F16" s="111">
        <f>(+C16+(+$V$19/12))*Customers!$H$18</f>
        <v>56.530380062907419</v>
      </c>
      <c r="G16" s="111">
        <f>(+C16+(+$V$19/12))*Customers!$H$19</f>
        <v>2.9914293338333824</v>
      </c>
      <c r="H16" s="111">
        <f>(+C16+(+$V$19/12))*Customers!$H$20</f>
        <v>5.0715239365925351</v>
      </c>
      <c r="J16" s="76">
        <v>44348</v>
      </c>
      <c r="K16" s="62"/>
      <c r="L16" s="152">
        <v>94.99</v>
      </c>
      <c r="M16" s="154">
        <f>+L16*80</f>
        <v>7599.2</v>
      </c>
      <c r="N16" s="68">
        <f t="shared" si="1"/>
        <v>80</v>
      </c>
      <c r="O16" s="111">
        <f>(+L16+(+$V$19/12))*Customers!$AP$18</f>
        <v>62.483248189263499</v>
      </c>
      <c r="P16" s="111">
        <f>(+L16+(+$V$19/12))*Customers!$AP$19</f>
        <v>3.8287603902187146</v>
      </c>
      <c r="Q16" s="111">
        <f>(+L16+(+$V$19/12))*Customers!$AP$20</f>
        <v>1.5713247538511064</v>
      </c>
      <c r="T16" s="76">
        <v>43983</v>
      </c>
      <c r="U16" s="62"/>
      <c r="V16" s="152">
        <v>86.53</v>
      </c>
      <c r="W16" s="154">
        <v>10618.25</v>
      </c>
      <c r="X16" s="68">
        <f t="shared" si="2"/>
        <v>122.71177626256789</v>
      </c>
      <c r="Y16" s="111">
        <f>(+V16+(+$V$19/12))*Customers!$AP$18</f>
        <v>54.696236949177539</v>
      </c>
      <c r="Z16" s="111">
        <f>(+V16+(+$V$19/12))*Customers!$AP$19</f>
        <v>3.351598894005845</v>
      </c>
      <c r="AA16" s="111">
        <f>(+V16+(+$V$19/12))*Customers!$AP$20</f>
        <v>1.3754974901499473</v>
      </c>
      <c r="AB16" s="68"/>
      <c r="AC16" s="68"/>
      <c r="AE16" s="59">
        <v>43617</v>
      </c>
      <c r="AF16" s="62">
        <v>1755</v>
      </c>
      <c r="AG16" s="62">
        <v>82</v>
      </c>
      <c r="AH16" s="71">
        <f>AG16*AI15</f>
        <v>10913.6875</v>
      </c>
      <c r="AI16" s="69">
        <f t="shared" si="4"/>
        <v>133.09375</v>
      </c>
      <c r="AJ16" s="69"/>
      <c r="AK16" s="1">
        <v>43238</v>
      </c>
      <c r="AL16">
        <v>93.15</v>
      </c>
      <c r="AM16">
        <v>10594.01</v>
      </c>
      <c r="AN16" s="69">
        <f t="shared" si="3"/>
        <v>113.73064949006978</v>
      </c>
      <c r="AO16" t="s">
        <v>40</v>
      </c>
    </row>
    <row r="17" spans="1:41" x14ac:dyDescent="0.25">
      <c r="A17" s="62"/>
      <c r="B17" s="62"/>
      <c r="C17" s="62"/>
      <c r="D17" s="62"/>
      <c r="E17" s="62"/>
      <c r="F17" s="62"/>
      <c r="G17" s="62"/>
      <c r="H17" s="62"/>
      <c r="J17" s="62"/>
      <c r="K17" s="62"/>
      <c r="L17" s="62"/>
      <c r="M17" s="62"/>
      <c r="N17" s="62"/>
      <c r="O17" s="62"/>
      <c r="P17" s="62"/>
      <c r="Q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K17" s="1">
        <v>43269</v>
      </c>
      <c r="AL17" s="3">
        <v>90.19</v>
      </c>
      <c r="AM17" s="3">
        <v>9790.25</v>
      </c>
      <c r="AN17" s="69">
        <f t="shared" si="3"/>
        <v>108.55139150681894</v>
      </c>
      <c r="AO17" t="s">
        <v>41</v>
      </c>
    </row>
    <row r="18" spans="1:41" ht="15.75" thickBot="1" x14ac:dyDescent="0.3">
      <c r="A18" s="62" t="s">
        <v>9</v>
      </c>
      <c r="B18" s="77">
        <f>SUM(B5:B16)</f>
        <v>0</v>
      </c>
      <c r="C18" s="62">
        <f>SUM(C5:C16)</f>
        <v>1044.2800000000002</v>
      </c>
      <c r="D18" s="153">
        <f>SUM(D5:D16)</f>
        <v>67010.37</v>
      </c>
      <c r="E18" s="78">
        <f>AVERAGE(E5:E16)</f>
        <v>64.776320274697312</v>
      </c>
      <c r="F18" s="78"/>
      <c r="G18" s="78"/>
      <c r="H18" s="78"/>
      <c r="J18" s="62" t="s">
        <v>9</v>
      </c>
      <c r="K18" s="77">
        <f>SUM(K5:K16)</f>
        <v>0</v>
      </c>
      <c r="L18" s="62">
        <f>SUM(L5:L16)</f>
        <v>1058.45</v>
      </c>
      <c r="M18" s="153">
        <f>SUM(M5:M16)</f>
        <v>108238.18999999999</v>
      </c>
      <c r="N18" s="78">
        <f>M18/L18</f>
        <v>102.26103264207093</v>
      </c>
      <c r="O18" s="78"/>
      <c r="P18" s="78"/>
      <c r="Q18" s="78"/>
      <c r="T18" s="62" t="s">
        <v>9</v>
      </c>
      <c r="U18" s="77">
        <f>SUM(U5:U16)</f>
        <v>0</v>
      </c>
      <c r="V18" s="62">
        <f>SUM(V5:V16)</f>
        <v>1037.93</v>
      </c>
      <c r="W18" s="153">
        <f>SUM(W5:W16)</f>
        <v>134090.72</v>
      </c>
      <c r="X18" s="78">
        <f>W18/V18</f>
        <v>129.19052344570443</v>
      </c>
      <c r="Y18" s="78"/>
      <c r="Z18" s="78"/>
      <c r="AA18" s="78"/>
      <c r="AB18" s="78"/>
      <c r="AC18" s="78"/>
      <c r="AE18" t="s">
        <v>9</v>
      </c>
      <c r="AF18" s="60">
        <f>SUM(AF5:AF16)</f>
        <v>21060</v>
      </c>
      <c r="AG18">
        <f>SUM(AG5:AG16)</f>
        <v>1091</v>
      </c>
      <c r="AH18" s="66">
        <f>SUM(AH5:AH16)</f>
        <v>126098.7475</v>
      </c>
      <c r="AI18" s="67">
        <f>AH18/AG18</f>
        <v>115.58088680109991</v>
      </c>
      <c r="AJ18" s="67"/>
      <c r="AL18">
        <f>SUM(AL12:AL17)</f>
        <v>535.22</v>
      </c>
      <c r="AM18" s="58">
        <f>SUM(AM12:AM17)</f>
        <v>54046.83</v>
      </c>
      <c r="AO18" s="4">
        <f>AM18/AL18</f>
        <v>100.9805874219947</v>
      </c>
    </row>
    <row r="19" spans="1:41" ht="15.75" thickTop="1" x14ac:dyDescent="0.25">
      <c r="A19" s="62" t="s">
        <v>75</v>
      </c>
      <c r="B19" s="62"/>
      <c r="C19" s="57">
        <f>+L19*1.02</f>
        <v>-331.78559999999999</v>
      </c>
      <c r="D19" s="62"/>
      <c r="E19" s="62"/>
      <c r="F19" s="62"/>
      <c r="G19" s="62"/>
      <c r="H19" s="62"/>
      <c r="J19" s="62" t="s">
        <v>75</v>
      </c>
      <c r="K19" s="62"/>
      <c r="L19" s="57">
        <f>+V19</f>
        <v>-325.27999999999997</v>
      </c>
      <c r="M19" s="62"/>
      <c r="N19" s="62"/>
      <c r="O19" s="62"/>
      <c r="P19" s="62"/>
      <c r="Q19" s="62"/>
      <c r="T19" s="62" t="s">
        <v>75</v>
      </c>
      <c r="U19" s="62"/>
      <c r="V19" s="57">
        <f>+AG19</f>
        <v>-325.27999999999997</v>
      </c>
      <c r="W19" s="62"/>
      <c r="X19" s="62"/>
      <c r="Y19" s="62"/>
      <c r="Z19" s="62"/>
      <c r="AA19" s="62"/>
      <c r="AB19" s="62"/>
      <c r="AC19" s="62"/>
      <c r="AG19" s="57">
        <f>AN24</f>
        <v>-325.27999999999997</v>
      </c>
      <c r="AL19">
        <f>SUM(AL5:AL17)</f>
        <v>1084.26</v>
      </c>
      <c r="AM19" s="61">
        <f>SUM(AM5:AM17)</f>
        <v>82935.740000000005</v>
      </c>
    </row>
    <row r="20" spans="1:41" x14ac:dyDescent="0.25">
      <c r="A20" s="62" t="s">
        <v>76</v>
      </c>
      <c r="B20" s="62"/>
      <c r="C20" s="62">
        <f>SUM(C18:C19)</f>
        <v>712.49440000000027</v>
      </c>
      <c r="D20" s="78">
        <f>C20*E20</f>
        <v>46152.765448328311</v>
      </c>
      <c r="E20" s="78">
        <f>E18</f>
        <v>64.776320274697312</v>
      </c>
      <c r="F20" s="164">
        <f>+D20*Customers!H18</f>
        <v>40391.681882777702</v>
      </c>
      <c r="G20" s="78">
        <f>+D20*Customers!H19</f>
        <v>2137.4146413406093</v>
      </c>
      <c r="H20" s="78">
        <f>+D20*Customers!H20</f>
        <v>3623.6689242100001</v>
      </c>
      <c r="J20" s="62" t="s">
        <v>76</v>
      </c>
      <c r="K20" s="62"/>
      <c r="L20" s="62">
        <f>SUM(L18:L19)</f>
        <v>733.17000000000007</v>
      </c>
      <c r="M20" s="78">
        <f>L20*N20</f>
        <v>74974.721302187158</v>
      </c>
      <c r="N20" s="78">
        <f>N18</f>
        <v>102.26103264207093</v>
      </c>
      <c r="O20" s="164">
        <f>+M20*Customers!AD18</f>
        <v>65612.97889608382</v>
      </c>
      <c r="P20" s="78">
        <f>+M20*Customers!AD19</f>
        <v>3471.3843485718762</v>
      </c>
      <c r="Q20" s="78">
        <f>+M20*Customers!AD20</f>
        <v>5890.3580575314636</v>
      </c>
      <c r="T20" s="62" t="s">
        <v>76</v>
      </c>
      <c r="U20" s="62"/>
      <c r="V20" s="62">
        <f>SUM(V18:V19)</f>
        <v>712.65000000000009</v>
      </c>
      <c r="W20" s="78">
        <f>V20*X20</f>
        <v>92067.626533581279</v>
      </c>
      <c r="X20" s="78">
        <f>X18</f>
        <v>129.19052344570443</v>
      </c>
      <c r="Y20" s="164">
        <f>+W20*Customers!AP18</f>
        <v>84743.692986410722</v>
      </c>
      <c r="Z20" s="78">
        <f>+W20*Customers!AP19</f>
        <v>5192.804542497799</v>
      </c>
      <c r="AA20" s="78">
        <f>+W20*Customers!AP20</f>
        <v>2131.1290046727504</v>
      </c>
      <c r="AB20" s="78"/>
      <c r="AC20" s="78"/>
      <c r="AG20">
        <f>SUM(AG18:AG19)</f>
        <v>765.72</v>
      </c>
      <c r="AH20" s="72">
        <f>AG20*AI20</f>
        <v>88502.596641338227</v>
      </c>
      <c r="AI20" s="67">
        <f>AI18</f>
        <v>115.58088680109991</v>
      </c>
      <c r="AJ20" s="67"/>
      <c r="AK20" t="s">
        <v>42</v>
      </c>
      <c r="AL20" s="5"/>
      <c r="AO20" s="6">
        <f>6491.99/478.77</f>
        <v>13.559725964450571</v>
      </c>
    </row>
    <row r="21" spans="1:41" x14ac:dyDescent="0.25">
      <c r="AK21" t="s">
        <v>43</v>
      </c>
      <c r="AO21" s="7">
        <f>AO18-AO20</f>
        <v>87.420861457544135</v>
      </c>
    </row>
    <row r="22" spans="1:41" x14ac:dyDescent="0.25">
      <c r="E22" s="67">
        <f>AVERAGE(E5:E16)</f>
        <v>64.776320274697312</v>
      </c>
      <c r="H22" s="67">
        <f>+F20+G20+H20</f>
        <v>46152.765448328311</v>
      </c>
      <c r="Q22" s="67">
        <f>+O20+P20+Q20</f>
        <v>74974.721302187172</v>
      </c>
      <c r="AA22" s="67">
        <f>+Y20+Z20+AA20</f>
        <v>92067.626533581279</v>
      </c>
    </row>
    <row r="23" spans="1:41" x14ac:dyDescent="0.25">
      <c r="AK23" t="s">
        <v>44</v>
      </c>
      <c r="AN23">
        <v>1084.26</v>
      </c>
    </row>
    <row r="24" spans="1:41" x14ac:dyDescent="0.25">
      <c r="B24" t="s">
        <v>109</v>
      </c>
      <c r="AK24" t="s">
        <v>45</v>
      </c>
      <c r="AN24" s="73">
        <f>-325.28</f>
        <v>-325.27999999999997</v>
      </c>
    </row>
    <row r="25" spans="1:41" x14ac:dyDescent="0.25">
      <c r="AK25" t="s">
        <v>46</v>
      </c>
      <c r="AN25">
        <f>SUM(AN23:AN24)</f>
        <v>758.98</v>
      </c>
    </row>
    <row r="26" spans="1:41" ht="15.75" thickBot="1" x14ac:dyDescent="0.3">
      <c r="AE26" s="1"/>
      <c r="AK26" t="s">
        <v>47</v>
      </c>
      <c r="AO26" s="8">
        <f>AO21*AN25</f>
        <v>66350.685429046847</v>
      </c>
    </row>
    <row r="27" spans="1:41" ht="16.5" thickTop="1" thickBot="1" x14ac:dyDescent="0.3">
      <c r="AE27" s="1"/>
      <c r="AK27" t="s">
        <v>48</v>
      </c>
      <c r="AO27" s="79">
        <f>AO26/12</f>
        <v>5529.2237857539039</v>
      </c>
    </row>
    <row r="28" spans="1:41" ht="15.75" thickTop="1" x14ac:dyDescent="0.25">
      <c r="AE28" s="1"/>
      <c r="AK28" t="s">
        <v>49</v>
      </c>
      <c r="AO28" s="62">
        <v>1755</v>
      </c>
    </row>
    <row r="29" spans="1:41" x14ac:dyDescent="0.25">
      <c r="AE29" s="1"/>
      <c r="AK29" t="s">
        <v>50</v>
      </c>
      <c r="AO29" s="5">
        <f>AO27/AO28</f>
        <v>3.1505548636774381</v>
      </c>
    </row>
    <row r="30" spans="1:41" x14ac:dyDescent="0.25">
      <c r="AE30" s="1"/>
    </row>
    <row r="31" spans="1:41" x14ac:dyDescent="0.25">
      <c r="AE31" s="1"/>
    </row>
  </sheetData>
  <pageMargins left="0.7" right="0.7" top="0.75" bottom="0.75" header="0.3" footer="0.3"/>
  <pageSetup scale="94" orientation="landscape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4"/>
  <sheetViews>
    <sheetView zoomScaleNormal="100" workbookViewId="0">
      <selection activeCell="H18" sqref="H18"/>
    </sheetView>
  </sheetViews>
  <sheetFormatPr defaultRowHeight="15" x14ac:dyDescent="0.25"/>
  <cols>
    <col min="1" max="1" width="3.7109375" customWidth="1"/>
    <col min="2" max="2" width="27.140625" bestFit="1" customWidth="1"/>
    <col min="3" max="3" width="16.42578125" customWidth="1"/>
    <col min="4" max="6" width="12.7109375" customWidth="1"/>
    <col min="7" max="7" width="11.140625" customWidth="1"/>
    <col min="9" max="9" width="31.85546875" customWidth="1"/>
    <col min="11" max="11" width="3.7109375" customWidth="1"/>
    <col min="12" max="12" width="27.140625" bestFit="1" customWidth="1"/>
    <col min="13" max="13" width="16.42578125" customWidth="1"/>
    <col min="14" max="16" width="12.7109375" customWidth="1"/>
    <col min="17" max="17" width="11.140625" customWidth="1"/>
    <col min="23" max="23" width="3.7109375" customWidth="1"/>
    <col min="24" max="24" width="27.140625" bestFit="1" customWidth="1"/>
    <col min="25" max="25" width="16.42578125" customWidth="1"/>
    <col min="26" max="28" width="12.7109375" customWidth="1"/>
    <col min="29" max="29" width="11.140625" customWidth="1"/>
    <col min="35" max="35" width="3.28515625" customWidth="1"/>
    <col min="36" max="36" width="27.140625" bestFit="1" customWidth="1"/>
    <col min="37" max="37" width="16.42578125" customWidth="1"/>
    <col min="38" max="40" width="12.7109375" customWidth="1"/>
    <col min="41" max="41" width="11.140625" customWidth="1"/>
  </cols>
  <sheetData>
    <row r="1" spans="1:42" ht="23.25" x14ac:dyDescent="0.35">
      <c r="A1" s="185" t="s">
        <v>61</v>
      </c>
      <c r="B1" s="185"/>
      <c r="C1" s="185"/>
      <c r="D1" s="185"/>
      <c r="E1" s="185"/>
      <c r="F1" s="185"/>
      <c r="G1" s="185"/>
      <c r="K1" s="185" t="s">
        <v>61</v>
      </c>
      <c r="L1" s="185"/>
      <c r="M1" s="185"/>
      <c r="N1" s="185"/>
      <c r="O1" s="185"/>
      <c r="P1" s="185"/>
      <c r="Q1" s="185"/>
      <c r="W1" s="185" t="s">
        <v>61</v>
      </c>
      <c r="X1" s="185"/>
      <c r="Y1" s="185"/>
      <c r="Z1" s="185"/>
      <c r="AA1" s="185"/>
      <c r="AB1" s="185"/>
      <c r="AC1" s="185"/>
      <c r="AI1" s="185" t="s">
        <v>61</v>
      </c>
      <c r="AJ1" s="185"/>
      <c r="AK1" s="185"/>
      <c r="AL1" s="185"/>
      <c r="AM1" s="185"/>
      <c r="AN1" s="185"/>
      <c r="AO1" s="185"/>
    </row>
    <row r="2" spans="1:42" ht="18" x14ac:dyDescent="0.25">
      <c r="A2" s="186" t="s">
        <v>62</v>
      </c>
      <c r="B2" s="186"/>
      <c r="C2" s="186"/>
      <c r="D2" s="186"/>
      <c r="E2" s="186"/>
      <c r="F2" s="186"/>
      <c r="G2" s="186"/>
      <c r="K2" s="186" t="s">
        <v>62</v>
      </c>
      <c r="L2" s="186"/>
      <c r="M2" s="186"/>
      <c r="N2" s="186"/>
      <c r="O2" s="186"/>
      <c r="P2" s="186"/>
      <c r="Q2" s="186"/>
      <c r="W2" s="186" t="s">
        <v>62</v>
      </c>
      <c r="X2" s="186"/>
      <c r="Y2" s="186"/>
      <c r="Z2" s="186"/>
      <c r="AA2" s="186"/>
      <c r="AB2" s="186"/>
      <c r="AC2" s="186"/>
      <c r="AI2" s="186" t="s">
        <v>62</v>
      </c>
      <c r="AJ2" s="186"/>
      <c r="AK2" s="186"/>
      <c r="AL2" s="186"/>
      <c r="AM2" s="186"/>
      <c r="AN2" s="186"/>
      <c r="AO2" s="186"/>
    </row>
    <row r="3" spans="1:42" ht="15.75" x14ac:dyDescent="0.25">
      <c r="A3" s="187" t="s">
        <v>104</v>
      </c>
      <c r="B3" s="187"/>
      <c r="C3" s="187"/>
      <c r="D3" s="187"/>
      <c r="E3" s="187"/>
      <c r="F3" s="187"/>
      <c r="G3" s="187"/>
      <c r="K3" s="187" t="s">
        <v>99</v>
      </c>
      <c r="L3" s="187"/>
      <c r="M3" s="187"/>
      <c r="N3" s="187"/>
      <c r="O3" s="187"/>
      <c r="P3" s="187"/>
      <c r="Q3" s="187"/>
      <c r="W3" s="187" t="s">
        <v>99</v>
      </c>
      <c r="X3" s="187"/>
      <c r="Y3" s="187"/>
      <c r="Z3" s="187"/>
      <c r="AA3" s="187"/>
      <c r="AB3" s="187"/>
      <c r="AC3" s="187"/>
      <c r="AI3" s="187" t="s">
        <v>63</v>
      </c>
      <c r="AJ3" s="187"/>
      <c r="AK3" s="187"/>
      <c r="AL3" s="187"/>
      <c r="AM3" s="187"/>
      <c r="AN3" s="187"/>
      <c r="AO3" s="187"/>
    </row>
    <row r="4" spans="1:42" x14ac:dyDescent="0.25">
      <c r="AI4" s="2"/>
      <c r="AJ4" s="2"/>
      <c r="AK4" s="80"/>
      <c r="AL4" s="2"/>
      <c r="AM4" s="2"/>
      <c r="AN4" s="81"/>
    </row>
    <row r="5" spans="1:42" x14ac:dyDescent="0.25">
      <c r="AI5" s="2"/>
      <c r="AJ5" s="2"/>
      <c r="AK5" s="82"/>
      <c r="AL5" s="83"/>
      <c r="AM5" s="83"/>
      <c r="AN5" s="84"/>
    </row>
    <row r="6" spans="1:42" x14ac:dyDescent="0.25">
      <c r="AI6" s="2"/>
      <c r="AJ6" s="2"/>
      <c r="AK6" s="80"/>
      <c r="AL6" s="2"/>
      <c r="AM6" s="2"/>
      <c r="AN6" s="81"/>
    </row>
    <row r="7" spans="1:42" ht="15" customHeight="1" x14ac:dyDescent="0.25">
      <c r="AI7" s="2"/>
      <c r="AJ7" s="2"/>
      <c r="AK7" s="80"/>
      <c r="AL7" s="2"/>
      <c r="AM7" s="2"/>
      <c r="AN7" s="81"/>
    </row>
    <row r="8" spans="1:42" ht="15.75" x14ac:dyDescent="0.25">
      <c r="B8" s="85" t="s">
        <v>52</v>
      </c>
      <c r="C8" s="86" t="s">
        <v>10</v>
      </c>
      <c r="D8" s="85" t="s">
        <v>53</v>
      </c>
      <c r="E8" s="85" t="s">
        <v>54</v>
      </c>
      <c r="F8" s="85" t="s">
        <v>55</v>
      </c>
      <c r="G8" s="85" t="s">
        <v>70</v>
      </c>
      <c r="H8" s="85" t="s">
        <v>48</v>
      </c>
      <c r="L8" s="85" t="s">
        <v>52</v>
      </c>
      <c r="M8" s="86" t="s">
        <v>10</v>
      </c>
      <c r="N8" s="85" t="s">
        <v>53</v>
      </c>
      <c r="O8" s="85" t="s">
        <v>54</v>
      </c>
      <c r="P8" s="85" t="s">
        <v>55</v>
      </c>
      <c r="Q8" s="85" t="s">
        <v>70</v>
      </c>
      <c r="R8" s="85" t="s">
        <v>48</v>
      </c>
      <c r="X8" s="85" t="s">
        <v>52</v>
      </c>
      <c r="Y8" s="86" t="s">
        <v>10</v>
      </c>
      <c r="Z8" s="85" t="s">
        <v>53</v>
      </c>
      <c r="AA8" s="85" t="s">
        <v>54</v>
      </c>
      <c r="AB8" s="85" t="s">
        <v>55</v>
      </c>
      <c r="AC8" s="85" t="s">
        <v>70</v>
      </c>
      <c r="AD8" s="85" t="s">
        <v>48</v>
      </c>
      <c r="AJ8" s="85" t="s">
        <v>52</v>
      </c>
      <c r="AK8" s="86" t="s">
        <v>10</v>
      </c>
      <c r="AL8" s="85" t="s">
        <v>53</v>
      </c>
      <c r="AM8" s="85" t="s">
        <v>54</v>
      </c>
      <c r="AN8" s="85" t="s">
        <v>55</v>
      </c>
      <c r="AO8" s="85" t="s">
        <v>70</v>
      </c>
      <c r="AP8" s="85" t="s">
        <v>48</v>
      </c>
    </row>
    <row r="9" spans="1:42" ht="16.5" thickBot="1" x14ac:dyDescent="0.3">
      <c r="B9" s="87"/>
      <c r="C9" s="88"/>
      <c r="D9" s="87" t="s">
        <v>56</v>
      </c>
      <c r="E9" s="87" t="s">
        <v>56</v>
      </c>
      <c r="F9" s="87"/>
      <c r="G9" s="178" t="s">
        <v>71</v>
      </c>
      <c r="H9" s="110" t="s">
        <v>71</v>
      </c>
      <c r="L9" s="87"/>
      <c r="M9" s="88"/>
      <c r="N9" s="87" t="s">
        <v>56</v>
      </c>
      <c r="O9" s="87" t="s">
        <v>56</v>
      </c>
      <c r="P9" s="87"/>
      <c r="Q9" s="178" t="s">
        <v>71</v>
      </c>
      <c r="R9" s="110" t="s">
        <v>71</v>
      </c>
      <c r="X9" s="87"/>
      <c r="Y9" s="88"/>
      <c r="Z9" s="87" t="s">
        <v>56</v>
      </c>
      <c r="AA9" s="87" t="s">
        <v>56</v>
      </c>
      <c r="AB9" s="87"/>
      <c r="AC9" s="167" t="s">
        <v>71</v>
      </c>
      <c r="AD9" s="110" t="s">
        <v>71</v>
      </c>
      <c r="AJ9" s="87"/>
      <c r="AK9" s="88"/>
      <c r="AL9" s="87" t="s">
        <v>56</v>
      </c>
      <c r="AM9" s="87" t="s">
        <v>56</v>
      </c>
      <c r="AN9" s="87"/>
      <c r="AO9" t="s">
        <v>71</v>
      </c>
      <c r="AP9" s="110" t="s">
        <v>71</v>
      </c>
    </row>
    <row r="10" spans="1:42" ht="16.5" thickTop="1" x14ac:dyDescent="0.25">
      <c r="AJ10" s="89"/>
      <c r="AK10" s="90"/>
      <c r="AL10" s="90"/>
      <c r="AM10" s="90"/>
      <c r="AN10" s="91"/>
    </row>
    <row r="11" spans="1:42" ht="15.75" x14ac:dyDescent="0.25">
      <c r="B11" s="92" t="s">
        <v>7</v>
      </c>
      <c r="C11" s="157">
        <f>+'Customer Summary'!N8</f>
        <v>1752</v>
      </c>
      <c r="D11" s="159">
        <f>+C11*4.33</f>
        <v>7586.16</v>
      </c>
      <c r="E11" s="159">
        <f>+D11*12</f>
        <v>91033.919999999998</v>
      </c>
      <c r="F11" s="94" t="s">
        <v>57</v>
      </c>
      <c r="G11">
        <v>68</v>
      </c>
      <c r="H11">
        <f>+G11*D11</f>
        <v>515858.88</v>
      </c>
      <c r="L11" s="92" t="s">
        <v>7</v>
      </c>
      <c r="M11" s="157">
        <v>1720</v>
      </c>
      <c r="N11" s="159">
        <f>+M11*4.33</f>
        <v>7447.6</v>
      </c>
      <c r="O11" s="159">
        <f>+N11*12</f>
        <v>89371.200000000012</v>
      </c>
      <c r="P11" s="94" t="s">
        <v>57</v>
      </c>
      <c r="Q11">
        <v>68</v>
      </c>
      <c r="R11">
        <f>+Q11*N11</f>
        <v>506436.80000000005</v>
      </c>
      <c r="T11">
        <f>M11*12</f>
        <v>20640</v>
      </c>
      <c r="X11" s="92" t="s">
        <v>7</v>
      </c>
      <c r="Y11" s="157">
        <v>1720</v>
      </c>
      <c r="Z11" s="159">
        <f>+Y11*4.33</f>
        <v>7447.6</v>
      </c>
      <c r="AA11" s="159">
        <f>+Z11*12</f>
        <v>89371.200000000012</v>
      </c>
      <c r="AB11" s="94" t="s">
        <v>57</v>
      </c>
      <c r="AC11">
        <v>68</v>
      </c>
      <c r="AD11">
        <f>+AC11*Z11</f>
        <v>506436.80000000005</v>
      </c>
      <c r="AF11">
        <f>Y11*12</f>
        <v>20640</v>
      </c>
      <c r="AJ11" s="92" t="s">
        <v>7</v>
      </c>
      <c r="AK11" s="157">
        <v>1755</v>
      </c>
      <c r="AL11" s="159">
        <f>+AK11*4.33</f>
        <v>7599.1500000000005</v>
      </c>
      <c r="AM11" s="159">
        <f>+AL11*12</f>
        <v>91189.8</v>
      </c>
      <c r="AN11" s="94" t="s">
        <v>57</v>
      </c>
      <c r="AO11">
        <v>68</v>
      </c>
      <c r="AP11">
        <f>+AO11*AL11</f>
        <v>516742.2</v>
      </c>
    </row>
    <row r="12" spans="1:42" ht="15.75" x14ac:dyDescent="0.25">
      <c r="B12" s="92" t="s">
        <v>64</v>
      </c>
      <c r="C12" s="157">
        <f>+'Customer Summary'!N9</f>
        <v>91.583333333333329</v>
      </c>
      <c r="D12" s="159">
        <f>+C12*4.33</f>
        <v>396.55583333333334</v>
      </c>
      <c r="E12" s="160">
        <f>+D12*12</f>
        <v>4758.67</v>
      </c>
      <c r="F12" s="95" t="s">
        <v>58</v>
      </c>
      <c r="G12">
        <v>68</v>
      </c>
      <c r="H12">
        <f t="shared" ref="H12:H14" si="0">+G12*D12</f>
        <v>26965.796666666669</v>
      </c>
      <c r="L12" s="92" t="s">
        <v>64</v>
      </c>
      <c r="M12" s="157">
        <v>91</v>
      </c>
      <c r="N12" s="159">
        <f>+M12*4.33</f>
        <v>394.03000000000003</v>
      </c>
      <c r="O12" s="160">
        <f>+N12*12</f>
        <v>4728.3600000000006</v>
      </c>
      <c r="P12" s="95" t="s">
        <v>58</v>
      </c>
      <c r="Q12">
        <v>68</v>
      </c>
      <c r="R12">
        <f t="shared" ref="R12:R14" si="1">+Q12*N12</f>
        <v>26794.04</v>
      </c>
      <c r="X12" s="92" t="s">
        <v>64</v>
      </c>
      <c r="Y12" s="157">
        <v>91</v>
      </c>
      <c r="Z12" s="159">
        <f>+Y12*4.33</f>
        <v>394.03000000000003</v>
      </c>
      <c r="AA12" s="160">
        <f>+Z12*12</f>
        <v>4728.3600000000006</v>
      </c>
      <c r="AB12" s="95" t="s">
        <v>58</v>
      </c>
      <c r="AC12">
        <v>68</v>
      </c>
      <c r="AD12">
        <f t="shared" ref="AD12:AD14" si="2">+AC12*Z12</f>
        <v>26794.04</v>
      </c>
      <c r="AJ12" s="92" t="s">
        <v>64</v>
      </c>
      <c r="AK12" s="157">
        <v>90</v>
      </c>
      <c r="AL12" s="159">
        <f>+AK12*4.33</f>
        <v>389.7</v>
      </c>
      <c r="AM12" s="160">
        <f>+AL12*12</f>
        <v>4676.3999999999996</v>
      </c>
      <c r="AN12" s="95" t="s">
        <v>58</v>
      </c>
      <c r="AO12">
        <v>68</v>
      </c>
      <c r="AP12">
        <f t="shared" ref="AP12:AP14" si="3">+AO12*AL12</f>
        <v>26499.599999999999</v>
      </c>
    </row>
    <row r="13" spans="1:42" ht="15.75" x14ac:dyDescent="0.25">
      <c r="B13" s="92" t="s">
        <v>65</v>
      </c>
      <c r="C13" s="157">
        <f>+'Customer Summary'!N10</f>
        <v>2.25</v>
      </c>
      <c r="D13" s="159">
        <f>+C13*2.17</f>
        <v>4.8825000000000003</v>
      </c>
      <c r="E13" s="160">
        <f t="shared" ref="E13:E15" si="4">+D13*12</f>
        <v>58.59</v>
      </c>
      <c r="F13" s="95" t="s">
        <v>58</v>
      </c>
      <c r="G13">
        <v>68</v>
      </c>
      <c r="H13">
        <f t="shared" si="0"/>
        <v>332.01</v>
      </c>
      <c r="L13" s="92" t="s">
        <v>65</v>
      </c>
      <c r="M13" s="177"/>
      <c r="N13" s="159">
        <f>+M13*2.17</f>
        <v>0</v>
      </c>
      <c r="O13" s="160">
        <f t="shared" ref="O13:O15" si="5">+N13*12</f>
        <v>0</v>
      </c>
      <c r="P13" s="95" t="s">
        <v>58</v>
      </c>
      <c r="Q13">
        <v>68</v>
      </c>
      <c r="R13">
        <f t="shared" si="1"/>
        <v>0</v>
      </c>
      <c r="X13" s="92" t="s">
        <v>65</v>
      </c>
      <c r="Y13" s="177"/>
      <c r="Z13" s="159">
        <f>+Y13*2.17</f>
        <v>0</v>
      </c>
      <c r="AA13" s="160">
        <f t="shared" ref="AA13:AA15" si="6">+Z13*12</f>
        <v>0</v>
      </c>
      <c r="AB13" s="95" t="s">
        <v>58</v>
      </c>
      <c r="AC13">
        <v>68</v>
      </c>
      <c r="AD13">
        <f t="shared" si="2"/>
        <v>0</v>
      </c>
      <c r="AJ13" s="92" t="s">
        <v>65</v>
      </c>
      <c r="AK13" s="157">
        <v>35</v>
      </c>
      <c r="AL13" s="159">
        <f>+AK13*2.17</f>
        <v>75.95</v>
      </c>
      <c r="AM13" s="160">
        <f t="shared" ref="AM13:AM15" si="7">+AL13*12</f>
        <v>911.40000000000009</v>
      </c>
      <c r="AN13" s="95" t="s">
        <v>58</v>
      </c>
      <c r="AO13">
        <v>68</v>
      </c>
      <c r="AP13">
        <f t="shared" si="3"/>
        <v>5164.6000000000004</v>
      </c>
    </row>
    <row r="14" spans="1:42" ht="15.75" x14ac:dyDescent="0.25">
      <c r="B14" s="92" t="s">
        <v>66</v>
      </c>
      <c r="C14" s="157">
        <f>+'Customer Summary'!N11</f>
        <v>41.75</v>
      </c>
      <c r="D14" s="93">
        <f t="shared" ref="D14" si="8">+C14*4.33</f>
        <v>180.7775</v>
      </c>
      <c r="E14" s="160">
        <f t="shared" si="4"/>
        <v>2169.33</v>
      </c>
      <c r="F14" s="95" t="s">
        <v>58</v>
      </c>
      <c r="G14">
        <v>250</v>
      </c>
      <c r="H14">
        <f t="shared" si="0"/>
        <v>45194.375</v>
      </c>
      <c r="L14" s="92" t="s">
        <v>66</v>
      </c>
      <c r="M14" s="157">
        <v>42</v>
      </c>
      <c r="N14" s="93">
        <f t="shared" ref="N14" si="9">+M14*4.33</f>
        <v>181.86</v>
      </c>
      <c r="O14" s="160">
        <f t="shared" si="5"/>
        <v>2182.3200000000002</v>
      </c>
      <c r="P14" s="95" t="s">
        <v>58</v>
      </c>
      <c r="Q14">
        <v>250</v>
      </c>
      <c r="R14">
        <f t="shared" si="1"/>
        <v>45465</v>
      </c>
      <c r="X14" s="92" t="s">
        <v>66</v>
      </c>
      <c r="Y14" s="157">
        <v>42</v>
      </c>
      <c r="Z14" s="93">
        <f t="shared" ref="Z14" si="10">+Y14*4.33</f>
        <v>181.86</v>
      </c>
      <c r="AA14" s="160">
        <f t="shared" si="6"/>
        <v>2182.3200000000002</v>
      </c>
      <c r="AB14" s="95" t="s">
        <v>58</v>
      </c>
      <c r="AC14">
        <v>250</v>
      </c>
      <c r="AD14">
        <f t="shared" si="2"/>
        <v>45465</v>
      </c>
      <c r="AJ14" s="92" t="s">
        <v>66</v>
      </c>
      <c r="AK14" s="157">
        <v>10</v>
      </c>
      <c r="AL14" s="93">
        <f t="shared" ref="AL14" si="11">+AK14*4.33</f>
        <v>43.3</v>
      </c>
      <c r="AM14" s="160">
        <f t="shared" si="7"/>
        <v>519.59999999999991</v>
      </c>
      <c r="AN14" s="95" t="s">
        <v>58</v>
      </c>
      <c r="AO14">
        <v>250</v>
      </c>
      <c r="AP14">
        <f t="shared" si="3"/>
        <v>10825</v>
      </c>
    </row>
    <row r="15" spans="1:42" ht="15.75" x14ac:dyDescent="0.25">
      <c r="B15" s="89" t="s">
        <v>67</v>
      </c>
      <c r="C15" s="157">
        <f>+'Customer Summary'!N12</f>
        <v>2</v>
      </c>
      <c r="D15" s="93">
        <f>+C15*2.17</f>
        <v>4.34</v>
      </c>
      <c r="E15" s="160">
        <f t="shared" si="4"/>
        <v>52.08</v>
      </c>
      <c r="F15" s="96" t="s">
        <v>58</v>
      </c>
      <c r="G15">
        <v>250</v>
      </c>
      <c r="H15">
        <f>+G15*D15</f>
        <v>1085</v>
      </c>
      <c r="L15" s="89" t="s">
        <v>67</v>
      </c>
      <c r="M15" s="158"/>
      <c r="N15" s="93">
        <f>+M15*2.17</f>
        <v>0</v>
      </c>
      <c r="O15" s="160">
        <f t="shared" si="5"/>
        <v>0</v>
      </c>
      <c r="P15" s="96" t="s">
        <v>58</v>
      </c>
      <c r="Q15">
        <v>250</v>
      </c>
      <c r="R15">
        <f>+Q15*N15</f>
        <v>0</v>
      </c>
      <c r="X15" s="89" t="s">
        <v>67</v>
      </c>
      <c r="Y15" s="158"/>
      <c r="Z15" s="93">
        <f>+Y15*2.17</f>
        <v>0</v>
      </c>
      <c r="AA15" s="160">
        <f t="shared" si="6"/>
        <v>0</v>
      </c>
      <c r="AB15" s="96" t="s">
        <v>58</v>
      </c>
      <c r="AC15">
        <v>250</v>
      </c>
      <c r="AD15">
        <f>+AC15*Z15</f>
        <v>0</v>
      </c>
      <c r="AJ15" s="89" t="s">
        <v>67</v>
      </c>
      <c r="AK15" s="158">
        <v>4</v>
      </c>
      <c r="AL15" s="93">
        <f>+AK15*2.17</f>
        <v>8.68</v>
      </c>
      <c r="AM15" s="160">
        <f t="shared" si="7"/>
        <v>104.16</v>
      </c>
      <c r="AN15" s="96" t="s">
        <v>58</v>
      </c>
      <c r="AO15">
        <v>250</v>
      </c>
      <c r="AP15">
        <f>+AO15*AL15</f>
        <v>2170</v>
      </c>
    </row>
    <row r="16" spans="1:42" ht="15.75" x14ac:dyDescent="0.25">
      <c r="A16" t="s">
        <v>59</v>
      </c>
      <c r="B16" s="97"/>
      <c r="C16" s="98">
        <f>SUM(C11:C15)</f>
        <v>1889.5833333333333</v>
      </c>
      <c r="D16" s="99"/>
      <c r="E16" s="99"/>
      <c r="F16" s="100"/>
      <c r="H16">
        <f>SUM(H11:H15)</f>
        <v>589436.06166666665</v>
      </c>
      <c r="K16" t="s">
        <v>59</v>
      </c>
      <c r="L16" s="97"/>
      <c r="M16" s="98">
        <f>SUM(M11:M15)</f>
        <v>1853</v>
      </c>
      <c r="N16" s="99"/>
      <c r="O16" s="99"/>
      <c r="P16" s="100"/>
      <c r="R16">
        <f>SUM(R11:R15)</f>
        <v>578695.84000000008</v>
      </c>
      <c r="W16" t="s">
        <v>59</v>
      </c>
      <c r="X16" s="97"/>
      <c r="Y16" s="98">
        <f>SUM(Y11:Y15)</f>
        <v>1853</v>
      </c>
      <c r="Z16" s="99"/>
      <c r="AA16" s="99"/>
      <c r="AB16" s="100"/>
      <c r="AD16">
        <f>SUM(AD11:AD15)</f>
        <v>578695.84000000008</v>
      </c>
      <c r="AI16" t="s">
        <v>59</v>
      </c>
      <c r="AJ16" s="97"/>
      <c r="AK16" s="98">
        <f>SUM(AK11:AK15)</f>
        <v>1894</v>
      </c>
      <c r="AL16" s="99"/>
      <c r="AM16" s="99"/>
      <c r="AN16" s="100"/>
      <c r="AP16">
        <f>SUM(AP11:AP15)</f>
        <v>561401.4</v>
      </c>
    </row>
    <row r="17" spans="2:43" ht="15.75" x14ac:dyDescent="0.25">
      <c r="B17" s="89"/>
      <c r="C17" s="101"/>
      <c r="D17" s="102"/>
      <c r="E17" s="102"/>
      <c r="F17" s="103" t="s">
        <v>60</v>
      </c>
      <c r="L17" s="89"/>
      <c r="M17" s="101"/>
      <c r="N17" s="102"/>
      <c r="O17" s="102"/>
      <c r="P17" s="103" t="s">
        <v>60</v>
      </c>
      <c r="X17" s="89"/>
      <c r="Y17" s="101"/>
      <c r="Z17" s="102"/>
      <c r="AA17" s="102"/>
      <c r="AB17" s="103" t="s">
        <v>60</v>
      </c>
      <c r="AJ17" s="89"/>
      <c r="AK17" s="101"/>
      <c r="AL17" s="102"/>
      <c r="AM17" s="102"/>
      <c r="AN17" s="103" t="s">
        <v>60</v>
      </c>
    </row>
    <row r="18" spans="2:43" ht="15.75" x14ac:dyDescent="0.25">
      <c r="B18" s="104">
        <v>2022</v>
      </c>
      <c r="C18" s="101"/>
      <c r="D18" s="102"/>
      <c r="E18" s="102"/>
      <c r="F18" s="103" t="s">
        <v>60</v>
      </c>
      <c r="H18" s="152">
        <f>+H11/H16</f>
        <v>0.87517359990051735</v>
      </c>
      <c r="I18" t="s">
        <v>72</v>
      </c>
      <c r="L18" s="104">
        <v>2021</v>
      </c>
      <c r="M18" s="101"/>
      <c r="N18" s="102"/>
      <c r="O18" s="102"/>
      <c r="P18" s="103" t="s">
        <v>60</v>
      </c>
      <c r="R18" s="152">
        <f>+R11/R16</f>
        <v>0.87513468215012569</v>
      </c>
      <c r="S18" t="s">
        <v>72</v>
      </c>
      <c r="X18" s="104">
        <v>2021</v>
      </c>
      <c r="Y18" s="101"/>
      <c r="Z18" s="102"/>
      <c r="AA18" s="102"/>
      <c r="AB18" s="103" t="s">
        <v>60</v>
      </c>
      <c r="AD18" s="152">
        <f>+AD11/AD16</f>
        <v>0.87513468215012569</v>
      </c>
      <c r="AE18" t="s">
        <v>72</v>
      </c>
      <c r="AJ18" s="104">
        <v>2019</v>
      </c>
      <c r="AK18" s="101"/>
      <c r="AL18" s="102"/>
      <c r="AM18" s="102"/>
      <c r="AN18" s="103" t="s">
        <v>60</v>
      </c>
      <c r="AP18" s="152">
        <f>+AP11/AP16</f>
        <v>0.92045050119219507</v>
      </c>
      <c r="AQ18" t="s">
        <v>72</v>
      </c>
    </row>
    <row r="19" spans="2:43" x14ac:dyDescent="0.25">
      <c r="C19" s="105"/>
      <c r="D19" s="105"/>
      <c r="E19" s="105"/>
      <c r="F19" s="106"/>
      <c r="H19" s="152">
        <f>(+H12+H13)/H16</f>
        <v>4.6311734964909416E-2</v>
      </c>
      <c r="I19" t="s">
        <v>73</v>
      </c>
      <c r="M19" s="105"/>
      <c r="N19" s="105"/>
      <c r="O19" s="105"/>
      <c r="P19" s="106"/>
      <c r="R19" s="152">
        <f>(+R12+R13)/R16</f>
        <v>4.6300730276547346E-2</v>
      </c>
      <c r="S19" t="s">
        <v>73</v>
      </c>
      <c r="Y19" s="105"/>
      <c r="Z19" s="105"/>
      <c r="AA19" s="105"/>
      <c r="AB19" s="106"/>
      <c r="AD19" s="152">
        <f>(+AD12+AD13)/AD16</f>
        <v>4.6300730276547346E-2</v>
      </c>
      <c r="AE19" t="s">
        <v>73</v>
      </c>
      <c r="AK19" s="105"/>
      <c r="AL19" s="105"/>
      <c r="AM19" s="105"/>
      <c r="AN19" s="106"/>
      <c r="AP19" s="152">
        <f>(+AP12+AP13)/AP16</f>
        <v>5.6402068110268329E-2</v>
      </c>
      <c r="AQ19" t="s">
        <v>73</v>
      </c>
    </row>
    <row r="20" spans="2:43" x14ac:dyDescent="0.25">
      <c r="C20" s="107"/>
      <c r="D20" s="108"/>
      <c r="E20" s="108"/>
      <c r="F20" s="106"/>
      <c r="H20" s="152">
        <f>(+H14+H15)/H16</f>
        <v>7.8514665134573253E-2</v>
      </c>
      <c r="I20" t="s">
        <v>74</v>
      </c>
      <c r="M20" s="107"/>
      <c r="N20" s="108"/>
      <c r="O20" s="108"/>
      <c r="P20" s="106"/>
      <c r="R20" s="152">
        <f>(+R14+R15)/R16</f>
        <v>7.8564587573326933E-2</v>
      </c>
      <c r="S20" t="s">
        <v>74</v>
      </c>
      <c r="Y20" s="107"/>
      <c r="Z20" s="108"/>
      <c r="AA20" s="108"/>
      <c r="AB20" s="106"/>
      <c r="AD20" s="152">
        <f>(+AD14+AD15)/AD16</f>
        <v>7.8564587573326933E-2</v>
      </c>
      <c r="AE20" t="s">
        <v>74</v>
      </c>
      <c r="AK20" s="107"/>
      <c r="AL20" s="108"/>
      <c r="AM20" s="108"/>
      <c r="AN20" s="106"/>
      <c r="AP20" s="152">
        <f>(+AP14+AP15)/AP16</f>
        <v>2.3147430697536556E-2</v>
      </c>
      <c r="AQ20" t="s">
        <v>74</v>
      </c>
    </row>
    <row r="21" spans="2:43" x14ac:dyDescent="0.25">
      <c r="AK21" s="105"/>
      <c r="AL21" s="108"/>
      <c r="AM21" s="108"/>
      <c r="AN21" s="106"/>
      <c r="AP21">
        <f>SUM(AP18:AP20)</f>
        <v>1</v>
      </c>
    </row>
    <row r="22" spans="2:43" x14ac:dyDescent="0.25">
      <c r="AK22" s="105"/>
      <c r="AL22" s="108"/>
      <c r="AM22" s="108"/>
      <c r="AN22" s="109"/>
    </row>
    <row r="23" spans="2:43" ht="15.75" x14ac:dyDescent="0.25">
      <c r="AK23" s="101"/>
      <c r="AL23" s="102"/>
      <c r="AM23" s="102"/>
      <c r="AN23" s="103" t="s">
        <v>60</v>
      </c>
    </row>
    <row r="24" spans="2:43" ht="15.75" x14ac:dyDescent="0.25">
      <c r="AK24" s="101"/>
      <c r="AL24" s="102"/>
      <c r="AM24" s="102"/>
      <c r="AN24" s="103" t="s">
        <v>60</v>
      </c>
    </row>
  </sheetData>
  <mergeCells count="12">
    <mergeCell ref="AI1:AO1"/>
    <mergeCell ref="AI2:AO2"/>
    <mergeCell ref="AI3:AO3"/>
    <mergeCell ref="W1:AC1"/>
    <mergeCell ref="W2:AC2"/>
    <mergeCell ref="W3:AC3"/>
    <mergeCell ref="K1:Q1"/>
    <mergeCell ref="K2:Q2"/>
    <mergeCell ref="K3:Q3"/>
    <mergeCell ref="A1:G1"/>
    <mergeCell ref="A2:G2"/>
    <mergeCell ref="A3:G3"/>
  </mergeCells>
  <pageMargins left="0.7" right="0.7" top="0.75" bottom="0.75" header="0.3" footer="0.3"/>
  <pageSetup scale="64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T61"/>
  <sheetViews>
    <sheetView zoomScaleNormal="100" workbookViewId="0">
      <selection activeCell="O10" sqref="O10"/>
    </sheetView>
  </sheetViews>
  <sheetFormatPr defaultRowHeight="15" x14ac:dyDescent="0.25"/>
  <cols>
    <col min="11" max="11" width="9.42578125" customWidth="1"/>
    <col min="12" max="12" width="9.5703125" bestFit="1" customWidth="1"/>
    <col min="17" max="17" width="16" customWidth="1"/>
    <col min="18" max="18" width="9.7109375" bestFit="1" customWidth="1"/>
    <col min="20" max="20" width="9.7109375" bestFit="1" customWidth="1"/>
  </cols>
  <sheetData>
    <row r="4" spans="1:19" x14ac:dyDescent="0.25">
      <c r="F4" s="113" t="s">
        <v>80</v>
      </c>
      <c r="G4" s="113"/>
      <c r="H4" s="113"/>
      <c r="I4" s="113"/>
      <c r="J4" s="113"/>
      <c r="K4" s="113"/>
      <c r="L4" s="113"/>
      <c r="M4" s="113"/>
      <c r="N4" s="113"/>
      <c r="O4" s="113"/>
    </row>
    <row r="5" spans="1:19" x14ac:dyDescent="0.25">
      <c r="F5" s="2"/>
      <c r="G5" s="2"/>
      <c r="H5" s="2"/>
      <c r="I5" s="2"/>
      <c r="J5" s="83"/>
      <c r="K5" s="83"/>
      <c r="L5" s="83"/>
      <c r="M5" s="2"/>
    </row>
    <row r="6" spans="1:19" x14ac:dyDescent="0.25">
      <c r="A6" s="114"/>
      <c r="B6" s="114"/>
      <c r="C6" s="114"/>
      <c r="D6" s="115">
        <v>43647</v>
      </c>
      <c r="E6" s="115">
        <v>43678</v>
      </c>
      <c r="F6" s="115">
        <v>43709</v>
      </c>
      <c r="G6" s="115">
        <v>43739</v>
      </c>
      <c r="H6" s="115">
        <v>43770</v>
      </c>
      <c r="I6" s="115">
        <v>43800</v>
      </c>
      <c r="J6" s="115">
        <v>43831</v>
      </c>
      <c r="K6" s="115">
        <v>43862</v>
      </c>
      <c r="L6" s="115">
        <v>43891</v>
      </c>
      <c r="M6" s="115">
        <v>43922</v>
      </c>
      <c r="N6" s="115">
        <v>43952</v>
      </c>
      <c r="O6" s="115">
        <v>43983</v>
      </c>
      <c r="P6" s="115"/>
      <c r="Q6" s="116"/>
      <c r="R6" s="117"/>
    </row>
    <row r="7" spans="1:19" x14ac:dyDescent="0.25">
      <c r="A7" s="118"/>
      <c r="B7" s="118"/>
      <c r="C7" s="118"/>
      <c r="D7" s="118"/>
      <c r="E7" s="118"/>
      <c r="F7" s="118"/>
      <c r="G7" s="118"/>
      <c r="H7" s="118"/>
      <c r="I7" s="119"/>
      <c r="J7" s="118"/>
      <c r="K7" s="118"/>
      <c r="L7" s="118"/>
      <c r="M7" s="118"/>
      <c r="N7" s="118"/>
      <c r="O7" s="119"/>
      <c r="P7" s="119"/>
      <c r="Q7" s="119"/>
      <c r="R7" s="120"/>
      <c r="S7" s="62"/>
    </row>
    <row r="8" spans="1:19" x14ac:dyDescent="0.25">
      <c r="A8" s="121" t="s">
        <v>81</v>
      </c>
      <c r="B8" s="121"/>
      <c r="C8" s="121"/>
      <c r="D8" s="122">
        <f>+Data!Y5+Data!Z5+Data!AA5</f>
        <v>60.333333333333321</v>
      </c>
      <c r="E8" s="122">
        <f>+Data!Y6+Data!Z6+Data!AA6</f>
        <v>62.073333333333331</v>
      </c>
      <c r="F8" s="122">
        <f>+Data!Y7+Data!Z7+Data!AA7</f>
        <v>53.36333333333333</v>
      </c>
      <c r="G8" s="122">
        <f>+Data!Y8+Data!Z8+Data!AA8</f>
        <v>65.433333333333337</v>
      </c>
      <c r="H8" s="122">
        <f>+Data!Y9+Data!Z9+Data!AA9</f>
        <v>60.183333333333337</v>
      </c>
      <c r="I8" s="122">
        <f>+Data!Y10+Data!Z10+Data!AA10</f>
        <v>73.533333333333331</v>
      </c>
      <c r="J8" s="122">
        <f>+Data!Y11+Data!Z11+Data!AA11</f>
        <v>69.853333333333325</v>
      </c>
      <c r="K8" s="122">
        <f>+Data!Y12+Data!Z12+Data!AA12</f>
        <v>50.313333333333333</v>
      </c>
      <c r="L8" s="122">
        <f>+Data!Y13+Data!Z13+Data!AA13</f>
        <v>53.433333333333337</v>
      </c>
      <c r="M8" s="122">
        <f>+Data!Y14+Data!Z14+Data!AA14</f>
        <v>53.593333333333334</v>
      </c>
      <c r="N8" s="122">
        <f>+Data!Y15+Data!Z15+Data!AA15</f>
        <v>51.11333333333333</v>
      </c>
      <c r="O8" s="122">
        <f>+Data!Y16+Data!Z16+Data!AA16</f>
        <v>59.423333333333332</v>
      </c>
      <c r="P8" s="123"/>
      <c r="Q8" s="123"/>
      <c r="R8" s="120"/>
      <c r="S8" s="62"/>
    </row>
    <row r="9" spans="1:19" x14ac:dyDescent="0.25">
      <c r="A9" s="121"/>
      <c r="B9" s="121"/>
      <c r="C9" s="121"/>
      <c r="D9" s="121"/>
      <c r="E9" s="121"/>
      <c r="F9" s="121"/>
      <c r="G9" s="121"/>
      <c r="H9" s="121"/>
      <c r="I9" s="124"/>
      <c r="J9" s="121"/>
      <c r="K9" s="121"/>
      <c r="L9" s="121"/>
      <c r="M9" s="121"/>
      <c r="N9" s="121"/>
      <c r="O9" s="124"/>
      <c r="P9" s="119"/>
      <c r="Q9" s="119"/>
      <c r="R9" s="120"/>
      <c r="S9" s="62"/>
    </row>
    <row r="10" spans="1:19" x14ac:dyDescent="0.25">
      <c r="A10" s="121" t="s">
        <v>82</v>
      </c>
      <c r="B10" s="121"/>
      <c r="C10" s="121"/>
      <c r="D10" s="125">
        <f>+Customers!$AK$16</f>
        <v>1894</v>
      </c>
      <c r="E10" s="125">
        <f>+Customers!$AK$16</f>
        <v>1894</v>
      </c>
      <c r="F10" s="125">
        <f>+Customers!$AK$16</f>
        <v>1894</v>
      </c>
      <c r="G10" s="125">
        <f>+Customers!$AK$16</f>
        <v>1894</v>
      </c>
      <c r="H10" s="125">
        <f>+Customers!$AK$16</f>
        <v>1894</v>
      </c>
      <c r="I10" s="125">
        <f>+Customers!$AK$16</f>
        <v>1894</v>
      </c>
      <c r="J10" s="125">
        <f>+Customers!$AK$16</f>
        <v>1894</v>
      </c>
      <c r="K10" s="125">
        <f>+Customers!$AK$16</f>
        <v>1894</v>
      </c>
      <c r="L10" s="125">
        <f>+Customers!$AK$16</f>
        <v>1894</v>
      </c>
      <c r="M10" s="125">
        <f>+Customers!$AK$16</f>
        <v>1894</v>
      </c>
      <c r="N10" s="125">
        <f>+Customers!$AK$16</f>
        <v>1894</v>
      </c>
      <c r="O10" s="125">
        <f>+Customers!$AK$16</f>
        <v>1894</v>
      </c>
      <c r="P10" s="126"/>
      <c r="Q10" s="123"/>
      <c r="R10" s="127"/>
      <c r="S10" s="62"/>
    </row>
    <row r="11" spans="1:19" x14ac:dyDescent="0.25">
      <c r="A11" s="121"/>
      <c r="B11" s="121"/>
      <c r="C11" s="121"/>
      <c r="D11" s="121"/>
      <c r="E11" s="128"/>
      <c r="F11" s="121"/>
      <c r="G11" s="121"/>
      <c r="H11" s="121"/>
      <c r="I11" s="124"/>
      <c r="J11" s="121"/>
      <c r="K11" s="121"/>
      <c r="L11" s="121"/>
      <c r="M11" s="121"/>
      <c r="N11" s="121"/>
      <c r="O11" s="124"/>
      <c r="P11" s="119"/>
      <c r="Q11" s="119"/>
      <c r="R11" s="120"/>
      <c r="S11" s="62"/>
    </row>
    <row r="12" spans="1:19" x14ac:dyDescent="0.25">
      <c r="A12" s="121" t="s">
        <v>83</v>
      </c>
      <c r="B12" s="121"/>
      <c r="C12" s="121"/>
      <c r="D12" s="129">
        <f>D8/D10</f>
        <v>3.1854980640619493E-2</v>
      </c>
      <c r="E12" s="129">
        <f t="shared" ref="E12:J12" si="0">E8/E10</f>
        <v>3.2773671242520237E-2</v>
      </c>
      <c r="F12" s="129">
        <f t="shared" si="0"/>
        <v>2.8174938401971134E-2</v>
      </c>
      <c r="G12" s="129">
        <f t="shared" si="0"/>
        <v>3.4547694473776841E-2</v>
      </c>
      <c r="H12" s="129">
        <f t="shared" si="0"/>
        <v>3.1775783174938406E-2</v>
      </c>
      <c r="I12" s="130">
        <f t="shared" si="0"/>
        <v>3.8824357620556138E-2</v>
      </c>
      <c r="J12" s="129">
        <f t="shared" si="0"/>
        <v>3.6881379795846526E-2</v>
      </c>
      <c r="K12" s="129">
        <f>K8/K10</f>
        <v>2.6564589933122138E-2</v>
      </c>
      <c r="L12" s="129">
        <f t="shared" ref="L12:O12" si="1">L8/L10</f>
        <v>2.8211897219288986E-2</v>
      </c>
      <c r="M12" s="129">
        <f t="shared" si="1"/>
        <v>2.8296374516015486E-2</v>
      </c>
      <c r="N12" s="129">
        <f t="shared" si="1"/>
        <v>2.6986976416754661E-2</v>
      </c>
      <c r="O12" s="130">
        <f t="shared" si="1"/>
        <v>3.1374516015487505E-2</v>
      </c>
      <c r="P12" s="130"/>
      <c r="Q12" s="131"/>
      <c r="R12" s="120"/>
      <c r="S12" s="62"/>
    </row>
    <row r="13" spans="1:19" x14ac:dyDescent="0.25">
      <c r="A13" s="121"/>
      <c r="B13" s="121"/>
      <c r="C13" s="121"/>
      <c r="D13" s="121"/>
      <c r="E13" s="121"/>
      <c r="F13" s="121"/>
      <c r="G13" s="121"/>
      <c r="H13" s="121"/>
      <c r="I13" s="124"/>
      <c r="J13" s="121"/>
      <c r="K13" s="121"/>
      <c r="L13" s="121"/>
      <c r="M13" s="121"/>
      <c r="N13" s="121"/>
      <c r="O13" s="124"/>
      <c r="P13" s="119"/>
      <c r="Q13" s="119"/>
      <c r="R13" s="120"/>
      <c r="S13" s="62"/>
    </row>
    <row r="14" spans="1:19" x14ac:dyDescent="0.25">
      <c r="A14" s="121" t="s">
        <v>84</v>
      </c>
      <c r="B14" s="121"/>
      <c r="C14" s="121"/>
      <c r="D14" s="122">
        <f>+Data!X5</f>
        <v>132.63140439158281</v>
      </c>
      <c r="E14" s="122">
        <f>+Data!X6</f>
        <v>131.02164162368243</v>
      </c>
      <c r="F14" s="122">
        <f>+Data!X7</f>
        <v>132.57114452591028</v>
      </c>
      <c r="G14" s="122">
        <f>+Data!X8</f>
        <v>132.58169440242057</v>
      </c>
      <c r="H14" s="122">
        <f>+Data!X9</f>
        <v>134.42078130370029</v>
      </c>
      <c r="I14" s="122">
        <f>+Data!X10</f>
        <v>133.14099761526231</v>
      </c>
      <c r="J14" s="122">
        <f>+Data!X11</f>
        <v>130.68151815181517</v>
      </c>
      <c r="K14" s="122">
        <f>+Data!X12</f>
        <v>127.77137690519245</v>
      </c>
      <c r="L14" s="122">
        <f>+Data!X13</f>
        <v>127.60106779240128</v>
      </c>
      <c r="M14" s="122">
        <f>+Data!X14</f>
        <v>127.13110285006195</v>
      </c>
      <c r="N14" s="122">
        <f>+Data!X15</f>
        <v>115.33175658399387</v>
      </c>
      <c r="O14" s="122">
        <f>+Data!X16</f>
        <v>122.71177626256789</v>
      </c>
      <c r="P14" s="123"/>
      <c r="Q14" s="119"/>
      <c r="R14" s="120"/>
      <c r="S14" s="62"/>
    </row>
    <row r="15" spans="1:19" x14ac:dyDescent="0.25">
      <c r="A15" s="121"/>
      <c r="B15" s="121"/>
      <c r="C15" s="121"/>
      <c r="D15" s="121"/>
      <c r="E15" s="121"/>
      <c r="F15" s="121"/>
      <c r="G15" s="121"/>
      <c r="H15" s="121"/>
      <c r="I15" s="124"/>
      <c r="J15" s="121"/>
      <c r="K15" s="121"/>
      <c r="L15" s="121"/>
      <c r="M15" s="121"/>
      <c r="N15" s="121"/>
      <c r="O15" s="124"/>
      <c r="P15" s="123"/>
      <c r="Q15" s="119"/>
      <c r="R15" s="120"/>
      <c r="S15" s="62"/>
    </row>
    <row r="16" spans="1:19" x14ac:dyDescent="0.25">
      <c r="A16" s="121" t="s">
        <v>85</v>
      </c>
      <c r="B16" s="121"/>
      <c r="C16" s="121"/>
      <c r="D16" s="122">
        <f>D12*D14</f>
        <v>4.2249708192320456</v>
      </c>
      <c r="E16" s="122">
        <f t="shared" ref="E16:I16" si="2">E12*E14</f>
        <v>4.2940602082298733</v>
      </c>
      <c r="F16" s="122">
        <f t="shared" si="2"/>
        <v>3.735183830896335</v>
      </c>
      <c r="G16" s="122">
        <f t="shared" si="2"/>
        <v>4.580391871030475</v>
      </c>
      <c r="H16" s="122">
        <f t="shared" si="2"/>
        <v>4.2713256009121947</v>
      </c>
      <c r="I16" s="123">
        <f t="shared" si="2"/>
        <v>5.1691137053725553</v>
      </c>
      <c r="J16" s="122">
        <f>J12*J14</f>
        <v>4.819714703254907</v>
      </c>
      <c r="K16" s="122">
        <f>K12*K14</f>
        <v>3.39419423267683</v>
      </c>
      <c r="L16" s="122">
        <f t="shared" ref="L16:O16" si="3">L12*L14</f>
        <v>3.5998682096307513</v>
      </c>
      <c r="M16" s="122">
        <f t="shared" si="3"/>
        <v>3.5973492988794367</v>
      </c>
      <c r="N16" s="122">
        <f t="shared" si="3"/>
        <v>3.1124553950351315</v>
      </c>
      <c r="O16" s="123">
        <f t="shared" si="3"/>
        <v>3.850022589638856</v>
      </c>
      <c r="P16" s="123"/>
      <c r="Q16" s="119"/>
      <c r="R16" s="120"/>
      <c r="S16" s="62"/>
    </row>
    <row r="17" spans="1:20" x14ac:dyDescent="0.25">
      <c r="A17" s="121" t="s">
        <v>86</v>
      </c>
      <c r="B17" s="121"/>
      <c r="C17" s="121"/>
      <c r="D17" s="122">
        <f>+Analysis!P11</f>
        <v>-3.1505548636774381</v>
      </c>
      <c r="E17" s="122">
        <f>+D17</f>
        <v>-3.1505548636774381</v>
      </c>
      <c r="F17" s="122">
        <f>+D17</f>
        <v>-3.1505548636774381</v>
      </c>
      <c r="G17" s="122">
        <f>+Analysis!P12</f>
        <v>-4.2024024995887101</v>
      </c>
      <c r="H17" s="122">
        <f t="shared" ref="H17:J17" si="4">+G17</f>
        <v>-4.2024024995887101</v>
      </c>
      <c r="I17" s="122">
        <f t="shared" si="4"/>
        <v>-4.2024024995887101</v>
      </c>
      <c r="J17" s="122">
        <f t="shared" si="4"/>
        <v>-4.2024024995887101</v>
      </c>
      <c r="K17" s="122">
        <f>+J17</f>
        <v>-4.2024024995887101</v>
      </c>
      <c r="L17" s="122">
        <f>+G17</f>
        <v>-4.2024024995887101</v>
      </c>
      <c r="M17" s="122">
        <f>+L17</f>
        <v>-4.2024024995887101</v>
      </c>
      <c r="N17" s="122">
        <f t="shared" ref="N17:O17" si="5">+M17</f>
        <v>-4.2024024995887101</v>
      </c>
      <c r="O17" s="122">
        <f t="shared" si="5"/>
        <v>-4.2024024995887101</v>
      </c>
      <c r="P17" s="123"/>
      <c r="Q17" s="119"/>
      <c r="R17" s="120"/>
      <c r="S17" s="62"/>
    </row>
    <row r="18" spans="1:20" x14ac:dyDescent="0.25">
      <c r="A18" s="118"/>
      <c r="B18" s="118"/>
      <c r="C18" s="118"/>
      <c r="D18" s="118"/>
      <c r="E18" s="118"/>
      <c r="F18" s="118"/>
      <c r="G18" s="118"/>
      <c r="H18" s="118"/>
      <c r="I18" s="119"/>
      <c r="J18" s="118"/>
      <c r="K18" s="118"/>
      <c r="L18" s="118"/>
      <c r="M18" s="118"/>
      <c r="N18" s="118"/>
      <c r="O18" s="119"/>
      <c r="P18" s="123"/>
      <c r="Q18" s="119"/>
      <c r="R18" s="120"/>
      <c r="S18" s="62"/>
    </row>
    <row r="19" spans="1:20" x14ac:dyDescent="0.25">
      <c r="A19" s="121" t="s">
        <v>87</v>
      </c>
      <c r="B19" s="121"/>
      <c r="C19" s="121"/>
      <c r="D19" s="132">
        <f>+D17*D10</f>
        <v>-5967.1509118050681</v>
      </c>
      <c r="E19" s="132">
        <f t="shared" ref="E19:O19" si="6">+E17*E10</f>
        <v>-5967.1509118050681</v>
      </c>
      <c r="F19" s="132">
        <f t="shared" si="6"/>
        <v>-5967.1509118050681</v>
      </c>
      <c r="G19" s="132">
        <f t="shared" si="6"/>
        <v>-7959.350334221017</v>
      </c>
      <c r="H19" s="132">
        <f t="shared" si="6"/>
        <v>-7959.350334221017</v>
      </c>
      <c r="I19" s="133">
        <f t="shared" si="6"/>
        <v>-7959.350334221017</v>
      </c>
      <c r="J19" s="132">
        <f t="shared" si="6"/>
        <v>-7959.350334221017</v>
      </c>
      <c r="K19" s="132">
        <f>+K17*K10</f>
        <v>-7959.350334221017</v>
      </c>
      <c r="L19" s="132">
        <f t="shared" si="6"/>
        <v>-7959.350334221017</v>
      </c>
      <c r="M19" s="132">
        <f t="shared" si="6"/>
        <v>-7959.350334221017</v>
      </c>
      <c r="N19" s="132">
        <f t="shared" si="6"/>
        <v>-7959.350334221017</v>
      </c>
      <c r="O19" s="133">
        <f t="shared" si="6"/>
        <v>-7959.350334221017</v>
      </c>
      <c r="P19" s="133"/>
      <c r="Q19" s="134"/>
      <c r="R19" s="135"/>
      <c r="S19" s="136"/>
    </row>
    <row r="20" spans="1:20" x14ac:dyDescent="0.25">
      <c r="A20" s="121" t="s">
        <v>88</v>
      </c>
      <c r="B20" s="121"/>
      <c r="C20" s="121"/>
      <c r="D20" s="132">
        <f>-(+Data!Y5+Data!Z5+Data!AA5)*Data!X5</f>
        <v>-8002.0947316254942</v>
      </c>
      <c r="E20" s="132">
        <f>-(+Data!Y6+Data!Z6+Data!AA6)*Data!X6</f>
        <v>-8132.9500343873806</v>
      </c>
      <c r="F20" s="132">
        <f>-(+Data!Y7+Data!Z7+Data!AA7)*Data!X7</f>
        <v>-7074.4381757176589</v>
      </c>
      <c r="G20" s="132">
        <f>-(+Data!Y8+Data!Z8+Data!AA8)*Data!X8</f>
        <v>-8675.2622037317196</v>
      </c>
      <c r="H20" s="132">
        <f>-(+Data!Y9+Data!Z9+Data!AA9)*Data!X9</f>
        <v>-8089.8906881276962</v>
      </c>
      <c r="I20" s="133">
        <f>-(+Data!Y10+Data!Z10+Data!AA10)*Data!X10</f>
        <v>-9790.3013579756207</v>
      </c>
      <c r="J20" s="132">
        <f>-(+Data!Y11+Data!Z11+Data!AA11)*Data!X11</f>
        <v>-9128.5396479647952</v>
      </c>
      <c r="K20" s="132">
        <f>-(+Data!Y12+Data!Z12+Data!AA12)*Data!X12</f>
        <v>-6428.6038766899164</v>
      </c>
      <c r="L20" s="132">
        <f>-(+Data!Y13+Data!Y13+Data!Y13)*Data!Y13</f>
        <v>-7256.8252834487466</v>
      </c>
      <c r="M20" s="133">
        <f>-(+Data!Y14+Data!Z14+Data!AA14)*Data!X14</f>
        <v>-6813.3795720776534</v>
      </c>
      <c r="N20" s="132">
        <f>-(+Data!Y15+Data!Z15+Data!AA15)*Data!X15</f>
        <v>-5894.9905181965396</v>
      </c>
      <c r="O20" s="132">
        <f>-(+Data!Y16+Data!Z16+Data!AA16)*Data!X16</f>
        <v>-7291.9427847759925</v>
      </c>
      <c r="P20" s="133"/>
      <c r="Q20" s="134"/>
      <c r="R20" s="135"/>
      <c r="S20" s="62"/>
      <c r="T20" s="137"/>
    </row>
    <row r="21" spans="1:20" x14ac:dyDescent="0.25">
      <c r="A21" s="121" t="s">
        <v>89</v>
      </c>
      <c r="B21" s="121"/>
      <c r="C21" s="121"/>
      <c r="D21" s="132">
        <f>+D19-D20</f>
        <v>2034.9438198204261</v>
      </c>
      <c r="E21" s="132">
        <f t="shared" ref="E21:O21" si="7">+E19-E20</f>
        <v>2165.7991225823125</v>
      </c>
      <c r="F21" s="132">
        <f t="shared" si="7"/>
        <v>1107.2872639125908</v>
      </c>
      <c r="G21" s="132">
        <f t="shared" si="7"/>
        <v>715.91186951070267</v>
      </c>
      <c r="H21" s="132">
        <f t="shared" si="7"/>
        <v>130.54035390667923</v>
      </c>
      <c r="I21" s="132">
        <f t="shared" si="7"/>
        <v>1830.9510237546037</v>
      </c>
      <c r="J21" s="132">
        <f t="shared" si="7"/>
        <v>1169.1893137437783</v>
      </c>
      <c r="K21" s="132">
        <f t="shared" si="7"/>
        <v>-1530.7464575311005</v>
      </c>
      <c r="L21" s="132">
        <f t="shared" si="7"/>
        <v>-702.52505077227033</v>
      </c>
      <c r="M21" s="132">
        <f t="shared" si="7"/>
        <v>-1145.9707621433636</v>
      </c>
      <c r="N21" s="132">
        <f t="shared" si="7"/>
        <v>-2064.3598160244774</v>
      </c>
      <c r="O21" s="132">
        <f t="shared" si="7"/>
        <v>-667.40754944502442</v>
      </c>
      <c r="P21" s="132"/>
      <c r="Q21" s="138"/>
      <c r="R21" s="135"/>
      <c r="T21" s="138"/>
    </row>
    <row r="22" spans="1:20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32"/>
      <c r="Q22" s="118"/>
      <c r="R22" s="139"/>
      <c r="T22" s="137"/>
    </row>
    <row r="23" spans="1:20" x14ac:dyDescent="0.25">
      <c r="A23" s="121" t="s">
        <v>90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  <c r="Q23" s="123"/>
      <c r="R23" s="140"/>
    </row>
    <row r="24" spans="1:20" x14ac:dyDescent="0.25">
      <c r="A24" s="121" t="s">
        <v>91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2"/>
      <c r="Q24" s="123"/>
      <c r="R24" s="141"/>
    </row>
    <row r="25" spans="1:20" x14ac:dyDescent="0.25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32"/>
      <c r="Q25" s="119"/>
      <c r="R25" s="141"/>
    </row>
    <row r="26" spans="1:20" x14ac:dyDescent="0.25">
      <c r="A26" s="121" t="s">
        <v>92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18"/>
      <c r="Q26" s="142"/>
      <c r="R26" s="141"/>
    </row>
    <row r="27" spans="1:20" x14ac:dyDescent="0.2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9"/>
      <c r="R27" s="140"/>
    </row>
    <row r="28" spans="1:20" x14ac:dyDescent="0.25">
      <c r="A28" s="143" t="s">
        <v>93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18"/>
      <c r="Q28" s="142"/>
      <c r="R28" s="140"/>
    </row>
    <row r="29" spans="1:20" x14ac:dyDescent="0.25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140"/>
    </row>
    <row r="30" spans="1:20" x14ac:dyDescent="0.25">
      <c r="A30" s="143" t="s">
        <v>94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18"/>
      <c r="Q30" s="144"/>
      <c r="R30" s="140"/>
    </row>
    <row r="31" spans="1:20" x14ac:dyDescent="0.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</row>
    <row r="32" spans="1:20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</row>
    <row r="34" spans="1:18" x14ac:dyDescent="0.25">
      <c r="L34" s="188"/>
      <c r="M34" s="188"/>
      <c r="N34" s="188"/>
      <c r="O34" s="188"/>
      <c r="P34" s="188"/>
    </row>
    <row r="35" spans="1:18" x14ac:dyDescent="0.25">
      <c r="L35" s="189"/>
      <c r="M35" s="189"/>
      <c r="N35" s="189"/>
      <c r="O35" s="2"/>
    </row>
    <row r="36" spans="1:18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5"/>
      <c r="M36" s="115"/>
      <c r="N36" s="115"/>
      <c r="O36" s="115"/>
      <c r="P36" s="115"/>
      <c r="Q36" s="116"/>
      <c r="R36" s="117"/>
    </row>
    <row r="37" spans="1:18" x14ac:dyDescent="0.2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40"/>
    </row>
    <row r="38" spans="1:18" ht="15.75" x14ac:dyDescent="0.25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2"/>
      <c r="M38" s="122"/>
      <c r="N38" s="122"/>
      <c r="O38" s="122"/>
      <c r="P38" s="122"/>
      <c r="Q38" s="145"/>
      <c r="R38" s="140"/>
    </row>
    <row r="39" spans="1:18" x14ac:dyDescent="0.25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18"/>
      <c r="R39" s="140"/>
    </row>
    <row r="40" spans="1:18" ht="15.75" x14ac:dyDescent="0.25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5"/>
      <c r="M40" s="125"/>
      <c r="N40" s="125"/>
      <c r="O40" s="125"/>
      <c r="P40" s="125"/>
      <c r="Q40" s="98"/>
      <c r="R40" s="146"/>
    </row>
    <row r="41" spans="1:18" x14ac:dyDescent="0.2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18"/>
      <c r="R41" s="140"/>
    </row>
    <row r="42" spans="1:18" x14ac:dyDescent="0.25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9"/>
      <c r="M42" s="129"/>
      <c r="N42" s="129"/>
      <c r="O42" s="129"/>
      <c r="P42" s="129"/>
      <c r="Q42" s="147"/>
      <c r="R42" s="140"/>
    </row>
    <row r="43" spans="1:18" x14ac:dyDescent="0.25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18"/>
      <c r="Q43" s="118"/>
      <c r="R43" s="140"/>
    </row>
    <row r="44" spans="1:18" x14ac:dyDescent="0.25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2"/>
      <c r="M44" s="122"/>
      <c r="N44" s="122"/>
      <c r="O44" s="122"/>
      <c r="P44" s="122"/>
      <c r="Q44" s="118"/>
      <c r="R44" s="140"/>
    </row>
    <row r="45" spans="1:18" x14ac:dyDescent="0.25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2"/>
      <c r="Q45" s="118"/>
      <c r="R45" s="140"/>
    </row>
    <row r="46" spans="1:18" x14ac:dyDescent="0.25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2"/>
      <c r="M46" s="122"/>
      <c r="N46" s="122"/>
      <c r="O46" s="122"/>
      <c r="P46" s="122"/>
      <c r="Q46" s="118"/>
      <c r="R46" s="140"/>
    </row>
    <row r="47" spans="1:18" x14ac:dyDescent="0.25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2"/>
      <c r="M47" s="122"/>
      <c r="N47" s="122"/>
      <c r="O47" s="122"/>
      <c r="P47" s="122"/>
      <c r="Q47" s="118"/>
      <c r="R47" s="140"/>
    </row>
    <row r="48" spans="1:18" x14ac:dyDescent="0.2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22"/>
      <c r="Q48" s="118"/>
      <c r="R48" s="140"/>
    </row>
    <row r="49" spans="1:20" x14ac:dyDescent="0.25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32"/>
      <c r="M49" s="132"/>
      <c r="N49" s="132"/>
      <c r="O49" s="132"/>
      <c r="P49" s="132"/>
      <c r="Q49" s="138"/>
      <c r="R49" s="140"/>
    </row>
    <row r="50" spans="1:20" x14ac:dyDescent="0.25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32"/>
      <c r="M50" s="132"/>
      <c r="N50" s="132"/>
      <c r="O50" s="132"/>
      <c r="P50" s="132"/>
      <c r="Q50" s="138"/>
      <c r="R50" s="139"/>
      <c r="T50" s="138"/>
    </row>
    <row r="51" spans="1:20" x14ac:dyDescent="0.25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32"/>
      <c r="M51" s="132"/>
      <c r="N51" s="132"/>
      <c r="O51" s="132"/>
      <c r="P51" s="132"/>
      <c r="Q51" s="138"/>
      <c r="R51" s="140"/>
      <c r="T51" s="138"/>
    </row>
    <row r="52" spans="1:20" x14ac:dyDescent="0.25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32"/>
      <c r="Q52" s="118"/>
      <c r="R52" s="139"/>
      <c r="T52" s="138"/>
    </row>
    <row r="53" spans="1:20" x14ac:dyDescent="0.25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2"/>
      <c r="Q53" s="122"/>
      <c r="R53" s="140"/>
    </row>
    <row r="54" spans="1:20" x14ac:dyDescent="0.25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2"/>
      <c r="Q54" s="122"/>
      <c r="R54" s="140"/>
    </row>
    <row r="55" spans="1:20" x14ac:dyDescent="0.2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32"/>
      <c r="Q55" s="118"/>
      <c r="R55" s="140"/>
    </row>
    <row r="56" spans="1:20" x14ac:dyDescent="0.25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48"/>
      <c r="R56" s="141"/>
    </row>
    <row r="57" spans="1:20" x14ac:dyDescent="0.25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40"/>
    </row>
    <row r="58" spans="1:20" x14ac:dyDescent="0.2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18"/>
      <c r="Q58" s="148"/>
      <c r="R58" s="140"/>
    </row>
    <row r="59" spans="1:20" x14ac:dyDescent="0.25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40"/>
    </row>
    <row r="60" spans="1:20" x14ac:dyDescent="0.25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18"/>
      <c r="Q60" s="149"/>
      <c r="R60" s="140"/>
    </row>
    <row r="61" spans="1:20" x14ac:dyDescent="0.25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</row>
  </sheetData>
  <mergeCells count="2">
    <mergeCell ref="L34:P34"/>
    <mergeCell ref="L35:N35"/>
  </mergeCells>
  <pageMargins left="0.7" right="0.7" top="0.75" bottom="0.75" header="0.3" footer="0.3"/>
  <pageSetup scale="61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984A9-35D6-47FB-A323-7894B4B9866F}">
  <dimension ref="A1:O45"/>
  <sheetViews>
    <sheetView topLeftCell="A13" zoomScale="90" zoomScaleNormal="90" workbookViewId="0">
      <selection activeCell="C7" sqref="C7"/>
    </sheetView>
  </sheetViews>
  <sheetFormatPr defaultRowHeight="15" x14ac:dyDescent="0.25"/>
  <cols>
    <col min="2" max="2" width="22.42578125" bestFit="1" customWidth="1"/>
    <col min="3" max="4" width="10" bestFit="1" customWidth="1"/>
    <col min="5" max="5" width="13.7109375" bestFit="1" customWidth="1"/>
    <col min="6" max="6" width="11" bestFit="1" customWidth="1"/>
    <col min="7" max="7" width="13.28515625" bestFit="1" customWidth="1"/>
    <col min="8" max="8" width="12.85546875" bestFit="1" customWidth="1"/>
    <col min="9" max="9" width="10.7109375" bestFit="1" customWidth="1"/>
    <col min="10" max="10" width="11.7109375" bestFit="1" customWidth="1"/>
    <col min="11" max="14" width="10" bestFit="1" customWidth="1"/>
    <col min="15" max="15" width="11.140625" bestFit="1" customWidth="1"/>
    <col min="18" max="18" width="6.7109375" bestFit="1" customWidth="1"/>
  </cols>
  <sheetData>
    <row r="1" spans="1:14" ht="15.75" x14ac:dyDescent="0.25">
      <c r="A1" s="193" t="s">
        <v>110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5.75" x14ac:dyDescent="0.25">
      <c r="A2" s="193" t="s">
        <v>120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5" spans="1:14" x14ac:dyDescent="0.25">
      <c r="C5" s="189" t="s">
        <v>111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x14ac:dyDescent="0.25">
      <c r="B6" t="s">
        <v>112</v>
      </c>
    </row>
    <row r="7" spans="1:14" x14ac:dyDescent="0.25">
      <c r="B7" t="s">
        <v>113</v>
      </c>
      <c r="C7" s="192">
        <v>44407</v>
      </c>
      <c r="D7" s="192">
        <v>44409</v>
      </c>
      <c r="E7" s="192">
        <v>44440</v>
      </c>
      <c r="F7" s="192">
        <v>44470</v>
      </c>
      <c r="G7" s="192">
        <v>44501</v>
      </c>
      <c r="H7" s="192">
        <v>44531</v>
      </c>
      <c r="I7" s="192">
        <v>44562</v>
      </c>
      <c r="J7" s="192">
        <v>44594</v>
      </c>
      <c r="K7" s="192">
        <v>44641</v>
      </c>
      <c r="L7" s="192">
        <v>44652</v>
      </c>
      <c r="M7" s="192">
        <v>44682</v>
      </c>
      <c r="N7" s="192">
        <v>44713</v>
      </c>
    </row>
    <row r="8" spans="1:14" x14ac:dyDescent="0.25">
      <c r="C8" s="191">
        <v>4.62</v>
      </c>
      <c r="D8" s="191">
        <v>4.92</v>
      </c>
      <c r="E8" s="191">
        <v>4.97</v>
      </c>
      <c r="F8" s="191">
        <v>5.17</v>
      </c>
      <c r="G8" s="191">
        <v>6.44</v>
      </c>
      <c r="H8" s="191">
        <v>6.45</v>
      </c>
      <c r="I8" s="191">
        <v>5.22</v>
      </c>
      <c r="J8" s="191">
        <v>5.89</v>
      </c>
      <c r="K8" s="191">
        <v>5.51</v>
      </c>
      <c r="L8" s="191">
        <v>4.5999999999999996</v>
      </c>
      <c r="M8" s="191">
        <v>5.96</v>
      </c>
      <c r="N8" s="191">
        <v>5.72</v>
      </c>
    </row>
    <row r="9" spans="1:14" x14ac:dyDescent="0.25">
      <c r="C9" s="191">
        <v>4.29</v>
      </c>
      <c r="D9" s="191">
        <v>4.07</v>
      </c>
      <c r="E9" s="191">
        <v>4.12</v>
      </c>
      <c r="F9" s="191">
        <v>6.03</v>
      </c>
      <c r="G9" s="191">
        <v>6.14</v>
      </c>
      <c r="H9" s="191">
        <v>4.37</v>
      </c>
      <c r="I9" s="191">
        <v>7.04</v>
      </c>
      <c r="J9" s="191">
        <v>4.54</v>
      </c>
      <c r="K9" s="191">
        <v>4.45</v>
      </c>
      <c r="L9" s="191">
        <v>6.15</v>
      </c>
      <c r="M9" s="191">
        <v>6.02</v>
      </c>
      <c r="N9" s="191">
        <v>3.96</v>
      </c>
    </row>
    <row r="10" spans="1:14" x14ac:dyDescent="0.25">
      <c r="C10" s="191">
        <v>6.21</v>
      </c>
      <c r="D10" s="191">
        <v>4.8600000000000003</v>
      </c>
      <c r="E10" s="191">
        <v>4.57</v>
      </c>
      <c r="F10" s="191">
        <v>5.84</v>
      </c>
      <c r="G10" s="191">
        <v>4.66</v>
      </c>
      <c r="H10" s="191">
        <v>4.01</v>
      </c>
      <c r="I10" s="191">
        <v>5.54</v>
      </c>
      <c r="J10" s="191">
        <v>4.34</v>
      </c>
      <c r="K10" s="191">
        <v>4.1399999999999997</v>
      </c>
      <c r="L10" s="191">
        <v>5.91</v>
      </c>
      <c r="M10" s="191">
        <v>4.16</v>
      </c>
      <c r="N10" s="191">
        <v>4.08</v>
      </c>
    </row>
    <row r="11" spans="1:14" x14ac:dyDescent="0.25">
      <c r="C11" s="191">
        <v>4.51</v>
      </c>
      <c r="D11" s="191">
        <v>6.5</v>
      </c>
      <c r="E11" s="191">
        <v>5.81</v>
      </c>
      <c r="F11" s="191">
        <v>4.6500000000000004</v>
      </c>
      <c r="G11" s="191">
        <v>4.34</v>
      </c>
      <c r="H11" s="191">
        <v>6.49</v>
      </c>
      <c r="I11" s="191">
        <v>5.67</v>
      </c>
      <c r="J11" s="191">
        <v>5.18</v>
      </c>
      <c r="K11" s="191">
        <v>5.05</v>
      </c>
      <c r="L11" s="191">
        <v>3.95</v>
      </c>
      <c r="M11" s="191">
        <v>4.51</v>
      </c>
      <c r="N11" s="191">
        <v>6.01</v>
      </c>
    </row>
    <row r="12" spans="1:14" x14ac:dyDescent="0.25">
      <c r="C12" s="191">
        <v>4.0999999999999996</v>
      </c>
      <c r="D12" s="191">
        <v>5.55</v>
      </c>
      <c r="E12" s="191">
        <v>5.71</v>
      </c>
      <c r="F12" s="191">
        <v>3.69</v>
      </c>
      <c r="G12" s="191">
        <v>6.1</v>
      </c>
      <c r="H12" s="191">
        <v>5.68</v>
      </c>
      <c r="I12" s="191">
        <v>6.02</v>
      </c>
      <c r="J12" s="191">
        <v>6.14</v>
      </c>
      <c r="K12" s="191">
        <v>6.87</v>
      </c>
      <c r="L12" s="191">
        <v>3.83</v>
      </c>
      <c r="M12" s="191">
        <v>6.36</v>
      </c>
      <c r="N12" s="191">
        <v>5.28</v>
      </c>
    </row>
    <row r="13" spans="1:14" x14ac:dyDescent="0.25">
      <c r="C13" s="191">
        <v>5.13</v>
      </c>
      <c r="D13" s="191">
        <v>4.03</v>
      </c>
      <c r="E13" s="191">
        <v>4.6500000000000004</v>
      </c>
      <c r="F13" s="191">
        <v>6.24</v>
      </c>
      <c r="G13" s="191">
        <v>4.95</v>
      </c>
      <c r="H13" s="191">
        <v>4.3499999999999996</v>
      </c>
      <c r="I13" s="191">
        <v>6.97</v>
      </c>
      <c r="J13" s="191">
        <v>5.62</v>
      </c>
      <c r="K13" s="191">
        <v>5.5</v>
      </c>
      <c r="L13" s="191">
        <v>6.41</v>
      </c>
      <c r="M13" s="191">
        <v>5.19</v>
      </c>
      <c r="N13" s="191">
        <v>4.0599999999999996</v>
      </c>
    </row>
    <row r="14" spans="1:14" x14ac:dyDescent="0.25">
      <c r="C14" s="191">
        <v>6.45</v>
      </c>
      <c r="D14" s="191">
        <v>4.04</v>
      </c>
      <c r="E14" s="191">
        <v>3.68</v>
      </c>
      <c r="F14" s="191">
        <v>4.53</v>
      </c>
      <c r="G14" s="191">
        <v>4.18</v>
      </c>
      <c r="H14" s="191">
        <v>5.49</v>
      </c>
      <c r="I14" s="191">
        <v>5.07</v>
      </c>
      <c r="J14" s="191">
        <v>4.01</v>
      </c>
      <c r="K14" s="191">
        <v>3.82</v>
      </c>
      <c r="L14" s="191">
        <v>4.5</v>
      </c>
      <c r="M14" s="191">
        <v>4.18</v>
      </c>
      <c r="N14" s="191">
        <v>5.34</v>
      </c>
    </row>
    <row r="15" spans="1:14" x14ac:dyDescent="0.25">
      <c r="C15" s="191">
        <v>6.51</v>
      </c>
      <c r="D15" s="191">
        <v>6.27</v>
      </c>
      <c r="E15" s="191">
        <v>6.02</v>
      </c>
      <c r="F15" s="191">
        <v>4.4400000000000004</v>
      </c>
      <c r="G15" s="191">
        <v>5.21</v>
      </c>
      <c r="H15" s="191">
        <v>7.07</v>
      </c>
      <c r="I15" s="191">
        <v>6.11</v>
      </c>
      <c r="J15" s="191">
        <v>3.44</v>
      </c>
      <c r="K15" s="191">
        <v>4.03</v>
      </c>
      <c r="L15" s="191">
        <v>3.88</v>
      </c>
      <c r="M15" s="191">
        <v>5.18</v>
      </c>
      <c r="N15" s="191">
        <v>6.3</v>
      </c>
    </row>
    <row r="16" spans="1:14" x14ac:dyDescent="0.25">
      <c r="C16" s="191">
        <v>4.4400000000000004</v>
      </c>
      <c r="D16" s="191">
        <v>7</v>
      </c>
      <c r="E16" s="191">
        <v>4.49</v>
      </c>
      <c r="F16" s="191">
        <v>4.38</v>
      </c>
      <c r="G16" s="191">
        <v>6.83</v>
      </c>
      <c r="H16" s="191">
        <v>6.39</v>
      </c>
      <c r="I16" s="191">
        <v>5.32</v>
      </c>
      <c r="J16" s="191">
        <v>5.38</v>
      </c>
      <c r="K16" s="191">
        <v>6.12</v>
      </c>
      <c r="L16" s="191">
        <v>4.59</v>
      </c>
      <c r="M16" s="191">
        <v>6.52</v>
      </c>
      <c r="N16" s="191">
        <v>5.72</v>
      </c>
    </row>
    <row r="17" spans="2:15" x14ac:dyDescent="0.25">
      <c r="C17" s="191">
        <v>4.13</v>
      </c>
      <c r="D17" s="191">
        <v>4.95</v>
      </c>
      <c r="E17" s="191">
        <v>4.13</v>
      </c>
      <c r="F17" s="191">
        <v>6.15</v>
      </c>
      <c r="G17" s="191">
        <v>6.45</v>
      </c>
      <c r="H17" s="191">
        <v>4.79</v>
      </c>
      <c r="I17" s="191">
        <v>4.42</v>
      </c>
      <c r="J17" s="191">
        <v>4.34</v>
      </c>
      <c r="K17" s="191">
        <v>4.26</v>
      </c>
      <c r="L17" s="191">
        <v>5.85</v>
      </c>
      <c r="M17" s="191">
        <v>5.82</v>
      </c>
      <c r="N17" s="191">
        <v>4.3499999999999996</v>
      </c>
    </row>
    <row r="18" spans="2:15" x14ac:dyDescent="0.25">
      <c r="C18" s="191">
        <v>6.65</v>
      </c>
      <c r="D18" s="191">
        <v>4.18</v>
      </c>
      <c r="E18" s="191">
        <v>5.12</v>
      </c>
      <c r="F18" s="191">
        <v>6.08</v>
      </c>
      <c r="G18" s="191">
        <v>4.6500000000000004</v>
      </c>
      <c r="H18" s="191">
        <v>4.67</v>
      </c>
      <c r="I18" s="191">
        <v>5.14</v>
      </c>
      <c r="J18" s="191">
        <v>3.49</v>
      </c>
      <c r="K18" s="191">
        <v>3.87</v>
      </c>
      <c r="L18" s="191">
        <v>5.58</v>
      </c>
      <c r="M18" s="191">
        <v>4.1900000000000004</v>
      </c>
      <c r="N18" s="191">
        <v>4.37</v>
      </c>
    </row>
    <row r="19" spans="2:15" x14ac:dyDescent="0.25">
      <c r="C19" s="191">
        <v>4.93</v>
      </c>
      <c r="D19" s="191">
        <v>5.36</v>
      </c>
      <c r="E19" s="191">
        <v>6.31</v>
      </c>
      <c r="F19" s="191">
        <v>4.34</v>
      </c>
      <c r="G19" s="191">
        <v>4.26</v>
      </c>
      <c r="H19" s="191">
        <v>6.85</v>
      </c>
      <c r="I19" s="191">
        <v>6.65</v>
      </c>
      <c r="J19" s="191">
        <v>4.51</v>
      </c>
      <c r="K19" s="191">
        <v>4.54</v>
      </c>
      <c r="L19" s="191">
        <v>3.73</v>
      </c>
      <c r="M19" s="191">
        <v>4.17</v>
      </c>
      <c r="N19" s="191">
        <v>6.37</v>
      </c>
    </row>
    <row r="20" spans="2:15" x14ac:dyDescent="0.25">
      <c r="C20" s="191">
        <v>4.4400000000000004</v>
      </c>
      <c r="D20" s="191">
        <v>6.32</v>
      </c>
      <c r="E20" s="191">
        <v>5.83</v>
      </c>
      <c r="F20" s="191">
        <v>4.53</v>
      </c>
      <c r="G20" s="191">
        <v>6.9</v>
      </c>
      <c r="H20" s="191">
        <v>5.34</v>
      </c>
      <c r="I20" s="191">
        <v>5.76</v>
      </c>
      <c r="J20" s="191">
        <v>5.96</v>
      </c>
      <c r="K20" s="191">
        <v>6.25</v>
      </c>
      <c r="L20" s="191">
        <v>3.83</v>
      </c>
      <c r="M20" s="191">
        <v>5.99</v>
      </c>
      <c r="N20" s="191">
        <v>4.8410000000000002</v>
      </c>
    </row>
    <row r="21" spans="2:15" x14ac:dyDescent="0.25">
      <c r="C21" s="191">
        <v>4.88</v>
      </c>
      <c r="D21" s="191">
        <v>5.75</v>
      </c>
      <c r="E21" s="191">
        <v>4.28</v>
      </c>
      <c r="F21" s="191">
        <v>6.31</v>
      </c>
      <c r="G21" s="191">
        <v>5.35</v>
      </c>
      <c r="H21" s="191">
        <v>4.8</v>
      </c>
      <c r="I21" s="191">
        <v>4.38</v>
      </c>
      <c r="J21" s="191">
        <v>5.1100000000000003</v>
      </c>
      <c r="K21" s="191">
        <v>5.64</v>
      </c>
      <c r="L21" s="191">
        <v>6.04</v>
      </c>
      <c r="M21" s="191">
        <v>4.38</v>
      </c>
      <c r="N21" s="191">
        <v>4.22</v>
      </c>
    </row>
    <row r="22" spans="2:15" x14ac:dyDescent="0.25">
      <c r="C22" s="191">
        <v>7.17</v>
      </c>
      <c r="D22" s="191">
        <v>4.58</v>
      </c>
      <c r="E22" s="191">
        <v>3.81</v>
      </c>
      <c r="F22" s="191">
        <v>4.93</v>
      </c>
      <c r="G22" s="191">
        <v>6.03</v>
      </c>
      <c r="H22" s="191">
        <v>4.8499999999999996</v>
      </c>
      <c r="I22" s="191">
        <v>3.8</v>
      </c>
      <c r="J22" s="191">
        <v>3.6</v>
      </c>
      <c r="K22" s="191">
        <v>4.38</v>
      </c>
      <c r="L22" s="191">
        <v>4.3099999999999996</v>
      </c>
      <c r="M22" s="191">
        <v>3.93</v>
      </c>
      <c r="N22" s="191">
        <v>4.88</v>
      </c>
    </row>
    <row r="23" spans="2:15" x14ac:dyDescent="0.25">
      <c r="C23" s="191">
        <v>5.71</v>
      </c>
      <c r="D23" s="191">
        <v>4.0999999999999996</v>
      </c>
      <c r="E23" s="191">
        <v>6.72</v>
      </c>
      <c r="F23" s="191">
        <v>4.2699999999999996</v>
      </c>
      <c r="G23" s="191">
        <v>4.26</v>
      </c>
      <c r="H23" s="191"/>
      <c r="I23" s="191"/>
      <c r="J23" s="191">
        <v>3.9</v>
      </c>
      <c r="K23" s="191">
        <v>4.13</v>
      </c>
      <c r="L23" s="191">
        <v>3.62</v>
      </c>
      <c r="M23" s="191">
        <v>4.67</v>
      </c>
      <c r="N23" s="191">
        <v>6.16</v>
      </c>
    </row>
    <row r="24" spans="2:15" x14ac:dyDescent="0.25">
      <c r="C24" s="191">
        <v>4.6399999999999997</v>
      </c>
      <c r="D24" s="191">
        <v>6.06</v>
      </c>
      <c r="E24" s="191">
        <v>5.0199999999999996</v>
      </c>
      <c r="F24" s="191">
        <v>5.96</v>
      </c>
      <c r="G24" s="191">
        <v>6.24</v>
      </c>
      <c r="H24" s="191"/>
      <c r="I24" s="191"/>
      <c r="J24" s="191"/>
      <c r="K24" s="191">
        <v>5.82</v>
      </c>
      <c r="L24" s="191">
        <v>4.6900000000000004</v>
      </c>
      <c r="M24" s="191">
        <v>5.57</v>
      </c>
      <c r="N24" s="191">
        <v>5.57</v>
      </c>
    </row>
    <row r="25" spans="2:15" x14ac:dyDescent="0.25">
      <c r="C25" s="191">
        <v>4.09</v>
      </c>
      <c r="D25" s="191"/>
      <c r="E25" s="191">
        <v>4.51</v>
      </c>
      <c r="F25" s="191"/>
      <c r="G25" s="191"/>
      <c r="H25" s="191"/>
      <c r="I25" s="191"/>
      <c r="J25" s="191"/>
      <c r="K25" s="191">
        <v>4.28</v>
      </c>
      <c r="N25" s="191">
        <v>4.47</v>
      </c>
    </row>
    <row r="26" spans="2:15" x14ac:dyDescent="0.25">
      <c r="C26" s="191"/>
      <c r="D26" s="191"/>
      <c r="E26" s="191"/>
      <c r="F26" s="191"/>
      <c r="G26" s="191"/>
      <c r="H26" s="191"/>
      <c r="I26" s="191"/>
      <c r="J26" s="191"/>
      <c r="K26" s="191">
        <v>3.77</v>
      </c>
      <c r="M26" s="191"/>
      <c r="N26" s="191"/>
    </row>
    <row r="27" spans="2:15" x14ac:dyDescent="0.25"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</row>
    <row r="28" spans="2:15" x14ac:dyDescent="0.25">
      <c r="C28" s="191">
        <f t="shared" ref="C28:N28" si="0">SUM(C8:C27)</f>
        <v>92.899999999999991</v>
      </c>
      <c r="D28" s="191">
        <f t="shared" si="0"/>
        <v>88.54</v>
      </c>
      <c r="E28" s="191">
        <f t="shared" si="0"/>
        <v>89.750000000000014</v>
      </c>
      <c r="F28" s="191">
        <f t="shared" si="0"/>
        <v>87.539999999999992</v>
      </c>
      <c r="G28" s="191">
        <f t="shared" si="0"/>
        <v>92.990000000000009</v>
      </c>
      <c r="H28" s="191">
        <f t="shared" si="0"/>
        <v>81.599999999999994</v>
      </c>
      <c r="I28" s="191">
        <f t="shared" si="0"/>
        <v>83.11</v>
      </c>
      <c r="J28" s="191">
        <f t="shared" si="0"/>
        <v>75.45</v>
      </c>
      <c r="K28" s="191">
        <f t="shared" si="0"/>
        <v>92.429999999999993</v>
      </c>
      <c r="L28" s="191">
        <f t="shared" si="0"/>
        <v>81.47</v>
      </c>
      <c r="M28" s="191">
        <f t="shared" si="0"/>
        <v>86.800000000000011</v>
      </c>
      <c r="N28" s="191">
        <f t="shared" si="0"/>
        <v>91.700999999999993</v>
      </c>
      <c r="O28" s="7">
        <f>SUM(C28:N28)</f>
        <v>1044.2810000000002</v>
      </c>
    </row>
    <row r="29" spans="2:15" x14ac:dyDescent="0.25"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</row>
    <row r="30" spans="2:15" x14ac:dyDescent="0.25">
      <c r="B30" t="s">
        <v>114</v>
      </c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</row>
    <row r="31" spans="2:15" x14ac:dyDescent="0.25"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</row>
    <row r="32" spans="2:15" x14ac:dyDescent="0.25">
      <c r="B32" t="s">
        <v>115</v>
      </c>
      <c r="C32" s="191">
        <v>36.200000000000003</v>
      </c>
      <c r="D32" s="191">
        <v>28.8</v>
      </c>
      <c r="E32" s="191">
        <v>21</v>
      </c>
      <c r="F32" s="191">
        <v>21</v>
      </c>
      <c r="G32" s="191">
        <v>34.799999999999997</v>
      </c>
      <c r="H32" s="191">
        <v>61.1</v>
      </c>
      <c r="I32" s="191">
        <v>72.8</v>
      </c>
      <c r="J32" s="191">
        <v>71.3</v>
      </c>
      <c r="K32" s="191">
        <v>66.8</v>
      </c>
      <c r="L32" s="191">
        <v>62.4</v>
      </c>
      <c r="M32" s="191">
        <v>59.9</v>
      </c>
      <c r="N32" s="191">
        <v>59.15</v>
      </c>
    </row>
    <row r="33" spans="2:15" x14ac:dyDescent="0.25">
      <c r="B33" t="s">
        <v>116</v>
      </c>
      <c r="C33" s="191">
        <v>5</v>
      </c>
      <c r="D33" s="191">
        <v>5</v>
      </c>
      <c r="E33" s="191">
        <v>5</v>
      </c>
      <c r="F33" s="191">
        <v>5</v>
      </c>
      <c r="G33" s="191">
        <v>5</v>
      </c>
      <c r="H33" s="191">
        <v>5</v>
      </c>
      <c r="I33" s="191">
        <v>5</v>
      </c>
      <c r="J33" s="191">
        <v>5</v>
      </c>
      <c r="K33" s="191">
        <v>5</v>
      </c>
      <c r="L33" s="191">
        <v>5</v>
      </c>
      <c r="M33" s="191">
        <v>5</v>
      </c>
      <c r="N33" s="191">
        <v>5</v>
      </c>
    </row>
    <row r="34" spans="2:15" x14ac:dyDescent="0.25">
      <c r="B34" t="s">
        <v>117</v>
      </c>
      <c r="C34" s="191">
        <v>1.81</v>
      </c>
      <c r="D34" s="191">
        <v>1.87</v>
      </c>
      <c r="E34" s="191">
        <v>1.89</v>
      </c>
      <c r="F34" s="191">
        <v>1.92</v>
      </c>
      <c r="G34" s="191">
        <v>2.21</v>
      </c>
      <c r="H34" s="191">
        <v>2.35</v>
      </c>
      <c r="I34" s="191">
        <v>2.2400000000000002</v>
      </c>
      <c r="J34" s="191">
        <v>2.34</v>
      </c>
      <c r="K34" s="191">
        <v>2.72</v>
      </c>
      <c r="L34" s="191">
        <v>4.04</v>
      </c>
      <c r="M34" s="191">
        <v>4.0599999999999996</v>
      </c>
      <c r="N34" s="191">
        <v>4.6100000000000003</v>
      </c>
    </row>
    <row r="35" spans="2:15" x14ac:dyDescent="0.25">
      <c r="B35" t="s">
        <v>118</v>
      </c>
      <c r="C35" s="191">
        <v>7.5</v>
      </c>
      <c r="D35" s="191">
        <v>7.5</v>
      </c>
      <c r="E35" s="191">
        <v>7.5</v>
      </c>
      <c r="F35" s="191">
        <v>7.5</v>
      </c>
      <c r="G35" s="191">
        <v>7.5</v>
      </c>
      <c r="H35" s="191">
        <v>7.5</v>
      </c>
      <c r="I35" s="191">
        <v>7.5</v>
      </c>
      <c r="J35" s="191">
        <v>7.5</v>
      </c>
      <c r="K35" s="191">
        <v>7.5</v>
      </c>
      <c r="L35" s="191">
        <v>7.5</v>
      </c>
      <c r="M35" s="191">
        <v>7.5</v>
      </c>
      <c r="N35" s="191">
        <v>7.5</v>
      </c>
    </row>
    <row r="36" spans="2:15" x14ac:dyDescent="0.25"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</row>
    <row r="37" spans="2:15" x14ac:dyDescent="0.25">
      <c r="C37" s="191">
        <f>SUM(C32:C35)</f>
        <v>50.510000000000005</v>
      </c>
      <c r="D37" s="191">
        <f t="shared" ref="D37:N37" si="1">SUM(D32:D35)</f>
        <v>43.169999999999995</v>
      </c>
      <c r="E37" s="191">
        <f t="shared" si="1"/>
        <v>35.39</v>
      </c>
      <c r="F37" s="191">
        <f t="shared" si="1"/>
        <v>35.42</v>
      </c>
      <c r="G37" s="191">
        <f t="shared" si="1"/>
        <v>49.51</v>
      </c>
      <c r="H37" s="191">
        <f t="shared" si="1"/>
        <v>75.949999999999989</v>
      </c>
      <c r="I37" s="191">
        <f t="shared" si="1"/>
        <v>87.539999999999992</v>
      </c>
      <c r="J37" s="191">
        <f t="shared" si="1"/>
        <v>86.14</v>
      </c>
      <c r="K37" s="191">
        <f t="shared" si="1"/>
        <v>82.02</v>
      </c>
      <c r="L37" s="191">
        <f t="shared" si="1"/>
        <v>78.940000000000012</v>
      </c>
      <c r="M37" s="191">
        <f t="shared" si="1"/>
        <v>76.460000000000008</v>
      </c>
      <c r="N37" s="191">
        <f t="shared" si="1"/>
        <v>76.260000000000005</v>
      </c>
    </row>
    <row r="38" spans="2:15" x14ac:dyDescent="0.25"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</row>
    <row r="39" spans="2:15" x14ac:dyDescent="0.25"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</row>
    <row r="40" spans="2:15" x14ac:dyDescent="0.25">
      <c r="B40" t="s">
        <v>119</v>
      </c>
      <c r="C40" s="191">
        <f>C28*C37</f>
        <v>4692.3789999999999</v>
      </c>
      <c r="D40" s="191">
        <f t="shared" ref="D40:N40" si="2">D28*D37</f>
        <v>3822.2718</v>
      </c>
      <c r="E40" s="191">
        <f t="shared" si="2"/>
        <v>3176.2525000000005</v>
      </c>
      <c r="F40" s="191">
        <f t="shared" si="2"/>
        <v>3100.6668</v>
      </c>
      <c r="G40" s="191">
        <f t="shared" si="2"/>
        <v>4603.9349000000002</v>
      </c>
      <c r="H40" s="191">
        <f t="shared" si="2"/>
        <v>6197.5199999999986</v>
      </c>
      <c r="I40" s="191">
        <f t="shared" si="2"/>
        <v>7275.4493999999995</v>
      </c>
      <c r="J40" s="191">
        <f t="shared" si="2"/>
        <v>6499.2629999999999</v>
      </c>
      <c r="K40" s="191">
        <f t="shared" si="2"/>
        <v>7581.1085999999987</v>
      </c>
      <c r="L40" s="191">
        <f t="shared" si="2"/>
        <v>6431.2418000000007</v>
      </c>
      <c r="M40" s="191">
        <f t="shared" si="2"/>
        <v>6636.7280000000019</v>
      </c>
      <c r="N40" s="191">
        <f t="shared" si="2"/>
        <v>6993.1182600000002</v>
      </c>
      <c r="O40" s="7">
        <f>SUM(C40:N40)</f>
        <v>67009.93406</v>
      </c>
    </row>
    <row r="45" spans="2:15" x14ac:dyDescent="0.25"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</row>
  </sheetData>
  <mergeCells count="1">
    <mergeCell ref="C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D55CC-F78D-4F7B-BEAA-7DA852D00807}">
  <dimension ref="A1:P21"/>
  <sheetViews>
    <sheetView workbookViewId="0">
      <selection activeCell="B7" sqref="B7"/>
    </sheetView>
  </sheetViews>
  <sheetFormatPr defaultRowHeight="15" x14ac:dyDescent="0.25"/>
  <cols>
    <col min="1" max="1" width="27.28515625" customWidth="1"/>
    <col min="2" max="2" width="11" bestFit="1" customWidth="1"/>
  </cols>
  <sheetData>
    <row r="1" spans="1:16" ht="18.75" x14ac:dyDescent="0.3">
      <c r="A1" s="206" t="s">
        <v>127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6" ht="18.75" x14ac:dyDescent="0.3">
      <c r="A2" s="206" t="s">
        <v>128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6" ht="18.75" x14ac:dyDescent="0.3">
      <c r="A3" s="206" t="s">
        <v>129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5" spans="1:16" ht="18.75" x14ac:dyDescent="0.3">
      <c r="A5" s="194" t="s">
        <v>121</v>
      </c>
    </row>
    <row r="6" spans="1:16" ht="15.75" thickBot="1" x14ac:dyDescent="0.3"/>
    <row r="7" spans="1:16" ht="15.75" thickBot="1" x14ac:dyDescent="0.3">
      <c r="A7" s="195"/>
      <c r="B7" s="196">
        <v>44763</v>
      </c>
      <c r="C7" s="196">
        <v>44794</v>
      </c>
      <c r="D7" s="196">
        <v>44825</v>
      </c>
      <c r="E7" s="196">
        <v>44855</v>
      </c>
      <c r="F7" s="196">
        <v>44886</v>
      </c>
      <c r="G7" s="197">
        <v>44916</v>
      </c>
      <c r="H7" s="196">
        <v>44583</v>
      </c>
      <c r="I7" s="196">
        <v>44614</v>
      </c>
      <c r="J7" s="196">
        <v>44642</v>
      </c>
      <c r="K7" s="196">
        <v>44673</v>
      </c>
      <c r="L7" s="196">
        <v>44703</v>
      </c>
      <c r="M7" s="196">
        <v>44734</v>
      </c>
      <c r="N7" s="198" t="s">
        <v>122</v>
      </c>
    </row>
    <row r="8" spans="1:16" ht="15.75" thickBot="1" x14ac:dyDescent="0.3">
      <c r="A8" s="199" t="s">
        <v>7</v>
      </c>
      <c r="B8" s="200">
        <v>1754</v>
      </c>
      <c r="C8" s="200">
        <v>1754</v>
      </c>
      <c r="D8" s="200">
        <v>1752</v>
      </c>
      <c r="E8" s="200">
        <v>1752</v>
      </c>
      <c r="F8" s="200">
        <v>1751</v>
      </c>
      <c r="G8" s="65">
        <v>1751</v>
      </c>
      <c r="H8" s="200">
        <v>1749</v>
      </c>
      <c r="I8" s="200">
        <v>1751</v>
      </c>
      <c r="J8" s="200">
        <v>1752</v>
      </c>
      <c r="K8" s="200">
        <v>1752</v>
      </c>
      <c r="L8" s="200">
        <v>1753</v>
      </c>
      <c r="M8" s="200">
        <v>1753</v>
      </c>
      <c r="N8" s="201">
        <f>AVERAGE(B8:M8)</f>
        <v>1752</v>
      </c>
      <c r="P8" s="180"/>
    </row>
    <row r="9" spans="1:16" ht="15.75" thickBot="1" x14ac:dyDescent="0.3">
      <c r="A9" s="202" t="s">
        <v>123</v>
      </c>
      <c r="B9" s="203">
        <v>92</v>
      </c>
      <c r="C9" s="203">
        <v>92</v>
      </c>
      <c r="D9" s="203">
        <v>92</v>
      </c>
      <c r="E9" s="203">
        <v>92</v>
      </c>
      <c r="F9" s="203">
        <v>92</v>
      </c>
      <c r="G9" s="204">
        <v>92</v>
      </c>
      <c r="H9" s="203">
        <v>91</v>
      </c>
      <c r="I9" s="203">
        <v>90</v>
      </c>
      <c r="J9" s="203">
        <v>91</v>
      </c>
      <c r="K9" s="203">
        <v>91</v>
      </c>
      <c r="L9" s="203">
        <v>92</v>
      </c>
      <c r="M9" s="203">
        <v>92</v>
      </c>
      <c r="N9" s="201">
        <f t="shared" ref="N9:N12" si="0">AVERAGE(B9:M9)</f>
        <v>91.583333333333329</v>
      </c>
      <c r="P9" s="180"/>
    </row>
    <row r="10" spans="1:16" ht="15.75" thickBot="1" x14ac:dyDescent="0.3">
      <c r="A10" s="202" t="s">
        <v>124</v>
      </c>
      <c r="B10" s="203">
        <v>2</v>
      </c>
      <c r="C10" s="203">
        <v>3</v>
      </c>
      <c r="D10" s="203">
        <v>3</v>
      </c>
      <c r="E10" s="203">
        <v>3</v>
      </c>
      <c r="F10" s="203">
        <v>2</v>
      </c>
      <c r="G10" s="204">
        <v>2</v>
      </c>
      <c r="H10" s="203">
        <v>2</v>
      </c>
      <c r="I10" s="203">
        <v>2</v>
      </c>
      <c r="J10" s="203">
        <v>2</v>
      </c>
      <c r="K10" s="203">
        <v>2</v>
      </c>
      <c r="L10" s="203">
        <v>2</v>
      </c>
      <c r="M10" s="203">
        <v>2</v>
      </c>
      <c r="N10" s="201">
        <f t="shared" si="0"/>
        <v>2.25</v>
      </c>
      <c r="P10" s="180"/>
    </row>
    <row r="11" spans="1:16" ht="15.75" thickBot="1" x14ac:dyDescent="0.3">
      <c r="A11" s="202" t="s">
        <v>125</v>
      </c>
      <c r="B11" s="203">
        <v>42</v>
      </c>
      <c r="C11" s="203">
        <v>42</v>
      </c>
      <c r="D11" s="203">
        <v>42</v>
      </c>
      <c r="E11" s="203">
        <v>42</v>
      </c>
      <c r="F11" s="203">
        <v>42</v>
      </c>
      <c r="G11" s="204">
        <v>42</v>
      </c>
      <c r="H11" s="203">
        <v>42</v>
      </c>
      <c r="I11" s="203">
        <v>41</v>
      </c>
      <c r="J11" s="203">
        <v>41</v>
      </c>
      <c r="K11" s="203">
        <v>41</v>
      </c>
      <c r="L11" s="203">
        <v>42</v>
      </c>
      <c r="M11" s="203">
        <v>42</v>
      </c>
      <c r="N11" s="201">
        <f t="shared" si="0"/>
        <v>41.75</v>
      </c>
      <c r="P11" s="180"/>
    </row>
    <row r="12" spans="1:16" ht="15.75" thickBot="1" x14ac:dyDescent="0.3">
      <c r="A12" s="205" t="s">
        <v>126</v>
      </c>
      <c r="B12" s="203">
        <v>2</v>
      </c>
      <c r="C12" s="203">
        <v>2</v>
      </c>
      <c r="D12" s="203">
        <v>2</v>
      </c>
      <c r="E12" s="203">
        <v>2</v>
      </c>
      <c r="F12" s="203">
        <v>2</v>
      </c>
      <c r="G12" s="204">
        <v>2</v>
      </c>
      <c r="H12" s="203">
        <v>2</v>
      </c>
      <c r="I12" s="203">
        <v>2</v>
      </c>
      <c r="J12" s="203">
        <v>2</v>
      </c>
      <c r="K12" s="203">
        <v>2</v>
      </c>
      <c r="L12" s="203">
        <v>2</v>
      </c>
      <c r="M12" s="203">
        <v>2</v>
      </c>
      <c r="N12" s="201">
        <f t="shared" si="0"/>
        <v>2</v>
      </c>
      <c r="P12" s="180"/>
    </row>
    <row r="13" spans="1:16" x14ac:dyDescent="0.25">
      <c r="A13" s="179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1:16" x14ac:dyDescent="0.25">
      <c r="A14" s="179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</row>
    <row r="15" spans="1:16" x14ac:dyDescent="0.25">
      <c r="A15" s="179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</row>
    <row r="16" spans="1:16" x14ac:dyDescent="0.25">
      <c r="H16" s="179"/>
      <c r="I16" s="179"/>
      <c r="J16" s="179"/>
      <c r="K16" s="179"/>
      <c r="L16" s="179"/>
      <c r="M16" s="179"/>
    </row>
    <row r="17" spans="8:13" x14ac:dyDescent="0.25">
      <c r="H17" s="180"/>
      <c r="I17" s="180"/>
      <c r="J17" s="180"/>
      <c r="K17" s="180"/>
      <c r="L17" s="180"/>
      <c r="M17" s="180"/>
    </row>
    <row r="18" spans="8:13" x14ac:dyDescent="0.25">
      <c r="H18" s="180"/>
      <c r="I18" s="180"/>
      <c r="J18" s="180"/>
      <c r="K18" s="180"/>
      <c r="L18" s="180"/>
      <c r="M18" s="180"/>
    </row>
    <row r="19" spans="8:13" x14ac:dyDescent="0.25">
      <c r="H19" s="180"/>
      <c r="I19" s="180"/>
      <c r="J19" s="180"/>
      <c r="K19" s="180"/>
      <c r="L19" s="180"/>
      <c r="M19" s="180"/>
    </row>
    <row r="20" spans="8:13" x14ac:dyDescent="0.25">
      <c r="H20" s="180"/>
      <c r="I20" s="180"/>
      <c r="J20" s="180"/>
      <c r="K20" s="180"/>
      <c r="L20" s="180"/>
      <c r="M20" s="180"/>
    </row>
    <row r="21" spans="8:13" x14ac:dyDescent="0.25">
      <c r="H21" s="180"/>
      <c r="I21" s="180"/>
      <c r="J21" s="180"/>
      <c r="K21" s="180"/>
      <c r="L21" s="180"/>
      <c r="M21" s="18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2022-08-09T07:00:00+00:00</OpenedDate>
    <SignificantOrder xmlns="dc463f71-b30c-4ab2-9473-d307f9d35888">false</SignificantOrder>
    <Date1 xmlns="dc463f71-b30c-4ab2-9473-d307f9d35888">2022-08-09T07:00:00+00:00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 Holdings</CaseCompanyNames>
    <Nickname xmlns="http://schemas.microsoft.com/sharepoint/v3" xsi:nil="true"/>
    <DocketNumber xmlns="dc463f71-b30c-4ab2-9473-d307f9d35888">220600</DocketNumber>
    <DelegatedOrder xmlns="dc463f71-b30c-4ab2-9473-d307f9d35888">false</DelegatedOrde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7371CFC0D7244ABA861D00C706D19E" ma:contentTypeVersion="28" ma:contentTypeDescription="" ma:contentTypeScope="" ma:versionID="66606803b3e6d271126b85c25a3ffb7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71E2EC-73DA-4DDD-AD48-8FCB6D42187A}">
  <ds:schemaRefs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dc463f71-b30c-4ab2-9473-d307f9d3588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1B1A1B1-8A13-4F76-817A-D8E79E89732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DBFB1E2-C021-411C-9D87-64929CFFCE81}"/>
</file>

<file path=customXml/itemProps4.xml><?xml version="1.0" encoding="utf-8"?>
<ds:datastoreItem xmlns:ds="http://schemas.openxmlformats.org/officeDocument/2006/customXml" ds:itemID="{B0819D7C-DE95-4435-83FD-DF83B1644CFF}"/>
</file>

<file path=customXml/itemProps5.xml><?xml version="1.0" encoding="utf-8"?>
<ds:datastoreItem xmlns:ds="http://schemas.openxmlformats.org/officeDocument/2006/customXml" ds:itemID="{E7B34D27-3D65-4821-8BC6-10AB9A17E8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Analysis</vt:lpstr>
      <vt:lpstr>Data</vt:lpstr>
      <vt:lpstr>Customers</vt:lpstr>
      <vt:lpstr>Calcs revised method</vt:lpstr>
      <vt:lpstr>Summary of WM Invoices</vt:lpstr>
      <vt:lpstr>Customer Summary</vt:lpstr>
      <vt:lpstr>Analysis!Print_Area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</dc:creator>
  <cp:keywords/>
  <dc:description/>
  <cp:lastModifiedBy>Weldon Burton</cp:lastModifiedBy>
  <cp:revision/>
  <cp:lastPrinted>2020-08-06T17:58:02Z</cp:lastPrinted>
  <dcterms:created xsi:type="dcterms:W3CDTF">2018-08-17T22:00:24Z</dcterms:created>
  <dcterms:modified xsi:type="dcterms:W3CDTF">2022-08-09T17:17:55Z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ocset_NoMedatataSyncRequired">
    <vt:lpwstr>False</vt:lpwstr>
  </property>
  <property fmtid="{D5CDD505-2E9C-101B-9397-08002B2CF9AE}" pid="3" name="ContentTypeId">
    <vt:lpwstr>0x0101006E56B4D1795A2E4DB2F0B01679ED314A00F57371CFC0D7244ABA861D00C706D19E</vt:lpwstr>
  </property>
  <property fmtid="{D5CDD505-2E9C-101B-9397-08002B2CF9AE}" pid="4" name="IsEFSEC">
    <vt:bool>false</vt:bool>
  </property>
</Properties>
</file>