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4C42A89A-4B17-4E9A-8C25-7527E51A8DD0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5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6" i="4"/>
  <c r="E7" i="4"/>
  <c r="E4" i="4"/>
  <c r="C3" i="4"/>
  <c r="C7" i="4" s="1"/>
  <c r="C5" i="4" l="1"/>
  <c r="C4" i="4"/>
  <c r="C6" i="4"/>
  <c r="H1" i="3"/>
  <c r="B36" i="3" l="1"/>
  <c r="B13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5" i="4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5" i="4"/>
  <c r="E42" i="4" l="1"/>
  <c r="G20" i="1" s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<sst xmlns="http://schemas.openxmlformats.org/spreadsheetml/2006/main" count="224" uniqueCount="141">
  <si>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</si>
  <si>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</si>
  <si>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</si>
  <si>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</si>
  <si>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</si>
  <si>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</si>
  <si>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</si>
  <si>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</si>
  <si>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</si>
  <si>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</si>
  <si>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</si>
  <si>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</si>
  <si>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</si>
  <si>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</si>
  <si>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</si>
  <si>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</si>
  <si>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</si>
  <si>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</si>
  <si>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</si>
  <si>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</si>
  <si>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</si>
  <si>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</si>
  <si>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</si>
  <si>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</si>
  <si>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</si>
  <si>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</si>
  <si>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</si>
  <si>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</si>
  <si>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</si>
  <si>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</si>
  <si>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</si>
  <si>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</si>
  <si>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</si>
  <si>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</si>
  <si>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</si>
  <si>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</si>
  <si>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</si>
  <si>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</si>
  <si>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</si>
  <si>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</si>
  <si>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</si>
  <si>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</si>
  <si>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</si>
  <si>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</si>
  <si>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</si>
  <si>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</si>
  <si>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</si>
  <si>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</si>
  <si>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</si>
  <si>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</si>
  <si>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</si>
  <si>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</si>
  <si>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</si>
  <si>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</si>
  <si>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</si>
  <si>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</si>
  <si>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</si>
  <si>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</si>
  <si>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</si>
  <si>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</si>
  <si>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</si>
  <si>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</si>
  <si>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</si>
  <si>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</si>
  <si>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</si>
  <si>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</si>
  <si>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</si>
  <si>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</si>
  <si>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</si>
  <si>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</si>
  <si>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</si>
  <si>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</si>
  <si>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</si>
  <si>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</si>
  <si>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</si>
  <si>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</si>
  <si>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</si>
  <si>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</si>
  <si>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</si>
  <si>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</si>
  <si>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</si>
  <si>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</si>
  <si>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</si>
  <si>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</si>
  <si>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</si>
  <si>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</si>
  <si>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</si>
  <si>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</si>
  <si>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</si>
  <si>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</si>
  <si>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</si>
  <si>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</si>
  <si>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</si>
  <si>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</si>
  <si>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</si>
  <si>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</si>
  <si>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</si>
  <si>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</si>
  <si>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</si>
  <si>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</si>
  <si>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</si>
  <si>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</si>
  <si>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</si>
  <si>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</si>
  <si>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</si>
  <si>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</si>
  <si>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</si>
  <si>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</si>
  <si>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</si>
  <si>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</si>
  <si>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</si>
  <si>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</si>
  <si>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</si>
  <si>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</si>
  <si>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</si>
  <si>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</si>
  <si>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</si>
  <si>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</si>
  <si>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</si>
  <si>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</si>
  <si>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</si>
  <si>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</si>
  <si>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</si>
  <si>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</si>
  <si>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</si>
  <si>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</si>
  <si>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</si>
  <si>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</si>
  <si>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</si>
  <si>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</si>
  <si>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</si>
  <si>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Summary Energy and Emissions Intensity Report - 2015</t>
  </si>
  <si>
    <t>EIM Settlements</t>
  </si>
  <si>
    <t>2015 Washington - WCA Allocation Factor</t>
  </si>
  <si>
    <t>Annual (Unallocated) MWh 2015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</si>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</sst>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2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3"/>
    <xf numFmtId="0" fontId="47" fillId="0" borderId="44"/>
    <xf numFmtId="38" fontId="18" fillId="0" borderId="45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4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center"/>
    </xf>
    <xf numFmtId="0" fontId="53" fillId="0" borderId="48" xfId="0" applyFont="1" applyBorder="1" applyAlignment="1">
      <alignment horizontal="right"/>
    </xf>
    <xf numFmtId="10" fontId="37" fillId="0" borderId="49" xfId="2" applyNumberFormat="1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9" fontId="37" fillId="0" borderId="49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6" xfId="0" applyFont="1" applyFill="1" applyBorder="1" applyAlignment="1">
      <alignment horizontal="right"/>
    </xf>
    <xf numFmtId="0" fontId="0" fillId="0" borderId="47" xfId="0" applyBorder="1"/>
    <xf numFmtId="0" fontId="37" fillId="0" borderId="49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0" fontId="55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workbookViewId="0">
      <selection activeCell="I18" sqref="I18:I2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56" t="s">
        <v>14</v>
      </c>
      <c r="C4" s="158"/>
      <c r="D4" s="25">
        <v>2015</v>
      </c>
      <c r="E4" s="49" t="s">
        <v>37</v>
      </c>
      <c r="F4" s="45"/>
    </row>
    <row r="5" spans="2:8" ht="15.75" thickBot="1">
      <c r="B5" s="159" t="s">
        <v>19</v>
      </c>
      <c r="C5" s="160"/>
      <c r="D5" s="130">
        <v>300450</v>
      </c>
      <c r="E5" s="131">
        <f>+E15/D5</f>
        <v>15.163293130907158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56" t="s">
        <v>10</v>
      </c>
      <c r="C10" s="157"/>
      <c r="D10" s="158"/>
      <c r="E10" s="47">
        <v>1710807.6928461464</v>
      </c>
      <c r="F10" s="10">
        <f>+E10/E15</f>
        <v>0.37552206065689919</v>
      </c>
      <c r="G10" s="55">
        <v>107555.83333333299</v>
      </c>
      <c r="H10" s="61">
        <f>+E10/G10</f>
        <v>15.906228791367136</v>
      </c>
    </row>
    <row r="11" spans="2:8">
      <c r="B11" s="156" t="s">
        <v>15</v>
      </c>
      <c r="C11" s="157"/>
      <c r="D11" s="158"/>
      <c r="E11" s="47">
        <v>1732439.1413913013</v>
      </c>
      <c r="F11" s="10">
        <f>+E11/E15</f>
        <v>0.38027016073070491</v>
      </c>
      <c r="G11" s="56">
        <v>15591.416666666701</v>
      </c>
      <c r="H11" s="61">
        <f>+E11/G11</f>
        <v>111.11492806777004</v>
      </c>
    </row>
    <row r="12" spans="2:8">
      <c r="B12" s="156" t="s">
        <v>16</v>
      </c>
      <c r="C12" s="157"/>
      <c r="D12" s="158"/>
      <c r="E12" s="47">
        <v>880688.94037113711</v>
      </c>
      <c r="F12" s="10">
        <f>+E12/E15</f>
        <v>0.19331110508143595</v>
      </c>
      <c r="G12" s="57">
        <v>500.83333333333297</v>
      </c>
      <c r="H12" s="61">
        <f>+E12/G12</f>
        <v>1758.4471355164148</v>
      </c>
    </row>
    <row r="13" spans="2:8">
      <c r="B13" s="156" t="s">
        <v>39</v>
      </c>
      <c r="C13" s="157"/>
      <c r="D13" s="158"/>
      <c r="E13" s="51">
        <v>220630.98391473867</v>
      </c>
      <c r="F13" s="10">
        <f>+E13/E15</f>
        <v>4.8428471575661033E-2</v>
      </c>
      <c r="G13" s="57">
        <v>5091.6666666666697</v>
      </c>
      <c r="H13" s="61">
        <f>+E13/G13</f>
        <v>43.33178080158531</v>
      </c>
    </row>
    <row r="14" spans="2:8">
      <c r="B14" s="161" t="s">
        <v>40</v>
      </c>
      <c r="C14" s="162"/>
      <c r="D14" s="163"/>
      <c r="E14" s="51">
        <v>11244.662657732169</v>
      </c>
      <c r="F14" s="10">
        <f>+E14/E15</f>
        <v>2.4682019552989061E-3</v>
      </c>
      <c r="G14" s="57">
        <v>242.083333333333</v>
      </c>
      <c r="H14" s="61">
        <f>+E14/G14</f>
        <v>46.449553147258598</v>
      </c>
    </row>
    <row r="15" spans="2:8" ht="15.75" thickBot="1">
      <c r="B15" s="33"/>
      <c r="C15" s="52" t="s">
        <v>11</v>
      </c>
      <c r="D15" s="53"/>
      <c r="E15" s="48">
        <f>SUM(E10:E14)</f>
        <v>4555811.4211810557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1" t="s">
        <v>139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140</v>
      </c>
      <c r="H19" s="32"/>
      <c r="I19" s="152" t="s">
        <v>140</v>
      </c>
    </row>
    <row r="20" spans="2:9" ht="15.75" thickBot="1">
      <c r="B20" s="156" t="s">
        <v>31</v>
      </c>
      <c r="C20" s="157"/>
      <c r="D20" s="158"/>
      <c r="E20" s="133">
        <f>+'Known Resources'!B42</f>
        <v>3892981.7941647973</v>
      </c>
      <c r="F20" s="10">
        <f>+E20/(E20+E21)</f>
        <v>0.86722738279106026</v>
      </c>
      <c r="G20" s="133">
        <f>+'Known Resources'!E42</f>
        <v>2865057.3247736776</v>
      </c>
      <c r="H20" s="132"/>
      <c r="I20" s="153">
        <f>G20*0.907185</f>
        <v>2599137.0291748089</v>
      </c>
    </row>
    <row r="21" spans="2:9" ht="18">
      <c r="B21" s="156" t="s">
        <v>32</v>
      </c>
      <c r="C21" s="157"/>
      <c r="D21" s="158"/>
      <c r="E21" s="134">
        <f>+'Unknown Resources'!B34</f>
        <v>596015.98359878513</v>
      </c>
      <c r="F21" s="38">
        <f>+E21/(E20+E21)</f>
        <v>0.13277261720893971</v>
      </c>
      <c r="G21" s="135">
        <f>+'Unknown Resources'!D34</f>
        <v>287106.54357089929</v>
      </c>
      <c r="H21" s="50" t="s">
        <v>36</v>
      </c>
      <c r="I21" s="154">
        <f>G21*0.907185</f>
        <v>260458.74972936627</v>
      </c>
    </row>
    <row r="22" spans="2:9" ht="18.75" thickBot="1">
      <c r="B22" s="33"/>
      <c r="C22" s="34"/>
      <c r="D22" s="34"/>
      <c r="E22" s="52">
        <f>+D4</f>
        <v>2015</v>
      </c>
      <c r="F22" s="140" t="s">
        <v>3</v>
      </c>
      <c r="G22" s="141">
        <f>SUM(G20:G21)</f>
        <v>3152163.868344577</v>
      </c>
      <c r="H22" s="142">
        <f>+G22/H24</f>
        <v>1.3139063708410386</v>
      </c>
      <c r="I22" s="155">
        <f>SUM(I20:I21)</f>
        <v>2859595.7789041754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selection activeCell="D8" sqref="D8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2015'!D4</f>
        <v>2015</v>
      </c>
      <c r="D1" s="1"/>
      <c r="E1" s="1"/>
      <c r="F1" s="71"/>
      <c r="G1" s="71"/>
    </row>
    <row r="2" spans="1:8" ht="30.75">
      <c r="A2" s="2"/>
      <c r="B2" s="7" t="s">
        <v>29</v>
      </c>
      <c r="C2" s="149" t="s">
        <v>138</v>
      </c>
      <c r="D2" s="7">
        <f>+'Summary 2015'!D4</f>
        <v>2015</v>
      </c>
      <c r="E2" s="7" t="s">
        <v>4</v>
      </c>
      <c r="F2" s="71"/>
      <c r="G2" s="71"/>
    </row>
    <row r="3" spans="1:8" ht="19.5">
      <c r="A3" s="4" t="s">
        <v>0</v>
      </c>
      <c r="B3" s="8">
        <f>+'Summary 2015'!D4</f>
        <v>2015</v>
      </c>
      <c r="C3" s="150">
        <f>3.503%</f>
        <v>3.5029999999999999E-2</v>
      </c>
      <c r="D3" s="8" t="s">
        <v>6</v>
      </c>
      <c r="E3" s="8" t="s">
        <v>7</v>
      </c>
      <c r="F3" s="6"/>
      <c r="G3" s="71" t="s">
        <v>134</v>
      </c>
    </row>
    <row r="4" spans="1:8">
      <c r="A4" s="67" t="s">
        <v>46</v>
      </c>
      <c r="B4" s="68">
        <f t="shared" ref="B4:B41" si="0">G4*$B$44</f>
        <v>139030.83484455603</v>
      </c>
      <c r="C4" s="68">
        <f>B4*(1+$C$3)</f>
        <v>143901.08498916082</v>
      </c>
      <c r="D4" s="68">
        <v>2373.1728478914702</v>
      </c>
      <c r="E4" s="89">
        <f>(+C4*D4)/2000</f>
        <v>170751.07383919964</v>
      </c>
      <c r="F4" s="71" t="s">
        <v>83</v>
      </c>
      <c r="G4" s="73">
        <v>615241.42507780553</v>
      </c>
    </row>
    <row r="5" spans="1:8">
      <c r="A5" s="67" t="s">
        <v>45</v>
      </c>
      <c r="B5" s="68">
        <f t="shared" si="0"/>
        <v>2068719.8202589967</v>
      </c>
      <c r="C5" s="68">
        <f t="shared" ref="C5:C7" si="1">B5*(1+$C$3)</f>
        <v>2141187.075562669</v>
      </c>
      <c r="D5" s="68">
        <v>2171.4095001598066</v>
      </c>
      <c r="E5" s="89">
        <f t="shared" ref="E5:E7" si="2">(+C5*D5)/2000</f>
        <v>2324696.9787480864</v>
      </c>
      <c r="F5" s="71" t="s">
        <v>83</v>
      </c>
      <c r="G5" s="73">
        <v>9154531.3075754996</v>
      </c>
      <c r="H5" s="65"/>
    </row>
    <row r="6" spans="1:8">
      <c r="A6" s="67" t="s">
        <v>44</v>
      </c>
      <c r="B6" s="68">
        <f t="shared" si="0"/>
        <v>246992.03121772641</v>
      </c>
      <c r="C6" s="68">
        <f t="shared" si="1"/>
        <v>255644.16207128335</v>
      </c>
      <c r="D6" s="68">
        <v>897.06997183163367</v>
      </c>
      <c r="E6" s="89">
        <f t="shared" si="2"/>
        <v>114665.35063410387</v>
      </c>
      <c r="F6" s="71" t="s">
        <v>84</v>
      </c>
      <c r="G6" s="73">
        <v>1092993</v>
      </c>
      <c r="H6" s="63"/>
    </row>
    <row r="7" spans="1:8">
      <c r="A7" s="67" t="s">
        <v>82</v>
      </c>
      <c r="B7" s="68">
        <f t="shared" si="0"/>
        <v>543057.37717693916</v>
      </c>
      <c r="C7" s="68">
        <f t="shared" si="1"/>
        <v>562080.67709944723</v>
      </c>
      <c r="D7" s="68">
        <v>907.1435184995014</v>
      </c>
      <c r="E7" s="89">
        <f t="shared" si="2"/>
        <v>254943.92155228733</v>
      </c>
      <c r="F7" s="71" t="s">
        <v>84</v>
      </c>
      <c r="G7" s="73">
        <v>2403146</v>
      </c>
    </row>
    <row r="8" spans="1:8">
      <c r="A8" s="67" t="s">
        <v>42</v>
      </c>
      <c r="B8" s="68">
        <f t="shared" si="0"/>
        <v>42200.429336496694</v>
      </c>
      <c r="C8" s="68"/>
      <c r="D8" s="68">
        <v>0</v>
      </c>
      <c r="E8" s="89">
        <f t="shared" ref="E8:E20" si="3">(+B8*D8)/2000</f>
        <v>0</v>
      </c>
      <c r="F8" s="85" t="s">
        <v>85</v>
      </c>
      <c r="G8" s="73">
        <v>186746</v>
      </c>
    </row>
    <row r="9" spans="1:8">
      <c r="A9" s="67" t="s">
        <v>43</v>
      </c>
      <c r="B9" s="68">
        <f t="shared" si="0"/>
        <v>42611.93470647389</v>
      </c>
      <c r="C9" s="68"/>
      <c r="D9" s="68">
        <v>0</v>
      </c>
      <c r="E9" s="89">
        <f t="shared" si="3"/>
        <v>0</v>
      </c>
      <c r="F9" s="85" t="s">
        <v>85</v>
      </c>
      <c r="G9" s="73">
        <v>188567</v>
      </c>
      <c r="H9" s="129"/>
    </row>
    <row r="10" spans="1:8">
      <c r="A10" s="67" t="s">
        <v>47</v>
      </c>
      <c r="B10" s="68">
        <f t="shared" si="0"/>
        <v>98666.15218784794</v>
      </c>
      <c r="C10" s="68"/>
      <c r="D10" s="68">
        <v>0</v>
      </c>
      <c r="E10" s="89">
        <f t="shared" si="3"/>
        <v>0</v>
      </c>
      <c r="F10" s="85" t="s">
        <v>85</v>
      </c>
      <c r="G10" s="73">
        <v>436619</v>
      </c>
      <c r="H10" s="129"/>
    </row>
    <row r="11" spans="1:8" s="64" customFormat="1">
      <c r="A11" s="67" t="s">
        <v>53</v>
      </c>
      <c r="B11" s="68">
        <f t="shared" si="0"/>
        <v>541.44254061798426</v>
      </c>
      <c r="C11" s="68"/>
      <c r="D11" s="68">
        <v>0</v>
      </c>
      <c r="E11" s="89">
        <f t="shared" si="3"/>
        <v>0</v>
      </c>
      <c r="F11" s="85" t="s">
        <v>86</v>
      </c>
      <c r="G11" s="73">
        <v>2396</v>
      </c>
      <c r="H11" s="129"/>
    </row>
    <row r="12" spans="1:8" s="64" customFormat="1">
      <c r="A12" s="67" t="s">
        <v>54</v>
      </c>
      <c r="B12" s="68">
        <f t="shared" si="0"/>
        <v>7135.2455008400884</v>
      </c>
      <c r="C12" s="68"/>
      <c r="D12" s="68">
        <v>0</v>
      </c>
      <c r="E12" s="89">
        <f t="shared" si="3"/>
        <v>0</v>
      </c>
      <c r="F12" s="85" t="s">
        <v>86</v>
      </c>
      <c r="G12" s="73">
        <v>31575</v>
      </c>
    </row>
    <row r="13" spans="1:8" s="64" customFormat="1">
      <c r="A13" s="67" t="s">
        <v>55</v>
      </c>
      <c r="B13" s="68">
        <f t="shared" si="0"/>
        <v>7263.3748499763142</v>
      </c>
      <c r="C13" s="68"/>
      <c r="D13" s="68">
        <v>0</v>
      </c>
      <c r="E13" s="89">
        <f t="shared" si="3"/>
        <v>0</v>
      </c>
      <c r="F13" s="85" t="s">
        <v>86</v>
      </c>
      <c r="G13" s="73">
        <v>32142</v>
      </c>
    </row>
    <row r="14" spans="1:8" s="64" customFormat="1">
      <c r="A14" s="67" t="s">
        <v>56</v>
      </c>
      <c r="B14" s="68">
        <f t="shared" si="0"/>
        <v>13680.46325812694</v>
      </c>
      <c r="C14" s="68"/>
      <c r="D14" s="68">
        <v>0</v>
      </c>
      <c r="E14" s="89">
        <f t="shared" si="3"/>
        <v>0</v>
      </c>
      <c r="F14" s="85" t="s">
        <v>86</v>
      </c>
      <c r="G14" s="73">
        <v>60539</v>
      </c>
    </row>
    <row r="15" spans="1:8" s="64" customFormat="1">
      <c r="A15" s="67" t="s">
        <v>57</v>
      </c>
      <c r="B15" s="68">
        <f t="shared" si="0"/>
        <v>17422.42779489372</v>
      </c>
      <c r="C15" s="68"/>
      <c r="D15" s="68">
        <v>0</v>
      </c>
      <c r="E15" s="89">
        <f t="shared" si="3"/>
        <v>0</v>
      </c>
      <c r="F15" s="85" t="s">
        <v>86</v>
      </c>
      <c r="G15" s="73">
        <v>77098</v>
      </c>
    </row>
    <row r="16" spans="1:8" s="64" customFormat="1">
      <c r="A16" s="67" t="s">
        <v>58</v>
      </c>
      <c r="B16" s="68">
        <f t="shared" si="0"/>
        <v>3809.30588781192</v>
      </c>
      <c r="C16" s="68"/>
      <c r="D16" s="68">
        <v>0</v>
      </c>
      <c r="E16" s="89">
        <f t="shared" si="3"/>
        <v>0</v>
      </c>
      <c r="F16" s="85" t="s">
        <v>86</v>
      </c>
      <c r="G16" s="73">
        <v>16857</v>
      </c>
    </row>
    <row r="17" spans="1:7" s="64" customFormat="1">
      <c r="A17" s="67" t="s">
        <v>59</v>
      </c>
      <c r="B17" s="68">
        <f t="shared" si="0"/>
        <v>2191.7575966000954</v>
      </c>
      <c r="C17" s="68"/>
      <c r="D17" s="68">
        <v>0</v>
      </c>
      <c r="E17" s="89">
        <f t="shared" si="3"/>
        <v>0</v>
      </c>
      <c r="F17" s="85" t="s">
        <v>86</v>
      </c>
      <c r="G17" s="73">
        <v>9699</v>
      </c>
    </row>
    <row r="18" spans="1:7" s="64" customFormat="1">
      <c r="A18" s="67" t="s">
        <v>60</v>
      </c>
      <c r="B18" s="68">
        <f t="shared" si="0"/>
        <v>1794.4888209713743</v>
      </c>
      <c r="C18" s="68"/>
      <c r="D18" s="68">
        <v>0</v>
      </c>
      <c r="E18" s="89">
        <f t="shared" si="3"/>
        <v>0</v>
      </c>
      <c r="F18" s="85" t="s">
        <v>86</v>
      </c>
      <c r="G18" s="73">
        <v>7941</v>
      </c>
    </row>
    <row r="19" spans="1:7" s="64" customFormat="1">
      <c r="A19" s="67" t="s">
        <v>61</v>
      </c>
      <c r="B19" s="68">
        <f t="shared" si="0"/>
        <v>18539.887462404542</v>
      </c>
      <c r="C19" s="68"/>
      <c r="D19" s="68">
        <v>0</v>
      </c>
      <c r="E19" s="89">
        <f t="shared" si="3"/>
        <v>0</v>
      </c>
      <c r="F19" s="85" t="s">
        <v>86</v>
      </c>
      <c r="G19" s="73">
        <v>82043</v>
      </c>
    </row>
    <row r="20" spans="1:7" s="64" customFormat="1">
      <c r="A20" s="67" t="s">
        <v>62</v>
      </c>
      <c r="B20" s="68">
        <f t="shared" si="0"/>
        <v>36183.773391607785</v>
      </c>
      <c r="C20" s="68"/>
      <c r="D20" s="68">
        <v>0</v>
      </c>
      <c r="E20" s="89">
        <f t="shared" si="3"/>
        <v>0</v>
      </c>
      <c r="F20" s="85" t="s">
        <v>86</v>
      </c>
      <c r="G20" s="73">
        <v>160121</v>
      </c>
    </row>
    <row r="21" spans="1:7" s="64" customFormat="1">
      <c r="A21" s="67" t="s">
        <v>63</v>
      </c>
      <c r="B21" s="68">
        <f t="shared" si="0"/>
        <v>27919.543361165255</v>
      </c>
      <c r="C21" s="68"/>
      <c r="D21" s="68">
        <v>0</v>
      </c>
      <c r="E21" s="89"/>
      <c r="F21" s="85" t="s">
        <v>86</v>
      </c>
      <c r="G21" s="73">
        <v>123550</v>
      </c>
    </row>
    <row r="22" spans="1:7">
      <c r="A22" s="67" t="s">
        <v>64</v>
      </c>
      <c r="B22" s="68">
        <f t="shared" si="0"/>
        <v>30877.591298013926</v>
      </c>
      <c r="C22" s="68"/>
      <c r="D22" s="68">
        <v>0</v>
      </c>
      <c r="E22" s="89">
        <f t="shared" ref="E22:E35" si="4">(+B22*D22)/2000</f>
        <v>0</v>
      </c>
      <c r="F22" s="85" t="s">
        <v>86</v>
      </c>
      <c r="G22" s="73">
        <v>136640</v>
      </c>
    </row>
    <row r="23" spans="1:7">
      <c r="A23" s="67" t="s">
        <v>65</v>
      </c>
      <c r="B23" s="68">
        <f t="shared" si="0"/>
        <v>90128.263177151501</v>
      </c>
      <c r="C23" s="68"/>
      <c r="D23" s="68">
        <v>0</v>
      </c>
      <c r="E23" s="89">
        <f t="shared" si="4"/>
        <v>0</v>
      </c>
      <c r="F23" s="85" t="s">
        <v>86</v>
      </c>
      <c r="G23" s="73">
        <v>398837</v>
      </c>
    </row>
    <row r="24" spans="1:7">
      <c r="A24" s="67" t="s">
        <v>66</v>
      </c>
      <c r="B24" s="68">
        <f t="shared" si="0"/>
        <v>1441.2856945164872</v>
      </c>
      <c r="C24" s="68"/>
      <c r="D24" s="68">
        <v>0</v>
      </c>
      <c r="E24" s="89">
        <f t="shared" si="4"/>
        <v>0</v>
      </c>
      <c r="F24" s="85" t="s">
        <v>86</v>
      </c>
      <c r="G24" s="73">
        <v>6378</v>
      </c>
    </row>
    <row r="25" spans="1:7">
      <c r="A25" s="67" t="s">
        <v>76</v>
      </c>
      <c r="B25" s="68">
        <f t="shared" si="0"/>
        <v>37684.717195775003</v>
      </c>
      <c r="C25" s="68"/>
      <c r="D25" s="68">
        <v>0</v>
      </c>
      <c r="E25" s="89">
        <f t="shared" si="4"/>
        <v>0</v>
      </c>
      <c r="F25" s="85" t="s">
        <v>86</v>
      </c>
      <c r="G25" s="73">
        <v>166763</v>
      </c>
    </row>
    <row r="26" spans="1:7">
      <c r="A26" s="67" t="s">
        <v>75</v>
      </c>
      <c r="B26" s="68">
        <f t="shared" si="0"/>
        <v>6277.8861522989237</v>
      </c>
      <c r="C26" s="68"/>
      <c r="D26" s="68">
        <v>0</v>
      </c>
      <c r="E26" s="89">
        <f t="shared" si="4"/>
        <v>0</v>
      </c>
      <c r="F26" s="85" t="s">
        <v>86</v>
      </c>
      <c r="G26" s="73">
        <v>27781</v>
      </c>
    </row>
    <row r="27" spans="1:7">
      <c r="A27" s="67" t="s">
        <v>74</v>
      </c>
      <c r="B27" s="68">
        <f t="shared" si="0"/>
        <v>275.46680175848195</v>
      </c>
      <c r="C27" s="68"/>
      <c r="D27" s="68">
        <v>0</v>
      </c>
      <c r="E27" s="89">
        <f t="shared" si="4"/>
        <v>0</v>
      </c>
      <c r="F27" s="85" t="s">
        <v>86</v>
      </c>
      <c r="G27" s="73">
        <v>1219</v>
      </c>
    </row>
    <row r="28" spans="1:7">
      <c r="A28" s="67" t="s">
        <v>73</v>
      </c>
      <c r="B28" s="68">
        <f t="shared" si="0"/>
        <v>10109.111875853725</v>
      </c>
      <c r="C28" s="68"/>
      <c r="D28" s="68">
        <v>0</v>
      </c>
      <c r="E28" s="89">
        <f t="shared" si="4"/>
        <v>0</v>
      </c>
      <c r="F28" s="85" t="s">
        <v>86</v>
      </c>
      <c r="G28" s="73">
        <v>44735</v>
      </c>
    </row>
    <row r="29" spans="1:7">
      <c r="A29" s="67" t="s">
        <v>72</v>
      </c>
      <c r="B29" s="68">
        <f t="shared" si="0"/>
        <v>7746.0631916958528</v>
      </c>
      <c r="C29" s="68"/>
      <c r="D29" s="68">
        <v>0</v>
      </c>
      <c r="E29" s="89">
        <f t="shared" si="4"/>
        <v>0</v>
      </c>
      <c r="F29" s="85" t="s">
        <v>86</v>
      </c>
      <c r="G29" s="73">
        <v>34278</v>
      </c>
    </row>
    <row r="30" spans="1:7">
      <c r="A30" s="67" t="s">
        <v>71</v>
      </c>
      <c r="B30" s="68">
        <f t="shared" si="0"/>
        <v>131863.6304315982</v>
      </c>
      <c r="C30" s="68"/>
      <c r="D30" s="68">
        <v>0</v>
      </c>
      <c r="E30" s="89">
        <f t="shared" si="4"/>
        <v>0</v>
      </c>
      <c r="F30" s="85" t="s">
        <v>86</v>
      </c>
      <c r="G30" s="73">
        <v>583525</v>
      </c>
    </row>
    <row r="31" spans="1:7">
      <c r="A31" s="67" t="s">
        <v>70</v>
      </c>
      <c r="B31" s="68">
        <f t="shared" si="0"/>
        <v>41578.086783549312</v>
      </c>
      <c r="C31" s="68"/>
      <c r="D31" s="68">
        <v>0</v>
      </c>
      <c r="E31" s="89">
        <f t="shared" si="4"/>
        <v>0</v>
      </c>
      <c r="F31" s="85" t="s">
        <v>86</v>
      </c>
      <c r="G31" s="73">
        <v>183992</v>
      </c>
    </row>
    <row r="32" spans="1:7">
      <c r="A32" s="67" t="s">
        <v>69</v>
      </c>
      <c r="B32" s="68">
        <f t="shared" si="0"/>
        <v>788.66213136759814</v>
      </c>
      <c r="C32" s="68"/>
      <c r="D32" s="68">
        <v>0</v>
      </c>
      <c r="E32" s="89">
        <f t="shared" si="4"/>
        <v>0</v>
      </c>
      <c r="F32" s="85" t="s">
        <v>86</v>
      </c>
      <c r="G32" s="73">
        <v>3490</v>
      </c>
    </row>
    <row r="33" spans="1:7">
      <c r="A33" s="67" t="s">
        <v>67</v>
      </c>
      <c r="B33" s="68">
        <f t="shared" si="0"/>
        <v>108936.38615529625</v>
      </c>
      <c r="C33" s="68"/>
      <c r="D33" s="68">
        <v>0</v>
      </c>
      <c r="E33" s="89">
        <f t="shared" si="4"/>
        <v>0</v>
      </c>
      <c r="F33" s="85" t="s">
        <v>86</v>
      </c>
      <c r="G33" s="73">
        <v>482067</v>
      </c>
    </row>
    <row r="34" spans="1:7" s="65" customFormat="1">
      <c r="A34" s="67" t="s">
        <v>81</v>
      </c>
      <c r="B34" s="68">
        <f t="shared" si="0"/>
        <v>1788.9139514066642</v>
      </c>
      <c r="C34" s="68"/>
      <c r="D34" s="68">
        <v>0</v>
      </c>
      <c r="E34" s="89">
        <f t="shared" si="4"/>
        <v>0</v>
      </c>
      <c r="F34" s="85" t="s">
        <v>86</v>
      </c>
      <c r="G34" s="73">
        <v>7916.33</v>
      </c>
    </row>
    <row r="35" spans="1:7" s="65" customFormat="1">
      <c r="A35" s="67" t="s">
        <v>77</v>
      </c>
      <c r="B35" s="68">
        <f t="shared" si="0"/>
        <v>542.14442731713257</v>
      </c>
      <c r="C35" s="68"/>
      <c r="D35" s="68">
        <v>0</v>
      </c>
      <c r="E35" s="89">
        <f t="shared" si="4"/>
        <v>0</v>
      </c>
      <c r="F35" s="85" t="s">
        <v>88</v>
      </c>
      <c r="G35" s="73">
        <v>2399.1059999999998</v>
      </c>
    </row>
    <row r="36" spans="1:7" s="65" customFormat="1">
      <c r="A36" s="67" t="s">
        <v>78</v>
      </c>
      <c r="B36" s="68">
        <f t="shared" si="0"/>
        <v>51608.106468578211</v>
      </c>
      <c r="C36" s="68"/>
      <c r="D36" s="68">
        <v>0</v>
      </c>
      <c r="E36" s="89">
        <f t="shared" ref="E36:E41" si="5">(+B36*D36)/2000</f>
        <v>0</v>
      </c>
      <c r="F36" s="85" t="s">
        <v>86</v>
      </c>
      <c r="G36" s="73">
        <v>228377</v>
      </c>
    </row>
    <row r="37" spans="1:7" s="65" customFormat="1">
      <c r="A37" s="67" t="s">
        <v>79</v>
      </c>
      <c r="B37" s="68">
        <f t="shared" si="0"/>
        <v>9820.7643458751991</v>
      </c>
      <c r="C37" s="68"/>
      <c r="D37" s="68">
        <v>0</v>
      </c>
      <c r="E37" s="89">
        <f t="shared" si="5"/>
        <v>0</v>
      </c>
      <c r="F37" s="85" t="s">
        <v>86</v>
      </c>
      <c r="G37" s="73">
        <v>43459</v>
      </c>
    </row>
    <row r="38" spans="1:7" s="69" customFormat="1">
      <c r="A38" s="67" t="s">
        <v>80</v>
      </c>
      <c r="B38" s="68">
        <f t="shared" si="0"/>
        <v>10126.738135523259</v>
      </c>
      <c r="C38" s="68"/>
      <c r="D38" s="68">
        <v>0</v>
      </c>
      <c r="E38" s="89">
        <f t="shared" si="5"/>
        <v>0</v>
      </c>
      <c r="F38" s="85" t="s">
        <v>86</v>
      </c>
      <c r="G38" s="73">
        <v>44813</v>
      </c>
    </row>
    <row r="39" spans="1:7" s="65" customFormat="1">
      <c r="A39" s="67" t="s">
        <v>49</v>
      </c>
      <c r="B39" s="68">
        <f t="shared" si="0"/>
        <v>20572.050802559101</v>
      </c>
      <c r="C39" s="68"/>
      <c r="D39" s="68">
        <v>0</v>
      </c>
      <c r="E39" s="89">
        <f t="shared" si="5"/>
        <v>0</v>
      </c>
      <c r="F39" s="85" t="s">
        <v>86</v>
      </c>
      <c r="G39" s="73">
        <v>91035.760999999999</v>
      </c>
    </row>
    <row r="40" spans="1:7" s="65" customFormat="1">
      <c r="A40" s="67" t="s">
        <v>51</v>
      </c>
      <c r="B40" s="68">
        <f t="shared" si="0"/>
        <v>10343.902693759437</v>
      </c>
      <c r="C40" s="68"/>
      <c r="D40" s="68">
        <v>0</v>
      </c>
      <c r="E40" s="89">
        <f t="shared" si="5"/>
        <v>0</v>
      </c>
      <c r="F40" s="85" t="s">
        <v>87</v>
      </c>
      <c r="G40" s="73">
        <v>45774</v>
      </c>
    </row>
    <row r="41" spans="1:7" s="65" customFormat="1" ht="15.75" thickBot="1">
      <c r="A41" s="67" t="s">
        <v>52</v>
      </c>
      <c r="B41" s="68">
        <f t="shared" si="0"/>
        <v>2711.73225685134</v>
      </c>
      <c r="C41" s="68"/>
      <c r="D41" s="68">
        <v>0</v>
      </c>
      <c r="E41" s="89">
        <f t="shared" si="5"/>
        <v>0</v>
      </c>
      <c r="F41" s="85" t="s">
        <v>86</v>
      </c>
      <c r="G41" s="143">
        <v>12000</v>
      </c>
    </row>
    <row r="42" spans="1:7" ht="16.5" thickTop="1" thickBot="1">
      <c r="A42" s="84"/>
      <c r="B42" s="86">
        <f>SUM(B4:B41)</f>
        <v>3892981.7941647973</v>
      </c>
      <c r="C42" s="68"/>
      <c r="D42" s="84"/>
      <c r="E42" s="86">
        <f>SUM(E4:E41)</f>
        <v>2865057.3247736776</v>
      </c>
      <c r="F42" s="84"/>
      <c r="G42" s="144">
        <f>SUM(G4:G41)</f>
        <v>17227283.929653306</v>
      </c>
    </row>
    <row r="43" spans="1:7">
      <c r="A43" s="84"/>
      <c r="B43" s="84"/>
      <c r="D43" s="84"/>
      <c r="E43" s="84"/>
      <c r="F43" s="84"/>
      <c r="G43" s="84"/>
    </row>
    <row r="44" spans="1:7">
      <c r="A44" s="84" t="s">
        <v>133</v>
      </c>
      <c r="B44" s="95">
        <v>0.22597768807094501</v>
      </c>
      <c r="D44" s="84"/>
      <c r="E44" s="84"/>
      <c r="F44" s="84"/>
      <c r="G44" s="84"/>
    </row>
    <row r="45" spans="1:7">
      <c r="F45" s="70"/>
      <c r="G45" s="70"/>
    </row>
    <row r="46" spans="1:7">
      <c r="G46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"/>
  <sheetViews>
    <sheetView workbookViewId="0">
      <selection activeCell="K9" sqref="K9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6" ht="19.5">
      <c r="A1" s="2" t="s">
        <v>30</v>
      </c>
      <c r="B1" s="74">
        <f>+'Summary 2015'!D4</f>
        <v>2015</v>
      </c>
      <c r="D1" s="147" t="s">
        <v>135</v>
      </c>
      <c r="E1" s="88"/>
      <c r="F1" s="88"/>
      <c r="G1" s="88"/>
      <c r="H1" s="148">
        <f>K1*K2</f>
        <v>963.41893999999991</v>
      </c>
      <c r="I1" s="88" t="s">
        <v>5</v>
      </c>
      <c r="J1" s="88"/>
      <c r="K1" s="88">
        <v>0.437</v>
      </c>
      <c r="L1" s="63" t="s">
        <v>136</v>
      </c>
      <c r="M1" s="88"/>
      <c r="N1" s="88"/>
      <c r="O1" s="88"/>
      <c r="P1" s="88"/>
    </row>
    <row r="2" spans="1:16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2015'!D4</f>
        <v>2015</v>
      </c>
      <c r="H2" s="27"/>
      <c r="K2" s="88">
        <v>2204.62</v>
      </c>
      <c r="L2" s="63" t="s">
        <v>137</v>
      </c>
    </row>
    <row r="3" spans="1:16" ht="19.5">
      <c r="A3" s="90" t="s">
        <v>0</v>
      </c>
      <c r="B3" s="91">
        <f>+'Summary 2015'!D4</f>
        <v>2015</v>
      </c>
      <c r="C3" s="91" t="s">
        <v>96</v>
      </c>
      <c r="D3" s="91" t="s">
        <v>97</v>
      </c>
      <c r="E3" s="92"/>
      <c r="F3" s="93"/>
    </row>
    <row r="4" spans="1:16">
      <c r="A4" s="67" t="s">
        <v>92</v>
      </c>
      <c r="B4" s="75">
        <f t="shared" ref="B4:B14" si="0">F4*$B$36</f>
        <v>7341.7891077369322</v>
      </c>
      <c r="C4" s="128">
        <f t="shared" ref="C4:C33" si="1">IF(B4&lt;&gt;0,$H$1,0)</f>
        <v>963.41893999999991</v>
      </c>
      <c r="D4" s="94">
        <f t="shared" ref="D4:D33" si="2">(+B4*C4)/2000</f>
        <v>3536.60933993973</v>
      </c>
      <c r="E4" s="93"/>
      <c r="F4" s="68">
        <v>32489</v>
      </c>
    </row>
    <row r="5" spans="1:16">
      <c r="A5" s="67" t="s">
        <v>90</v>
      </c>
      <c r="B5" s="75">
        <f t="shared" si="0"/>
        <v>3033.9764400405079</v>
      </c>
      <c r="C5" s="128">
        <f t="shared" si="1"/>
        <v>963.41893999999991</v>
      </c>
      <c r="D5" s="94">
        <f t="shared" si="2"/>
        <v>1461.4951829243996</v>
      </c>
      <c r="E5" s="93"/>
      <c r="F5" s="68">
        <v>13426</v>
      </c>
    </row>
    <row r="6" spans="1:16">
      <c r="A6" s="67" t="s">
        <v>91</v>
      </c>
      <c r="B6" s="75">
        <f t="shared" si="0"/>
        <v>1201201.9796570393</v>
      </c>
      <c r="C6" s="128">
        <f t="shared" si="1"/>
        <v>963.41893999999991</v>
      </c>
      <c r="D6" s="94">
        <f t="shared" si="2"/>
        <v>578630.36898354313</v>
      </c>
      <c r="E6" s="93"/>
      <c r="F6" s="68">
        <v>5315577.7896087049</v>
      </c>
    </row>
    <row r="7" spans="1:16" s="88" customFormat="1">
      <c r="A7" s="67" t="s">
        <v>130</v>
      </c>
      <c r="B7" s="75">
        <f t="shared" si="0"/>
        <v>108.46929027405361</v>
      </c>
      <c r="C7" s="128">
        <f t="shared" ref="C7" si="3">IF(B7&lt;&gt;0,$H$1,0)</f>
        <v>963.41893999999991</v>
      </c>
      <c r="D7" s="94">
        <f t="shared" ref="D7" si="4">(+B7*C7)/2000</f>
        <v>52.250684329190513</v>
      </c>
      <c r="E7" s="93"/>
      <c r="F7" s="68">
        <v>480</v>
      </c>
    </row>
    <row r="8" spans="1:16">
      <c r="A8" s="67" t="s">
        <v>93</v>
      </c>
      <c r="B8" s="75">
        <f t="shared" si="0"/>
        <v>21519.40327961995</v>
      </c>
      <c r="C8" s="128">
        <f t="shared" si="1"/>
        <v>963.41893999999991</v>
      </c>
      <c r="D8" s="94">
        <f t="shared" si="2"/>
        <v>10366.100348541986</v>
      </c>
      <c r="E8" s="93"/>
      <c r="F8" s="68">
        <v>95228</v>
      </c>
    </row>
    <row r="9" spans="1:16">
      <c r="A9" s="67" t="s">
        <v>94</v>
      </c>
      <c r="B9" s="75">
        <f t="shared" si="0"/>
        <v>39249.328179757031</v>
      </c>
      <c r="C9" s="128">
        <f t="shared" si="1"/>
        <v>963.41893999999991</v>
      </c>
      <c r="D9" s="94">
        <f t="shared" si="2"/>
        <v>18906.773075326822</v>
      </c>
      <c r="E9" s="93"/>
      <c r="F9" s="68">
        <v>173686.74100000007</v>
      </c>
    </row>
    <row r="10" spans="1:16">
      <c r="A10" s="67" t="s">
        <v>50</v>
      </c>
      <c r="B10" s="75">
        <f t="shared" si="0"/>
        <v>14916.78718956308</v>
      </c>
      <c r="C10" s="128">
        <f t="shared" ref="C10" si="5">IF(B10&lt;&gt;0,$H$1,0)</f>
        <v>963.41893999999991</v>
      </c>
      <c r="D10" s="94">
        <f t="shared" ref="D10" si="6">(+B10*C10)/2000</f>
        <v>7185.5576511872196</v>
      </c>
      <c r="E10" s="93"/>
      <c r="F10" s="68">
        <v>66010</v>
      </c>
    </row>
    <row r="11" spans="1:16">
      <c r="A11" s="67" t="s">
        <v>48</v>
      </c>
      <c r="B11" s="75">
        <f t="shared" si="0"/>
        <v>-694960.06045125716</v>
      </c>
      <c r="C11" s="128">
        <f>IF(B11&lt;&gt;0,$H$1,0)</f>
        <v>963.41893999999991</v>
      </c>
      <c r="D11" s="94">
        <f>(+B11*C11)/2000</f>
        <v>-334768.84239114303</v>
      </c>
      <c r="E11" s="93"/>
      <c r="F11" s="68">
        <v>-3075348.1300909519</v>
      </c>
    </row>
    <row r="12" spans="1:16">
      <c r="A12" s="67" t="s">
        <v>89</v>
      </c>
      <c r="B12" s="75">
        <f t="shared" si="0"/>
        <v>49488.661732160814</v>
      </c>
      <c r="C12" s="128">
        <f t="shared" si="1"/>
        <v>963.41893999999991</v>
      </c>
      <c r="D12" s="94">
        <f t="shared" si="2"/>
        <v>23839.157014008466</v>
      </c>
      <c r="E12" s="93"/>
      <c r="F12" s="68">
        <v>218998</v>
      </c>
    </row>
    <row r="13" spans="1:16" s="88" customFormat="1">
      <c r="A13" s="67" t="s">
        <v>132</v>
      </c>
      <c r="B13" s="75">
        <f t="shared" si="0"/>
        <v>-42590.918781483291</v>
      </c>
      <c r="C13" s="128">
        <f t="shared" ref="C13" si="7">IF(B13&lt;&gt;0,$H$1,0)</f>
        <v>963.41893999999991</v>
      </c>
      <c r="D13" s="94">
        <f t="shared" ref="D13" si="8">(+B13*C13)/2000</f>
        <v>-20516.44891304136</v>
      </c>
      <c r="E13" s="93"/>
      <c r="F13" s="68">
        <v>-188474</v>
      </c>
    </row>
    <row r="14" spans="1:16">
      <c r="A14" s="67" t="s">
        <v>95</v>
      </c>
      <c r="B14" s="75">
        <f t="shared" si="0"/>
        <v>-3293.4320446660986</v>
      </c>
      <c r="C14" s="128">
        <f t="shared" si="1"/>
        <v>963.41893999999991</v>
      </c>
      <c r="D14" s="94">
        <f t="shared" si="2"/>
        <v>-1586.4774047171225</v>
      </c>
      <c r="E14" s="93"/>
      <c r="F14" s="68">
        <v>-14574.146999999997</v>
      </c>
    </row>
    <row r="15" spans="1:16">
      <c r="A15" s="22"/>
      <c r="B15" s="47"/>
      <c r="C15" s="76">
        <f t="shared" si="1"/>
        <v>0</v>
      </c>
      <c r="D15" s="77">
        <f t="shared" si="2"/>
        <v>0</v>
      </c>
      <c r="F15" s="68"/>
    </row>
    <row r="16" spans="1:16">
      <c r="A16" s="22"/>
      <c r="B16" s="47"/>
      <c r="C16" s="76">
        <f t="shared" si="1"/>
        <v>0</v>
      </c>
      <c r="D16" s="77">
        <f t="shared" si="2"/>
        <v>0</v>
      </c>
      <c r="F16" s="68"/>
    </row>
    <row r="17" spans="1:6">
      <c r="A17" s="22"/>
      <c r="B17" s="47"/>
      <c r="C17" s="76">
        <f t="shared" si="1"/>
        <v>0</v>
      </c>
      <c r="D17" s="77">
        <f t="shared" si="2"/>
        <v>0</v>
      </c>
      <c r="F17" s="68"/>
    </row>
    <row r="18" spans="1:6">
      <c r="A18" s="22"/>
      <c r="B18" s="47"/>
      <c r="C18" s="76">
        <f t="shared" si="1"/>
        <v>0</v>
      </c>
      <c r="D18" s="77">
        <f t="shared" si="2"/>
        <v>0</v>
      </c>
      <c r="F18" s="68"/>
    </row>
    <row r="19" spans="1:6">
      <c r="A19" s="22"/>
      <c r="B19" s="47"/>
      <c r="C19" s="76">
        <f t="shared" si="1"/>
        <v>0</v>
      </c>
      <c r="D19" s="77">
        <f t="shared" si="2"/>
        <v>0</v>
      </c>
      <c r="F19" s="68"/>
    </row>
    <row r="20" spans="1:6">
      <c r="A20" s="22"/>
      <c r="B20" s="47"/>
      <c r="C20" s="76">
        <f t="shared" si="1"/>
        <v>0</v>
      </c>
      <c r="D20" s="77">
        <f t="shared" si="2"/>
        <v>0</v>
      </c>
      <c r="F20" s="68"/>
    </row>
    <row r="21" spans="1:6">
      <c r="A21" s="22"/>
      <c r="B21" s="47"/>
      <c r="C21" s="76">
        <f t="shared" si="1"/>
        <v>0</v>
      </c>
      <c r="D21" s="77">
        <f t="shared" si="2"/>
        <v>0</v>
      </c>
      <c r="F21" s="68"/>
    </row>
    <row r="22" spans="1:6">
      <c r="A22" s="22"/>
      <c r="B22" s="47"/>
      <c r="C22" s="76">
        <f t="shared" si="1"/>
        <v>0</v>
      </c>
      <c r="D22" s="77">
        <f t="shared" si="2"/>
        <v>0</v>
      </c>
      <c r="F22" s="68"/>
    </row>
    <row r="23" spans="1:6">
      <c r="A23" s="22"/>
      <c r="B23" s="47"/>
      <c r="C23" s="76">
        <f t="shared" si="1"/>
        <v>0</v>
      </c>
      <c r="D23" s="77">
        <f t="shared" si="2"/>
        <v>0</v>
      </c>
      <c r="F23" s="68"/>
    </row>
    <row r="24" spans="1:6">
      <c r="A24" s="22"/>
      <c r="B24" s="47"/>
      <c r="C24" s="76">
        <f t="shared" si="1"/>
        <v>0</v>
      </c>
      <c r="D24" s="77">
        <f t="shared" si="2"/>
        <v>0</v>
      </c>
      <c r="F24" s="68"/>
    </row>
    <row r="25" spans="1:6">
      <c r="A25" s="22"/>
      <c r="B25" s="47"/>
      <c r="C25" s="76">
        <f t="shared" si="1"/>
        <v>0</v>
      </c>
      <c r="D25" s="77">
        <f t="shared" si="2"/>
        <v>0</v>
      </c>
      <c r="F25" s="68"/>
    </row>
    <row r="26" spans="1:6">
      <c r="A26" s="22"/>
      <c r="B26" s="47"/>
      <c r="C26" s="76">
        <f t="shared" si="1"/>
        <v>0</v>
      </c>
      <c r="D26" s="77">
        <f t="shared" si="2"/>
        <v>0</v>
      </c>
      <c r="F26" s="68"/>
    </row>
    <row r="27" spans="1:6">
      <c r="A27" s="22"/>
      <c r="B27" s="47"/>
      <c r="C27" s="76">
        <f t="shared" si="1"/>
        <v>0</v>
      </c>
      <c r="D27" s="77">
        <f t="shared" si="2"/>
        <v>0</v>
      </c>
      <c r="F27" s="68"/>
    </row>
    <row r="28" spans="1:6">
      <c r="A28" s="22"/>
      <c r="B28" s="47"/>
      <c r="C28" s="76">
        <f t="shared" si="1"/>
        <v>0</v>
      </c>
      <c r="D28" s="77">
        <f t="shared" si="2"/>
        <v>0</v>
      </c>
      <c r="F28" s="68"/>
    </row>
    <row r="29" spans="1:6">
      <c r="A29" s="22"/>
      <c r="B29" s="47"/>
      <c r="C29" s="76">
        <f t="shared" si="1"/>
        <v>0</v>
      </c>
      <c r="D29" s="77">
        <f t="shared" si="2"/>
        <v>0</v>
      </c>
      <c r="F29" s="68"/>
    </row>
    <row r="30" spans="1:6">
      <c r="A30" s="22"/>
      <c r="B30" s="47"/>
      <c r="C30" s="76">
        <f t="shared" si="1"/>
        <v>0</v>
      </c>
      <c r="D30" s="77">
        <f t="shared" si="2"/>
        <v>0</v>
      </c>
      <c r="F30" s="68"/>
    </row>
    <row r="31" spans="1:6">
      <c r="A31" s="22"/>
      <c r="B31" s="47"/>
      <c r="C31" s="76">
        <f t="shared" si="1"/>
        <v>0</v>
      </c>
      <c r="D31" s="77">
        <f t="shared" si="2"/>
        <v>0</v>
      </c>
      <c r="F31" s="68"/>
    </row>
    <row r="32" spans="1:6">
      <c r="A32" s="22"/>
      <c r="B32" s="47"/>
      <c r="C32" s="76">
        <f t="shared" si="1"/>
        <v>0</v>
      </c>
      <c r="D32" s="77">
        <f t="shared" si="2"/>
        <v>0</v>
      </c>
      <c r="F32" s="68"/>
    </row>
    <row r="33" spans="1:7" ht="15.75" thickBot="1">
      <c r="A33" s="23"/>
      <c r="B33" s="78"/>
      <c r="C33" s="79">
        <f t="shared" si="1"/>
        <v>0</v>
      </c>
      <c r="D33" s="80">
        <f t="shared" si="2"/>
        <v>0</v>
      </c>
      <c r="F33" s="145"/>
    </row>
    <row r="34" spans="1:7" ht="16.5" thickTop="1" thickBot="1">
      <c r="A34" s="66"/>
      <c r="B34" s="81">
        <f>SUM(B4:B33)</f>
        <v>596015.98359878513</v>
      </c>
      <c r="C34" s="82"/>
      <c r="D34" s="83">
        <f>SUM(D4:D33)</f>
        <v>287106.54357089929</v>
      </c>
      <c r="F34" s="146">
        <f>SUM(F4:F15)</f>
        <v>2637499.2535177534</v>
      </c>
      <c r="G34" s="5"/>
    </row>
    <row r="36" spans="1:7">
      <c r="A36" s="69" t="s">
        <v>133</v>
      </c>
      <c r="B36" s="95">
        <f>'Known Resources'!B44</f>
        <v>0.22597768807094501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98</v>
      </c>
    </row>
    <row r="3" spans="2:13">
      <c r="B3" s="97" t="s">
        <v>121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99</v>
      </c>
      <c r="C4" s="99">
        <v>249411.34980000003</v>
      </c>
      <c r="D4" s="99">
        <v>588540.53559999994</v>
      </c>
      <c r="E4" s="99">
        <v>652575.45380000002</v>
      </c>
      <c r="F4" s="110" t="s">
        <v>122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122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122</v>
      </c>
      <c r="M6" s="87"/>
    </row>
    <row r="7" spans="2:13">
      <c r="B7" s="88" t="s">
        <v>100</v>
      </c>
      <c r="C7" s="99">
        <v>1165015.3759999999</v>
      </c>
      <c r="D7" s="99">
        <v>1049272.4750000001</v>
      </c>
      <c r="E7" s="99">
        <v>1081686.5190000001</v>
      </c>
      <c r="F7" s="110" t="s">
        <v>122</v>
      </c>
      <c r="M7" s="87"/>
    </row>
    <row r="8" spans="2:13">
      <c r="B8" s="88" t="s">
        <v>101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120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99</v>
      </c>
      <c r="C11" s="105">
        <v>222792</v>
      </c>
      <c r="D11" s="105">
        <v>540252</v>
      </c>
      <c r="E11" s="105">
        <v>615241</v>
      </c>
      <c r="F11" s="110" t="s">
        <v>128</v>
      </c>
      <c r="J11" s="88"/>
    </row>
    <row r="12" spans="2:13">
      <c r="B12" s="88" t="s">
        <v>102</v>
      </c>
      <c r="C12" s="106">
        <v>9936388</v>
      </c>
      <c r="D12" s="106">
        <v>9364549</v>
      </c>
      <c r="E12" s="106">
        <v>9195773</v>
      </c>
      <c r="F12" s="110" t="s">
        <v>123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123</v>
      </c>
      <c r="J13" s="88"/>
    </row>
    <row r="14" spans="2:13" hidden="1">
      <c r="B14" s="88" t="s">
        <v>103</v>
      </c>
      <c r="C14" s="106">
        <v>1293909</v>
      </c>
      <c r="D14" s="106">
        <v>1164903</v>
      </c>
      <c r="E14" s="106">
        <v>1202753</v>
      </c>
      <c r="F14" s="110" t="s">
        <v>104</v>
      </c>
      <c r="J14" s="88"/>
    </row>
    <row r="15" spans="2:13" hidden="1">
      <c r="B15" s="88" t="s">
        <v>105</v>
      </c>
      <c r="C15" s="106">
        <v>1293909</v>
      </c>
      <c r="D15" s="106">
        <v>1164903</v>
      </c>
      <c r="E15" s="106">
        <v>1202753</v>
      </c>
      <c r="F15" s="110" t="s">
        <v>104</v>
      </c>
      <c r="J15" s="88"/>
    </row>
    <row r="16" spans="2:13">
      <c r="B16" s="88" t="s">
        <v>100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125</v>
      </c>
      <c r="J16" s="88"/>
    </row>
    <row r="17" spans="2:10">
      <c r="B17" s="88" t="s">
        <v>101</v>
      </c>
      <c r="C17" s="106">
        <v>6124</v>
      </c>
      <c r="D17" s="106"/>
      <c r="E17" s="106"/>
      <c r="F17" s="110" t="s">
        <v>124</v>
      </c>
      <c r="J17" s="88"/>
    </row>
    <row r="18" spans="2:10">
      <c r="F18" s="110"/>
      <c r="J18" s="88"/>
    </row>
    <row r="19" spans="2:10" hidden="1">
      <c r="B19" s="88" t="s">
        <v>106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107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108</v>
      </c>
      <c r="F23" s="110"/>
      <c r="J23" s="88"/>
    </row>
    <row r="24" spans="2:10" hidden="1">
      <c r="B24" s="88" t="s">
        <v>109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110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111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112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99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100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101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117</v>
      </c>
      <c r="J43" s="88"/>
    </row>
    <row r="44" spans="2:10">
      <c r="B44" s="97" t="s">
        <v>119</v>
      </c>
      <c r="C44" s="98">
        <v>2013</v>
      </c>
      <c r="D44" s="98">
        <v>2014</v>
      </c>
      <c r="E44" s="98">
        <v>2015</v>
      </c>
      <c r="F44" s="88"/>
      <c r="G44" s="115" t="s">
        <v>113</v>
      </c>
      <c r="H44" s="116"/>
      <c r="I44"/>
      <c r="J44" s="87"/>
    </row>
    <row r="45" spans="2:10">
      <c r="B45" s="88" t="s">
        <v>118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115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101</v>
      </c>
      <c r="H47" s="122">
        <v>1.0923905</v>
      </c>
      <c r="I47" s="123" t="s">
        <v>127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129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114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126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116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9FB06D-E33A-479B-9A9D-46E3D17D53C4}"/>
</file>

<file path=customXml/itemProps2.xml><?xml version="1.0" encoding="utf-8"?>
<ds:datastoreItem xmlns:ds="http://schemas.openxmlformats.org/officeDocument/2006/customXml" ds:itemID="{7F31C826-C0D3-4EC2-9B32-79DDB6E9DE3E}"/>
</file>

<file path=customXml/itemProps3.xml><?xml version="1.0" encoding="utf-8"?>
<ds:datastoreItem xmlns:ds="http://schemas.openxmlformats.org/officeDocument/2006/customXml" ds:itemID="{23121E80-352A-4B35-8A2B-4E668434EACB}"/>
</file>

<file path=customXml/itemProps4.xml><?xml version="1.0" encoding="utf-8"?>
<ds:datastoreItem xmlns:ds="http://schemas.openxmlformats.org/officeDocument/2006/customXml" ds:itemID="{8FC1974B-4195-4913-A9F9-10DC074C9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2015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