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2-12 Natural Gas Schedule 140 - Property Tax Tracker (UG-220235) (Eff. 05-01-22)\Sent to UTC 04-20-22\"/>
    </mc:Choice>
  </mc:AlternateContent>
  <bookViews>
    <workbookView xWindow="-15" yWindow="105" windowWidth="14520" windowHeight="12690" tabRatio="950"/>
  </bookViews>
  <sheets>
    <sheet name="2022 FINAL Rev Req" sheetId="74" r:id="rId1"/>
    <sheet name="2022 Final Payment" sheetId="77" r:id="rId2"/>
    <sheet name="2022 Final Payment alt" sheetId="76" r:id="rId3"/>
    <sheet name="Support" sheetId="78" r:id="rId4"/>
    <sheet name="2021 FINAL Rev Req" sheetId="58" r:id="rId5"/>
    <sheet name="Electric summary" sheetId="66" r:id="rId6"/>
    <sheet name="Gas summary" sheetId="67" r:id="rId7"/>
    <sheet name="Elec Load Variance" sheetId="69" r:id="rId8"/>
    <sheet name="Gas Load Variance" sheetId="68" r:id="rId9"/>
    <sheet name="E Conv Fctr" sheetId="55" r:id="rId10"/>
    <sheet name="G Conv Fctr" sheetId="56" r:id="rId11"/>
  </sheets>
  <externalReferences>
    <externalReference r:id="rId12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ASE_GAS">'[1]Named Ranges G'!$C$4</definedName>
    <definedName name="CBWorkbookPriority">-2060790043</definedName>
    <definedName name="Comp_GAS">'[1]Named Ranges G'!$C$8</definedName>
    <definedName name="FIT_GAS">'[1]Named Ranges G'!$C$3</definedName>
    <definedName name="HTML_CodePage">1252</definedName>
    <definedName name="HTML_Control" localSheetId="4">{"'Sheet1'!$A$1:$J$121"}</definedName>
    <definedName name="HTML_Control" localSheetId="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1">'2022 Final Payment'!$A$1:$H$30</definedName>
    <definedName name="_xlnm.Print_Titles" localSheetId="1">'2022 Final Payment'!$1:$10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ESTYEAR_GAS">'[1]Named Ranges G'!$C$5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E11" i="74" l="1"/>
  <c r="D11" i="74"/>
  <c r="K15" i="76" l="1"/>
  <c r="K10" i="76"/>
  <c r="K6" i="76"/>
  <c r="H11" i="76" l="1"/>
  <c r="E11" i="76"/>
  <c r="D11" i="76"/>
  <c r="C11" i="76"/>
  <c r="B11" i="76"/>
  <c r="H9" i="76"/>
  <c r="E9" i="76"/>
  <c r="D9" i="76"/>
  <c r="C9" i="76"/>
  <c r="B9" i="76"/>
  <c r="H7" i="76"/>
  <c r="E7" i="76"/>
  <c r="B7" i="76"/>
  <c r="H6" i="76"/>
  <c r="E6" i="76"/>
  <c r="D6" i="76"/>
  <c r="C6" i="76"/>
  <c r="B6" i="76"/>
  <c r="A13" i="76"/>
  <c r="A11" i="76"/>
  <c r="A8" i="76"/>
  <c r="A7" i="76"/>
  <c r="A6" i="76"/>
  <c r="D9" i="74" l="1"/>
  <c r="H32" i="76"/>
  <c r="H31" i="76"/>
  <c r="H30" i="76"/>
  <c r="H29" i="76"/>
  <c r="H28" i="76"/>
  <c r="H27" i="76"/>
  <c r="H26" i="76"/>
  <c r="E32" i="76"/>
  <c r="E31" i="76"/>
  <c r="E30" i="76"/>
  <c r="E29" i="76"/>
  <c r="E28" i="76"/>
  <c r="E27" i="76"/>
  <c r="E26" i="76"/>
  <c r="D32" i="76"/>
  <c r="D31" i="76"/>
  <c r="D30" i="76"/>
  <c r="D29" i="76"/>
  <c r="D28" i="76"/>
  <c r="D27" i="76"/>
  <c r="D26" i="76"/>
  <c r="C32" i="76"/>
  <c r="C31" i="76"/>
  <c r="C30" i="76"/>
  <c r="C29" i="76"/>
  <c r="C28" i="76"/>
  <c r="C27" i="76"/>
  <c r="C26" i="76"/>
  <c r="B32" i="76"/>
  <c r="B31" i="76"/>
  <c r="B30" i="76"/>
  <c r="B29" i="76"/>
  <c r="B28" i="76"/>
  <c r="B27" i="76"/>
  <c r="B26" i="76"/>
  <c r="H20" i="76"/>
  <c r="H19" i="76"/>
  <c r="H18" i="76"/>
  <c r="H17" i="76"/>
  <c r="E18" i="76"/>
  <c r="B20" i="76"/>
  <c r="B19" i="76"/>
  <c r="B18" i="76"/>
  <c r="B17" i="76"/>
  <c r="C44" i="77"/>
  <c r="C41" i="77"/>
  <c r="H40" i="77"/>
  <c r="H39" i="77"/>
  <c r="H38" i="77"/>
  <c r="E37" i="77"/>
  <c r="E36" i="77"/>
  <c r="D36" i="77"/>
  <c r="H36" i="77" s="1"/>
  <c r="C36" i="77"/>
  <c r="H35" i="77"/>
  <c r="H34" i="77"/>
  <c r="G30" i="77"/>
  <c r="F30" i="77"/>
  <c r="E30" i="77"/>
  <c r="E41" i="77" s="1"/>
  <c r="D30" i="77"/>
  <c r="H30" i="77" s="1"/>
  <c r="C30" i="77"/>
  <c r="D20" i="77"/>
  <c r="C20" i="77"/>
  <c r="E18" i="77"/>
  <c r="G14" i="77"/>
  <c r="F14" i="77"/>
  <c r="E14" i="77"/>
  <c r="D14" i="77"/>
  <c r="C14" i="77"/>
  <c r="D41" i="77" l="1"/>
  <c r="C45" i="77" s="1"/>
  <c r="E9" i="74" s="1"/>
  <c r="G37" i="77"/>
  <c r="F37" i="77" s="1"/>
  <c r="H37" i="77" s="1"/>
  <c r="H41" i="77" s="1"/>
  <c r="J19" i="76"/>
  <c r="F27" i="76"/>
  <c r="J27" i="76" s="1"/>
  <c r="F31" i="76"/>
  <c r="F20" i="76"/>
  <c r="J20" i="76" s="1"/>
  <c r="I5" i="74"/>
  <c r="H5" i="74"/>
  <c r="F32" i="76"/>
  <c r="J25" i="76"/>
  <c r="E8" i="76"/>
  <c r="D8" i="76"/>
  <c r="F6" i="76"/>
  <c r="C8" i="76"/>
  <c r="B8" i="76"/>
  <c r="A25" i="74"/>
  <c r="A26" i="74" s="1"/>
  <c r="A27" i="74" s="1"/>
  <c r="A30" i="74" s="1"/>
  <c r="A31" i="74" s="1"/>
  <c r="A32" i="74" s="1"/>
  <c r="A33" i="74" s="1"/>
  <c r="C46" i="77" l="1"/>
  <c r="C47" i="77" s="1"/>
  <c r="E10" i="76"/>
  <c r="E13" i="76" s="1"/>
  <c r="D10" i="76"/>
  <c r="D13" i="76" s="1"/>
  <c r="J32" i="76"/>
  <c r="G41" i="77"/>
  <c r="F41" i="77"/>
  <c r="F26" i="76"/>
  <c r="J26" i="76" s="1"/>
  <c r="J31" i="76"/>
  <c r="F17" i="76"/>
  <c r="J17" i="76" s="1"/>
  <c r="C10" i="76"/>
  <c r="C13" i="76" s="1"/>
  <c r="J6" i="76"/>
  <c r="F28" i="76"/>
  <c r="J28" i="76" s="1"/>
  <c r="F8" i="76"/>
  <c r="H8" i="76"/>
  <c r="F18" i="76"/>
  <c r="J18" i="76" s="1"/>
  <c r="E14" i="76" l="1"/>
  <c r="E15" i="76" s="1"/>
  <c r="E21" i="76" s="1"/>
  <c r="E33" i="76" s="1"/>
  <c r="D14" i="76"/>
  <c r="D15" i="76" s="1"/>
  <c r="D21" i="76" s="1"/>
  <c r="D33" i="76" s="1"/>
  <c r="F9" i="76"/>
  <c r="J9" i="76" s="1"/>
  <c r="C14" i="76"/>
  <c r="C15" i="76" s="1"/>
  <c r="C21" i="76" s="1"/>
  <c r="B10" i="76"/>
  <c r="B13" i="76" s="1"/>
  <c r="B14" i="76" s="1"/>
  <c r="I9" i="74"/>
  <c r="F30" i="76"/>
  <c r="J30" i="76" s="1"/>
  <c r="H10" i="76"/>
  <c r="J8" i="76"/>
  <c r="F10" i="76" l="1"/>
  <c r="J10" i="76" s="1"/>
  <c r="F14" i="76"/>
  <c r="F13" i="76"/>
  <c r="H13" i="76"/>
  <c r="H14" i="76" s="1"/>
  <c r="F29" i="76"/>
  <c r="J29" i="76" s="1"/>
  <c r="C33" i="76"/>
  <c r="F15" i="76" l="1"/>
  <c r="F21" i="76" s="1"/>
  <c r="F33" i="76" s="1"/>
  <c r="B15" i="76"/>
  <c r="B21" i="76" s="1"/>
  <c r="B33" i="76" s="1"/>
  <c r="J14" i="76"/>
  <c r="J13" i="76"/>
  <c r="J15" i="76" l="1"/>
  <c r="J21" i="76" s="1"/>
  <c r="H15" i="76"/>
  <c r="H21" i="76" s="1"/>
  <c r="H33" i="76" s="1"/>
  <c r="H9" i="74"/>
  <c r="F9" i="74"/>
  <c r="J9" i="74" l="1"/>
  <c r="J33" i="76"/>
  <c r="K33" i="76" s="1"/>
  <c r="J22" i="69" l="1"/>
  <c r="F19" i="69"/>
  <c r="F14" i="69"/>
  <c r="F13" i="69"/>
  <c r="H13" i="69" s="1"/>
  <c r="A11" i="69"/>
  <c r="A12" i="69" s="1"/>
  <c r="A13" i="69" s="1"/>
  <c r="A14" i="69" s="1"/>
  <c r="A15" i="69" s="1"/>
  <c r="A16" i="69" s="1"/>
  <c r="A17" i="69" s="1"/>
  <c r="A18" i="69" s="1"/>
  <c r="A19" i="69" s="1"/>
  <c r="A20" i="69" s="1"/>
  <c r="A21" i="69" s="1"/>
  <c r="A22" i="69" s="1"/>
  <c r="A23" i="69" s="1"/>
  <c r="A24" i="69" s="1"/>
  <c r="A25" i="69" s="1"/>
  <c r="A26" i="69" s="1"/>
  <c r="A27" i="69" s="1"/>
  <c r="A28" i="69" s="1"/>
  <c r="A29" i="69" s="1"/>
  <c r="A30" i="69" s="1"/>
  <c r="A31" i="69" s="1"/>
  <c r="A32" i="69" s="1"/>
  <c r="A33" i="69" s="1"/>
  <c r="A34" i="69" s="1"/>
  <c r="A35" i="69" s="1"/>
  <c r="A10" i="69"/>
  <c r="A9" i="69"/>
  <c r="K9" i="69"/>
  <c r="E9" i="69"/>
  <c r="D9" i="69"/>
  <c r="F33" i="69" l="1"/>
  <c r="H19" i="69"/>
  <c r="F15" i="69"/>
  <c r="H15" i="69" s="1"/>
  <c r="H14" i="69"/>
  <c r="F21" i="69"/>
  <c r="H21" i="69" s="1"/>
  <c r="F31" i="69"/>
  <c r="K29" i="69"/>
  <c r="H31" i="69"/>
  <c r="L33" i="69"/>
  <c r="N33" i="69" s="1"/>
  <c r="E16" i="69"/>
  <c r="D29" i="69"/>
  <c r="L28" i="69"/>
  <c r="N28" i="69" s="1"/>
  <c r="D16" i="69"/>
  <c r="H33" i="69"/>
  <c r="L8" i="69"/>
  <c r="L9" i="69" s="1"/>
  <c r="L14" i="69"/>
  <c r="N14" i="69" s="1"/>
  <c r="P14" i="69" s="1"/>
  <c r="L15" i="69"/>
  <c r="N15" i="69" s="1"/>
  <c r="E29" i="69"/>
  <c r="K22" i="69"/>
  <c r="L12" i="69"/>
  <c r="N12" i="69" s="1"/>
  <c r="J16" i="69"/>
  <c r="F24" i="69"/>
  <c r="H24" i="69" s="1"/>
  <c r="J29" i="69"/>
  <c r="L31" i="69"/>
  <c r="N31" i="69" s="1"/>
  <c r="P31" i="69" s="1"/>
  <c r="K16" i="69"/>
  <c r="D22" i="69"/>
  <c r="J9" i="69"/>
  <c r="E22" i="69"/>
  <c r="L24" i="69"/>
  <c r="N24" i="69" s="1"/>
  <c r="L27" i="69"/>
  <c r="L20" i="69"/>
  <c r="N20" i="69" s="1"/>
  <c r="L21" i="69"/>
  <c r="N21" i="69" s="1"/>
  <c r="P21" i="69" s="1"/>
  <c r="F28" i="69"/>
  <c r="H28" i="69" s="1"/>
  <c r="F8" i="69"/>
  <c r="F12" i="69"/>
  <c r="L13" i="69"/>
  <c r="N13" i="69" s="1"/>
  <c r="P13" i="69" s="1"/>
  <c r="L19" i="69"/>
  <c r="F27" i="69"/>
  <c r="F20" i="69"/>
  <c r="H20" i="69" s="1"/>
  <c r="P15" i="69" l="1"/>
  <c r="K35" i="69"/>
  <c r="N8" i="69"/>
  <c r="N9" i="69" s="1"/>
  <c r="P20" i="69"/>
  <c r="L29" i="69"/>
  <c r="P24" i="69"/>
  <c r="P33" i="69"/>
  <c r="J35" i="69"/>
  <c r="P28" i="69"/>
  <c r="D35" i="69"/>
  <c r="N27" i="69"/>
  <c r="N29" i="69" s="1"/>
  <c r="E35" i="69"/>
  <c r="L22" i="69"/>
  <c r="F29" i="69"/>
  <c r="L16" i="69"/>
  <c r="N19" i="69"/>
  <c r="N16" i="69"/>
  <c r="H22" i="69"/>
  <c r="F22" i="69"/>
  <c r="H27" i="69"/>
  <c r="H12" i="69"/>
  <c r="F16" i="69"/>
  <c r="F9" i="69"/>
  <c r="H8" i="69"/>
  <c r="L35" i="69" l="1"/>
  <c r="P12" i="69"/>
  <c r="P16" i="69" s="1"/>
  <c r="H16" i="69"/>
  <c r="H29" i="69"/>
  <c r="P27" i="69"/>
  <c r="P29" i="69" s="1"/>
  <c r="H9" i="69"/>
  <c r="P8" i="69"/>
  <c r="P9" i="69" s="1"/>
  <c r="F35" i="69"/>
  <c r="N22" i="69"/>
  <c r="N35" i="69" s="1"/>
  <c r="P19" i="69"/>
  <c r="P22" i="69" s="1"/>
  <c r="P35" i="69" l="1"/>
  <c r="H35" i="69"/>
  <c r="H11" i="74" l="1"/>
  <c r="H12" i="74" l="1"/>
  <c r="M23" i="68"/>
  <c r="K23" i="68"/>
  <c r="E23" i="68"/>
  <c r="L22" i="68"/>
  <c r="F22" i="68"/>
  <c r="E18" i="68"/>
  <c r="G18" i="68" s="1"/>
  <c r="E10" i="68"/>
  <c r="G10" i="68" s="1"/>
  <c r="M22" i="68"/>
  <c r="G22" i="68"/>
  <c r="E12" i="68" l="1"/>
  <c r="K7" i="68"/>
  <c r="G23" i="68"/>
  <c r="O23" i="68" s="1"/>
  <c r="K10" i="68"/>
  <c r="K18" i="68"/>
  <c r="M18" i="68" s="1"/>
  <c r="O18" i="68" s="1"/>
  <c r="E7" i="68"/>
  <c r="M7" i="68"/>
  <c r="K8" i="68"/>
  <c r="M8" i="68" s="1"/>
  <c r="E11" i="68"/>
  <c r="G11" i="68" s="1"/>
  <c r="K11" i="68"/>
  <c r="M11" i="68" s="1"/>
  <c r="K15" i="68"/>
  <c r="M15" i="68" s="1"/>
  <c r="K19" i="68"/>
  <c r="M19" i="68" s="1"/>
  <c r="E14" i="68"/>
  <c r="G14" i="68" s="1"/>
  <c r="K16" i="68"/>
  <c r="M16" i="68" s="1"/>
  <c r="E19" i="68"/>
  <c r="G19" i="68" s="1"/>
  <c r="O19" i="68" s="1"/>
  <c r="E13" i="68"/>
  <c r="G13" i="68" s="1"/>
  <c r="G12" i="68"/>
  <c r="J20" i="68"/>
  <c r="K13" i="68"/>
  <c r="M13" i="68" s="1"/>
  <c r="K14" i="68"/>
  <c r="M14" i="68" s="1"/>
  <c r="E17" i="68"/>
  <c r="G17" i="68" s="1"/>
  <c r="E16" i="68"/>
  <c r="G16" i="68" s="1"/>
  <c r="K12" i="68"/>
  <c r="M12" i="68" s="1"/>
  <c r="E15" i="68"/>
  <c r="G15" i="68" s="1"/>
  <c r="O15" i="68" s="1"/>
  <c r="K17" i="68"/>
  <c r="M17" i="68" s="1"/>
  <c r="E9" i="68"/>
  <c r="G9" i="68" s="1"/>
  <c r="E8" i="68"/>
  <c r="G8" i="68" s="1"/>
  <c r="D20" i="68"/>
  <c r="K9" i="68"/>
  <c r="M9" i="68" s="1"/>
  <c r="M10" i="68"/>
  <c r="G7" i="68"/>
  <c r="I20" i="68"/>
  <c r="C20" i="68"/>
  <c r="O8" i="68" l="1"/>
  <c r="O11" i="68"/>
  <c r="O14" i="68"/>
  <c r="M20" i="68"/>
  <c r="O12" i="68"/>
  <c r="O16" i="68"/>
  <c r="O13" i="68"/>
  <c r="K20" i="68"/>
  <c r="O9" i="68"/>
  <c r="O10" i="68"/>
  <c r="O17" i="68"/>
  <c r="E20" i="68"/>
  <c r="G20" i="68"/>
  <c r="O7" i="68"/>
  <c r="O20" i="68" l="1"/>
  <c r="O26" i="68" s="1"/>
  <c r="B40" i="67"/>
  <c r="B39" i="67"/>
  <c r="B38" i="67"/>
  <c r="B37" i="67"/>
  <c r="B36" i="67"/>
  <c r="B35" i="67"/>
  <c r="B34" i="67"/>
  <c r="B33" i="67"/>
  <c r="F33" i="67"/>
  <c r="B32" i="67"/>
  <c r="B31" i="67"/>
  <c r="B30" i="67"/>
  <c r="E29" i="67"/>
  <c r="D29" i="67"/>
  <c r="B29" i="67"/>
  <c r="C29" i="67" s="1"/>
  <c r="F29" i="67"/>
  <c r="H14" i="67"/>
  <c r="F34" i="67" s="1"/>
  <c r="J13" i="67"/>
  <c r="K13" i="67" s="1"/>
  <c r="I12" i="67"/>
  <c r="I22" i="67" s="1"/>
  <c r="K10" i="67"/>
  <c r="H10" i="67"/>
  <c r="H11" i="67" s="1"/>
  <c r="D9" i="67"/>
  <c r="K9" i="67"/>
  <c r="L9" i="67" s="1"/>
  <c r="L10" i="67" s="1"/>
  <c r="B40" i="66"/>
  <c r="B39" i="66"/>
  <c r="B38" i="66"/>
  <c r="B37" i="66"/>
  <c r="B36" i="66"/>
  <c r="B35" i="66"/>
  <c r="B34" i="66"/>
  <c r="B33" i="66"/>
  <c r="F33" i="66"/>
  <c r="B32" i="66"/>
  <c r="F32" i="66"/>
  <c r="B31" i="66"/>
  <c r="F31" i="66"/>
  <c r="B30" i="66"/>
  <c r="E29" i="66"/>
  <c r="D29" i="66"/>
  <c r="B29" i="66"/>
  <c r="C29" i="66" s="1"/>
  <c r="F29" i="66"/>
  <c r="H14" i="66"/>
  <c r="F34" i="66" s="1"/>
  <c r="K13" i="66"/>
  <c r="J13" i="66"/>
  <c r="J22" i="66" s="1"/>
  <c r="I12" i="66"/>
  <c r="I22" i="66" s="1"/>
  <c r="H12" i="66"/>
  <c r="K11" i="66"/>
  <c r="H10" i="66"/>
  <c r="K10" i="66" s="1"/>
  <c r="D9" i="66"/>
  <c r="K9" i="66"/>
  <c r="L9" i="66" s="1"/>
  <c r="L10" i="66" s="1"/>
  <c r="L11" i="66" s="1"/>
  <c r="I11" i="74" l="1"/>
  <c r="F11" i="74"/>
  <c r="D10" i="67"/>
  <c r="D11" i="67" s="1"/>
  <c r="C30" i="67"/>
  <c r="C31" i="67" s="1"/>
  <c r="K11" i="67"/>
  <c r="F31" i="67"/>
  <c r="H12" i="67"/>
  <c r="G29" i="67"/>
  <c r="C9" i="67" s="1"/>
  <c r="F9" i="67" s="1"/>
  <c r="G9" i="67" s="1"/>
  <c r="E30" i="67"/>
  <c r="E13" i="67"/>
  <c r="F30" i="67"/>
  <c r="D30" i="67"/>
  <c r="J22" i="67"/>
  <c r="H15" i="67"/>
  <c r="H17" i="67"/>
  <c r="K14" i="67"/>
  <c r="G29" i="66"/>
  <c r="C9" i="66" s="1"/>
  <c r="F9" i="66" s="1"/>
  <c r="G9" i="66" s="1"/>
  <c r="E30" i="66"/>
  <c r="E31" i="66" s="1"/>
  <c r="L12" i="66"/>
  <c r="L13" i="66" s="1"/>
  <c r="L14" i="66" s="1"/>
  <c r="C30" i="66"/>
  <c r="D30" i="66"/>
  <c r="D31" i="66" s="1"/>
  <c r="D10" i="66"/>
  <c r="K12" i="66"/>
  <c r="H15" i="66"/>
  <c r="H17" i="66"/>
  <c r="E13" i="66"/>
  <c r="F30" i="66"/>
  <c r="K14" i="66"/>
  <c r="D12" i="67" l="1"/>
  <c r="D13" i="67" s="1"/>
  <c r="J11" i="74"/>
  <c r="I12" i="74"/>
  <c r="C32" i="67"/>
  <c r="C33" i="67" s="1"/>
  <c r="C34" i="67" s="1"/>
  <c r="C35" i="67" s="1"/>
  <c r="G30" i="66"/>
  <c r="C10" i="66" s="1"/>
  <c r="F10" i="66" s="1"/>
  <c r="G10" i="66" s="1"/>
  <c r="L11" i="67"/>
  <c r="G30" i="67"/>
  <c r="C10" i="67" s="1"/>
  <c r="F10" i="67" s="1"/>
  <c r="G10" i="67" s="1"/>
  <c r="K12" i="67"/>
  <c r="F32" i="67"/>
  <c r="D14" i="67"/>
  <c r="D15" i="67" s="1"/>
  <c r="K17" i="67"/>
  <c r="F37" i="67"/>
  <c r="K15" i="67"/>
  <c r="H18" i="67"/>
  <c r="H16" i="67"/>
  <c r="F35" i="67"/>
  <c r="D31" i="67"/>
  <c r="E31" i="67"/>
  <c r="K17" i="66"/>
  <c r="F37" i="66"/>
  <c r="E32" i="66"/>
  <c r="E33" i="66"/>
  <c r="D32" i="66"/>
  <c r="F35" i="66"/>
  <c r="H18" i="66"/>
  <c r="K15" i="66"/>
  <c r="H16" i="66"/>
  <c r="D11" i="66"/>
  <c r="C31" i="66"/>
  <c r="C36" i="67" l="1"/>
  <c r="L12" i="67"/>
  <c r="L13" i="67" s="1"/>
  <c r="L14" i="67" s="1"/>
  <c r="L15" i="67" s="1"/>
  <c r="G31" i="67"/>
  <c r="C11" i="67" s="1"/>
  <c r="F11" i="67" s="1"/>
  <c r="G11" i="67" s="1"/>
  <c r="K18" i="67"/>
  <c r="H19" i="67"/>
  <c r="F38" i="67"/>
  <c r="D32" i="67"/>
  <c r="D16" i="67"/>
  <c r="D17" i="67" s="1"/>
  <c r="D18" i="67" s="1"/>
  <c r="D19" i="67" s="1"/>
  <c r="K16" i="67"/>
  <c r="F36" i="67"/>
  <c r="E32" i="67"/>
  <c r="G31" i="66"/>
  <c r="C11" i="66" s="1"/>
  <c r="F11" i="66" s="1"/>
  <c r="G11" i="66" s="1"/>
  <c r="C32" i="66"/>
  <c r="C33" i="66" s="1"/>
  <c r="E34" i="66"/>
  <c r="K18" i="66"/>
  <c r="F38" i="66"/>
  <c r="H19" i="66"/>
  <c r="D33" i="66"/>
  <c r="D12" i="66"/>
  <c r="F36" i="66"/>
  <c r="K16" i="66"/>
  <c r="L15" i="66"/>
  <c r="L16" i="66" s="1"/>
  <c r="L17" i="66" s="1"/>
  <c r="L18" i="66" s="1"/>
  <c r="G33" i="66" l="1"/>
  <c r="C13" i="66" s="1"/>
  <c r="D20" i="67"/>
  <c r="E33" i="67"/>
  <c r="E34" i="67" s="1"/>
  <c r="D33" i="67"/>
  <c r="G32" i="67"/>
  <c r="C12" i="67" s="1"/>
  <c r="F12" i="67" s="1"/>
  <c r="G12" i="67" s="1"/>
  <c r="K19" i="67"/>
  <c r="H20" i="67"/>
  <c r="F39" i="67"/>
  <c r="L16" i="67"/>
  <c r="L17" i="67" s="1"/>
  <c r="L18" i="67" s="1"/>
  <c r="C37" i="67"/>
  <c r="E35" i="66"/>
  <c r="K19" i="66"/>
  <c r="F39" i="66"/>
  <c r="H20" i="66"/>
  <c r="G32" i="66"/>
  <c r="C12" i="66" s="1"/>
  <c r="F12" i="66" s="1"/>
  <c r="G12" i="66" s="1"/>
  <c r="D13" i="66"/>
  <c r="L19" i="66"/>
  <c r="D34" i="66"/>
  <c r="C34" i="66"/>
  <c r="F13" i="66" l="1"/>
  <c r="G13" i="66" s="1"/>
  <c r="D14" i="66"/>
  <c r="E36" i="66"/>
  <c r="D34" i="67"/>
  <c r="D35" i="67" s="1"/>
  <c r="D36" i="67" s="1"/>
  <c r="D15" i="66"/>
  <c r="D16" i="66" s="1"/>
  <c r="E37" i="66"/>
  <c r="E38" i="66" s="1"/>
  <c r="K20" i="67"/>
  <c r="K22" i="67" s="1"/>
  <c r="F40" i="67"/>
  <c r="H22" i="67"/>
  <c r="C38" i="67"/>
  <c r="E35" i="67"/>
  <c r="L19" i="67"/>
  <c r="L20" i="67" s="1"/>
  <c r="G33" i="67"/>
  <c r="C13" i="67" s="1"/>
  <c r="F13" i="67" s="1"/>
  <c r="G13" i="67" s="1"/>
  <c r="G34" i="67"/>
  <c r="C14" i="67" s="1"/>
  <c r="F14" i="67" s="1"/>
  <c r="G14" i="67" s="1"/>
  <c r="K20" i="66"/>
  <c r="K22" i="66" s="1"/>
  <c r="F40" i="66"/>
  <c r="H22" i="66"/>
  <c r="D35" i="66"/>
  <c r="D36" i="66" s="1"/>
  <c r="D37" i="66" s="1"/>
  <c r="L20" i="66"/>
  <c r="G34" i="66"/>
  <c r="C14" i="66" s="1"/>
  <c r="F14" i="66" s="1"/>
  <c r="G14" i="66" s="1"/>
  <c r="C35" i="66"/>
  <c r="E39" i="66" l="1"/>
  <c r="E40" i="66" s="1"/>
  <c r="D37" i="67"/>
  <c r="G35" i="67"/>
  <c r="C15" i="67" s="1"/>
  <c r="F15" i="67" s="1"/>
  <c r="G15" i="67" s="1"/>
  <c r="C39" i="67"/>
  <c r="E36" i="67"/>
  <c r="D38" i="66"/>
  <c r="D39" i="66" s="1"/>
  <c r="D40" i="66" s="1"/>
  <c r="D17" i="66"/>
  <c r="D18" i="66" s="1"/>
  <c r="D19" i="66" s="1"/>
  <c r="D20" i="66" s="1"/>
  <c r="G35" i="66"/>
  <c r="C15" i="66" s="1"/>
  <c r="F15" i="66" s="1"/>
  <c r="G15" i="66" s="1"/>
  <c r="C36" i="66"/>
  <c r="E37" i="67" l="1"/>
  <c r="E38" i="67" s="1"/>
  <c r="E39" i="67" s="1"/>
  <c r="E40" i="67" s="1"/>
  <c r="C40" i="67"/>
  <c r="D38" i="67"/>
  <c r="G36" i="67"/>
  <c r="C16" i="67" s="1"/>
  <c r="F16" i="67" s="1"/>
  <c r="G16" i="67" s="1"/>
  <c r="G36" i="66"/>
  <c r="C16" i="66" s="1"/>
  <c r="F16" i="66" s="1"/>
  <c r="G16" i="66" s="1"/>
  <c r="C37" i="66"/>
  <c r="D39" i="67" l="1"/>
  <c r="G38" i="67"/>
  <c r="C18" i="67" s="1"/>
  <c r="F18" i="67" s="1"/>
  <c r="G37" i="67"/>
  <c r="C17" i="67" s="1"/>
  <c r="F17" i="67" s="1"/>
  <c r="G17" i="67" s="1"/>
  <c r="G37" i="66"/>
  <c r="C17" i="66" s="1"/>
  <c r="F17" i="66" s="1"/>
  <c r="G17" i="66" s="1"/>
  <c r="C38" i="66"/>
  <c r="G18" i="67" l="1"/>
  <c r="D40" i="67"/>
  <c r="G40" i="67" s="1"/>
  <c r="C20" i="67" s="1"/>
  <c r="F20" i="67" s="1"/>
  <c r="G39" i="67"/>
  <c r="C19" i="67" s="1"/>
  <c r="F19" i="67" s="1"/>
  <c r="G19" i="67" s="1"/>
  <c r="G38" i="66"/>
  <c r="C18" i="66" s="1"/>
  <c r="F18" i="66" s="1"/>
  <c r="G18" i="66" s="1"/>
  <c r="C39" i="66"/>
  <c r="G20" i="67" l="1"/>
  <c r="G39" i="66"/>
  <c r="C19" i="66" s="1"/>
  <c r="F19" i="66" s="1"/>
  <c r="G19" i="66" s="1"/>
  <c r="C40" i="66"/>
  <c r="G40" i="66" s="1"/>
  <c r="C20" i="66" s="1"/>
  <c r="F20" i="66" s="1"/>
  <c r="G20" i="66" s="1"/>
  <c r="D19" i="74" l="1"/>
  <c r="E19" i="74"/>
  <c r="A26" i="58"/>
  <c r="A27" i="58" s="1"/>
  <c r="A30" i="58" s="1"/>
  <c r="A31" i="58" s="1"/>
  <c r="A32" i="58" s="1"/>
  <c r="A33" i="58" s="1"/>
  <c r="A25" i="58"/>
  <c r="F19" i="58"/>
  <c r="E10" i="58"/>
  <c r="I19" i="58"/>
  <c r="H26" i="58" l="1"/>
  <c r="I10" i="58"/>
  <c r="D25" i="74"/>
  <c r="H19" i="58"/>
  <c r="J19" i="58" s="1"/>
  <c r="F9" i="58"/>
  <c r="E25" i="74"/>
  <c r="H9" i="58"/>
  <c r="H11" i="58"/>
  <c r="D26" i="74"/>
  <c r="H25" i="58"/>
  <c r="J25" i="58" s="1"/>
  <c r="F26" i="58"/>
  <c r="D27" i="58"/>
  <c r="F27" i="58" s="1"/>
  <c r="I11" i="58"/>
  <c r="E26" i="74"/>
  <c r="I26" i="74" s="1"/>
  <c r="E27" i="58"/>
  <c r="I19" i="74"/>
  <c r="H19" i="74"/>
  <c r="F19" i="74"/>
  <c r="E13" i="58"/>
  <c r="E15" i="58" s="1"/>
  <c r="E18" i="58" s="1"/>
  <c r="E21" i="58" s="1"/>
  <c r="F25" i="58"/>
  <c r="F6" i="58"/>
  <c r="I9" i="58"/>
  <c r="H6" i="58"/>
  <c r="I6" i="58"/>
  <c r="D10" i="58"/>
  <c r="F11" i="58"/>
  <c r="I26" i="58"/>
  <c r="J26" i="58" s="1"/>
  <c r="I25" i="58"/>
  <c r="E28" i="58" l="1"/>
  <c r="I13" i="58"/>
  <c r="J9" i="58"/>
  <c r="E6" i="74"/>
  <c r="H26" i="74"/>
  <c r="J26" i="74" s="1"/>
  <c r="F26" i="74"/>
  <c r="H27" i="58"/>
  <c r="H30" i="58" s="1"/>
  <c r="H31" i="58" s="1"/>
  <c r="H25" i="74"/>
  <c r="F25" i="74"/>
  <c r="D27" i="74"/>
  <c r="I25" i="74"/>
  <c r="I27" i="74" s="1"/>
  <c r="E27" i="74"/>
  <c r="I15" i="58"/>
  <c r="I18" i="58" s="1"/>
  <c r="I21" i="58" s="1"/>
  <c r="J11" i="58"/>
  <c r="J19" i="74"/>
  <c r="F10" i="58"/>
  <c r="H10" i="58"/>
  <c r="D13" i="58"/>
  <c r="J6" i="58"/>
  <c r="I27" i="58"/>
  <c r="J25" i="74" l="1"/>
  <c r="H27" i="74"/>
  <c r="E10" i="74"/>
  <c r="I6" i="74"/>
  <c r="F27" i="74"/>
  <c r="J10" i="58"/>
  <c r="H13" i="58"/>
  <c r="I28" i="58"/>
  <c r="I30" i="58"/>
  <c r="I31" i="58" s="1"/>
  <c r="J27" i="58"/>
  <c r="F13" i="58"/>
  <c r="F28" i="58" s="1"/>
  <c r="D28" i="58"/>
  <c r="D15" i="58"/>
  <c r="J27" i="74" l="1"/>
  <c r="I10" i="74"/>
  <c r="I13" i="74" s="1"/>
  <c r="I28" i="74" s="1"/>
  <c r="E13" i="74"/>
  <c r="I30" i="74"/>
  <c r="I31" i="74" s="1"/>
  <c r="D18" i="58"/>
  <c r="F15" i="58"/>
  <c r="J13" i="58"/>
  <c r="J28" i="58" s="1"/>
  <c r="H15" i="58"/>
  <c r="H28" i="58"/>
  <c r="E15" i="74" l="1"/>
  <c r="E18" i="74" s="1"/>
  <c r="E21" i="74" s="1"/>
  <c r="E28" i="74"/>
  <c r="I15" i="74"/>
  <c r="I18" i="74" s="1"/>
  <c r="I21" i="74" s="1"/>
  <c r="F18" i="58"/>
  <c r="D21" i="58"/>
  <c r="H18" i="58"/>
  <c r="J15" i="58"/>
  <c r="F21" i="58" l="1"/>
  <c r="D6" i="74"/>
  <c r="H21" i="58"/>
  <c r="J21" i="58" s="1"/>
  <c r="J18" i="58"/>
  <c r="D10" i="74" l="1"/>
  <c r="H6" i="74"/>
  <c r="F6" i="74"/>
  <c r="H10" i="74" l="1"/>
  <c r="F10" i="74"/>
  <c r="D13" i="74"/>
  <c r="J6" i="74"/>
  <c r="H30" i="74"/>
  <c r="H31" i="74" s="1"/>
  <c r="F13" i="74" l="1"/>
  <c r="F28" i="74" s="1"/>
  <c r="D28" i="74"/>
  <c r="D15" i="74"/>
  <c r="J10" i="74"/>
  <c r="H13" i="74"/>
  <c r="J13" i="74" l="1"/>
  <c r="J28" i="74" s="1"/>
  <c r="H28" i="74"/>
  <c r="H15" i="74"/>
  <c r="F15" i="74"/>
  <c r="D18" i="74"/>
  <c r="F18" i="74" l="1"/>
  <c r="D21" i="74"/>
  <c r="F21" i="74" s="1"/>
  <c r="J15" i="74"/>
  <c r="H18" i="74"/>
  <c r="H21" i="74" l="1"/>
  <c r="J21" i="74" s="1"/>
  <c r="J18" i="74"/>
</calcChain>
</file>

<file path=xl/comments1.xml><?xml version="1.0" encoding="utf-8"?>
<comments xmlns="http://schemas.openxmlformats.org/spreadsheetml/2006/main">
  <authors>
    <author>Puget Sound Energy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Update in Nov for new rates and amount</t>
        </r>
      </text>
    </comment>
  </commentList>
</comments>
</file>

<file path=xl/comments2.xml><?xml version="1.0" encoding="utf-8"?>
<comments xmlns="http://schemas.openxmlformats.org/spreadsheetml/2006/main">
  <authors>
    <author>Paul Schmidt</author>
  </authors>
  <commentList>
    <comment ref="C23" authorId="0" shapeId="0">
      <text>
        <r>
          <rPr>
            <b/>
            <sz val="9"/>
            <color indexed="81"/>
            <rFont val="Tahoma"/>
            <family val="2"/>
          </rPr>
          <t>Paul/Kelima:</t>
        </r>
        <r>
          <rPr>
            <sz val="9"/>
            <color indexed="81"/>
            <rFont val="Tahoma"/>
            <family val="2"/>
          </rPr>
          <t xml:space="preserve">
Rentals forecast from 2020 Property Tax Filing prorated for 4 months using actual January 2020 count.</t>
        </r>
      </text>
    </comment>
  </commentList>
</comments>
</file>

<file path=xl/sharedStrings.xml><?xml version="1.0" encoding="utf-8"?>
<sst xmlns="http://schemas.openxmlformats.org/spreadsheetml/2006/main" count="443" uniqueCount="240">
  <si>
    <t>Electric</t>
  </si>
  <si>
    <t>Gas</t>
  </si>
  <si>
    <t>Total</t>
  </si>
  <si>
    <t>Rate Increase</t>
  </si>
  <si>
    <t>Base Property Tax Revenue Requirement (140A)</t>
  </si>
  <si>
    <t>Deferral Revenue Requirement (140B)</t>
  </si>
  <si>
    <t>Components of Revenue Requirement Increase:</t>
  </si>
  <si>
    <t>Add Increment to New Cash Payment</t>
  </si>
  <si>
    <t>Change in Revenue Requirement</t>
  </si>
  <si>
    <t>Net Change in Load True-Up</t>
  </si>
  <si>
    <t>Description</t>
  </si>
  <si>
    <t>Montana</t>
  </si>
  <si>
    <t>Oregon</t>
  </si>
  <si>
    <t>Balance</t>
  </si>
  <si>
    <t>CONVERSION FACTOR</t>
  </si>
  <si>
    <t>LINE</t>
  </si>
  <si>
    <t>NO.</t>
  </si>
  <si>
    <t>DESCRIPTION</t>
  </si>
  <si>
    <t>BAD DEBTS</t>
  </si>
  <si>
    <t>ANNUAL FILING FEE</t>
  </si>
  <si>
    <t>SUM OF TAXES OTHER</t>
  </si>
  <si>
    <t xml:space="preserve">New Revenue Requirement </t>
  </si>
  <si>
    <t>Pre-Revenue Sensitive Items (RSI)</t>
  </si>
  <si>
    <t>Grossed Up for RSI</t>
  </si>
  <si>
    <t>= 1</t>
  </si>
  <si>
    <t>= 1 + 6</t>
  </si>
  <si>
    <t>= 3 - 4 + 5</t>
  </si>
  <si>
    <t>= 7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</si>
  <si>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</si>
  <si>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</si>
  <si>
    <t>(e) = (c * d)</t>
  </si>
  <si>
    <t>(d)</t>
  </si>
  <si>
    <t>(c) = (b - a)</t>
  </si>
  <si>
    <t>(b)</t>
  </si>
  <si>
    <t>(a)</t>
  </si>
  <si>
    <t>(c) = (a - b)</t>
  </si>
  <si>
    <t>Total Variance</t>
  </si>
  <si>
    <t>Variance</t>
  </si>
  <si>
    <t>Schedule</t>
  </si>
  <si>
    <t>Line No.</t>
  </si>
  <si>
    <t>Puget Sound Energy</t>
  </si>
  <si>
    <t>Rate Schedule</t>
  </si>
  <si>
    <t>Load Variance (Therms)</t>
  </si>
  <si>
    <t>Contracts</t>
  </si>
  <si>
    <t xml:space="preserve">Total </t>
  </si>
  <si>
    <t>Residential</t>
  </si>
  <si>
    <t>Interruptible</t>
  </si>
  <si>
    <t>Total Residential</t>
  </si>
  <si>
    <t>Secondary Voltage</t>
  </si>
  <si>
    <t>Demand &lt;= 50 kW</t>
  </si>
  <si>
    <t>8 / 24</t>
  </si>
  <si>
    <t>Demand &gt; 50 kW but &lt;= 350 kW</t>
  </si>
  <si>
    <t>7A / 11 / 25</t>
  </si>
  <si>
    <t>Demand &gt; 350 kW</t>
  </si>
  <si>
    <t>12 / 26 / 26P</t>
  </si>
  <si>
    <t>Seasonal Irrigation &amp; Drainage Pumping</t>
  </si>
  <si>
    <t>Total Secondary Voltage</t>
  </si>
  <si>
    <t>Primary Voltage</t>
  </si>
  <si>
    <t>General Service</t>
  </si>
  <si>
    <t>10 / 31</t>
  </si>
  <si>
    <t>Interruptible Total Electric Schools</t>
  </si>
  <si>
    <t>Total Primary Voltage</t>
  </si>
  <si>
    <t>Campus Rate</t>
  </si>
  <si>
    <t>High Voltage</t>
  </si>
  <si>
    <t>Total High Voltage</t>
  </si>
  <si>
    <t>Lighting</t>
  </si>
  <si>
    <t>50-59</t>
  </si>
  <si>
    <t>Total Choice /Retail Wheeling</t>
  </si>
  <si>
    <t>Total Jurisdictional Retail Sales</t>
  </si>
  <si>
    <t>Change</t>
  </si>
  <si>
    <t>July</t>
  </si>
  <si>
    <t>--</t>
  </si>
  <si>
    <t>Washington</t>
  </si>
  <si>
    <t>Combined</t>
  </si>
  <si>
    <t>Increase as a percent of prior year's revenue</t>
  </si>
  <si>
    <t>requirement Filing Required?</t>
  </si>
  <si>
    <t>18238041 Current Period Deferral</t>
  </si>
  <si>
    <t>18238031 Prior Period Deferral</t>
  </si>
  <si>
    <t>Estimated</t>
  </si>
  <si>
    <t>Booked</t>
  </si>
  <si>
    <t>Received</t>
  </si>
  <si>
    <t>Year End</t>
  </si>
  <si>
    <t>To</t>
  </si>
  <si>
    <t>in</t>
  </si>
  <si>
    <t>to</t>
  </si>
  <si>
    <t>Deferral</t>
  </si>
  <si>
    <t>Net</t>
  </si>
  <si>
    <t>Month</t>
  </si>
  <si>
    <t>Accrual</t>
  </si>
  <si>
    <t>Payable</t>
  </si>
  <si>
    <t>Revenue</t>
  </si>
  <si>
    <t>Transfer</t>
  </si>
  <si>
    <t>Amortization</t>
  </si>
  <si>
    <t>True-Up</t>
  </si>
  <si>
    <t>(includes amort &amp; amort rev)</t>
  </si>
  <si>
    <t>Beginning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</si>
  <si>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</si>
  <si>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</si>
  <si>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</si>
  <si>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</si>
  <si>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</si>
  <si>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</si>
  <si>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</si>
  <si>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</si>
  <si>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October</t>
  </si>
  <si>
    <t>November</t>
  </si>
  <si>
    <t>December</t>
  </si>
  <si>
    <t>(Counties)</t>
  </si>
  <si>
    <t>(Cities)</t>
  </si>
  <si>
    <t>Prior Year</t>
  </si>
  <si>
    <t>Property Taxes</t>
  </si>
  <si>
    <t>Suface Water</t>
  </si>
  <si>
    <t>Tax Bill</t>
  </si>
  <si>
    <t>(Annual)</t>
  </si>
  <si>
    <t>(Monthly)</t>
  </si>
  <si>
    <t>Mgmt Fees</t>
  </si>
  <si>
    <t>Corrections</t>
  </si>
  <si>
    <t>Activity</t>
  </si>
  <si>
    <t>18238042 Current Period Deferral</t>
  </si>
  <si>
    <t>18238032 Prior Period Deferral</t>
  </si>
  <si>
    <t>May-Dec Variance</t>
  </si>
  <si>
    <t>&lt;==Check Load</t>
  </si>
  <si>
    <t>Revenue Requirement Increase / (Decrease)</t>
  </si>
  <si>
    <t>Difference from Actual Number Collected</t>
  </si>
  <si>
    <t>total</t>
  </si>
  <si>
    <t>Total Variance ($)</t>
  </si>
  <si>
    <t>Residential Propane</t>
  </si>
  <si>
    <t>Commercial &amp; Industrial - Sales</t>
  </si>
  <si>
    <t>31T</t>
  </si>
  <si>
    <t>Commercial &amp; Industrial - Transportation</t>
  </si>
  <si>
    <t>Large Vol. High Load Factor - Sales</t>
  </si>
  <si>
    <t>41T</t>
  </si>
  <si>
    <t>Large Vol. High Load Factor - Transportation</t>
  </si>
  <si>
    <t>Interruptible - Sales</t>
  </si>
  <si>
    <t>85T</t>
  </si>
  <si>
    <t>Interruptible - Transportation</t>
  </si>
  <si>
    <t>Limited Interruptible - Sales</t>
  </si>
  <si>
    <t>86T</t>
  </si>
  <si>
    <t>Limited Interruptible - Transportation</t>
  </si>
  <si>
    <t>Non-exclusive Interruptible - Sales</t>
  </si>
  <si>
    <t>87T</t>
  </si>
  <si>
    <t>Non-exclusive Interruptible - Transportation</t>
  </si>
  <si>
    <t>Variance (Rentals)</t>
  </si>
  <si>
    <t>71,72 &amp; 74</t>
  </si>
  <si>
    <t>Property Tax Variance Calculation</t>
  </si>
  <si>
    <t>= 7 - 9</t>
  </si>
  <si>
    <t>Step 1:</t>
  </si>
  <si>
    <t>Updated by Property Tax</t>
  </si>
  <si>
    <t>YTD</t>
  </si>
  <si>
    <t>relink cells</t>
  </si>
  <si>
    <t>Gas Schedule 140 Property Tax Tracker</t>
  </si>
  <si>
    <t>Revenue Variance</t>
  </si>
  <si>
    <t>16 &amp; 23</t>
  </si>
  <si>
    <t>check</t>
  </si>
  <si>
    <t>PLNG</t>
  </si>
  <si>
    <t>EXH. SEF-3G page 3 of 4</t>
  </si>
  <si>
    <t>PUGET SOUND ENERGY - NATURAL GAS</t>
  </si>
  <si>
    <t>RESULTS OF OPERATIONS</t>
  </si>
  <si>
    <t>2019 GENERAL RATE CASE</t>
  </si>
  <si>
    <t>12 MONTHS ENDED DECEMBER 31, 2018</t>
  </si>
  <si>
    <t>STATE UTILITY TAX ( 3.8323% - ( LINE 1 * 3.8323% )  )</t>
  </si>
  <si>
    <t>CONVERSION FACTOR EXCLUDING FEDERAL INCOME TAX ( 1 - LINE 6 )</t>
  </si>
  <si>
    <t>FEDERAL INCOME TAX ( LINE 7  * 21% )</t>
  </si>
  <si>
    <t xml:space="preserve">CONVERSION FACTOR INCL FEDERAL INCOME TAX ( LINE 7 - LINE 8 ) </t>
  </si>
  <si>
    <t>EXH. SEF-18E page 3 of 6</t>
  </si>
  <si>
    <t xml:space="preserve">PUGET SOUND ENERGY </t>
  </si>
  <si>
    <t>ELECTRIC RESULTS OF OPERATIONS</t>
  </si>
  <si>
    <t>STATE UTILITY TAX ( 3.8406% - ( LINE 1 * 3.8406% )  )</t>
  </si>
  <si>
    <t>Schedule 140 Rates Effective May 1, 2020</t>
  </si>
  <si>
    <t>449/459</t>
  </si>
  <si>
    <t>Revenue Requirement from 2020 Filing</t>
  </si>
  <si>
    <t>Cash Payment expected to be made 2021</t>
  </si>
  <si>
    <t>True-up for 2020 Load Variance</t>
  </si>
  <si>
    <r>
      <t xml:space="preserve">Property Tax Revenue Requirement - </t>
    </r>
    <r>
      <rPr>
        <b/>
        <sz val="14"/>
        <color rgb="FFFF0000"/>
        <rFont val="Calibri"/>
        <family val="2"/>
      </rPr>
      <t>FINAL</t>
    </r>
    <r>
      <rPr>
        <b/>
        <sz val="14"/>
        <color theme="1"/>
        <rFont val="Calibri"/>
        <family val="2"/>
        <scheme val="minor"/>
      </rPr>
      <t xml:space="preserve"> Filing - April, 2021</t>
    </r>
  </si>
  <si>
    <t>revised 4/14/2021</t>
  </si>
  <si>
    <t>UE-210217/UG-210218</t>
  </si>
  <si>
    <t>Schedule 140 Rates Effective May 1, 2021</t>
  </si>
  <si>
    <r>
      <t>Rental Schedules</t>
    </r>
    <r>
      <rPr>
        <vertAlign val="superscript"/>
        <sz val="11"/>
        <rFont val="Calibri"/>
        <family val="2"/>
      </rPr>
      <t>(1)</t>
    </r>
  </si>
  <si>
    <r>
      <rPr>
        <vertAlign val="superscript"/>
        <sz val="11"/>
        <rFont val="Calibri"/>
        <family val="2"/>
      </rPr>
      <t>(1)</t>
    </r>
    <r>
      <rPr>
        <sz val="11"/>
        <rFont val="Calibri"/>
        <family val="2"/>
      </rPr>
      <t>Note: PSE sold and discontinued its rental business on December 22, 2020.</t>
    </r>
  </si>
  <si>
    <t>Revenue Requirement from 2021 Filing</t>
  </si>
  <si>
    <t>Cash Payment expected to be made 2022</t>
  </si>
  <si>
    <t>True-up for 2021 Load Variance</t>
  </si>
  <si>
    <t>F2020 Projected January 2021 to April 2021</t>
  </si>
  <si>
    <t>Actual Delivered January 2021 to April 2021</t>
  </si>
  <si>
    <t>Property Tracker Charge Effective 
5-1-20</t>
  </si>
  <si>
    <t>Jan 2021 to Apr 2021  Variance</t>
  </si>
  <si>
    <t>F2020 Projected 8 Months ended December 2021</t>
  </si>
  <si>
    <t>Actual 8 Months ended December 2021</t>
  </si>
  <si>
    <t>Property Tracker Charge Effective 5-1-21</t>
  </si>
  <si>
    <t>40</t>
  </si>
  <si>
    <t>PUGET SOUND ENERGY</t>
  </si>
  <si>
    <t>PROPERTY TAX DEPT</t>
  </si>
  <si>
    <r>
      <t xml:space="preserve">ESTIMATED PROPERTY TAXES FOR </t>
    </r>
    <r>
      <rPr>
        <b/>
        <sz val="10"/>
        <color indexed="10"/>
        <rFont val="Arial"/>
        <family val="2"/>
      </rPr>
      <t>2021</t>
    </r>
    <r>
      <rPr>
        <b/>
        <sz val="10"/>
        <rFont val="Arial"/>
        <family val="2"/>
      </rPr>
      <t xml:space="preserve"> Payable in </t>
    </r>
    <r>
      <rPr>
        <b/>
        <sz val="10"/>
        <color indexed="10"/>
        <rFont val="Arial"/>
        <family val="2"/>
      </rPr>
      <t>2022</t>
    </r>
  </si>
  <si>
    <t>21-22</t>
  </si>
  <si>
    <t>ELECTRIC</t>
  </si>
  <si>
    <t>GAS</t>
  </si>
  <si>
    <t>Total Est</t>
  </si>
  <si>
    <t>SAP #</t>
  </si>
  <si>
    <t>actual</t>
  </si>
  <si>
    <t>Tracker SAP #</t>
  </si>
  <si>
    <t>tracker</t>
  </si>
  <si>
    <t>Order #</t>
  </si>
  <si>
    <t>load</t>
  </si>
  <si>
    <t>JE 170</t>
  </si>
  <si>
    <t>JE 172</t>
  </si>
  <si>
    <t>JE 171</t>
  </si>
  <si>
    <t>JE 252</t>
  </si>
  <si>
    <t>Taxes</t>
  </si>
  <si>
    <t>Estimated change</t>
  </si>
  <si>
    <t>ADD LOCALLY ASSESSED TAXES</t>
  </si>
  <si>
    <t>Surface  water management</t>
  </si>
  <si>
    <t>Actual OPER CENTRALLY ASSESSED TAXES</t>
  </si>
  <si>
    <t>ADD OPER Centrally ASSESSED TAXES-Special</t>
  </si>
  <si>
    <t>Prior year tax bill corrections/refunds</t>
  </si>
  <si>
    <t>Refund:Prior year tax bill corrections</t>
  </si>
  <si>
    <t>Non-OPER-40820001</t>
  </si>
  <si>
    <t>add 2nd half to OR Col</t>
  </si>
  <si>
    <t>Surface  water management/ MISC bills</t>
  </si>
  <si>
    <t>Schedule 54  (CNG)</t>
  </si>
  <si>
    <t>&lt;= check</t>
  </si>
  <si>
    <r>
      <t xml:space="preserve">Final </t>
    </r>
    <r>
      <rPr>
        <sz val="10"/>
        <color indexed="10"/>
        <rFont val="Arial"/>
        <family val="2"/>
      </rPr>
      <t>1-1-20</t>
    </r>
    <r>
      <rPr>
        <sz val="11"/>
        <color theme="1"/>
        <rFont val="Calibri"/>
        <family val="2"/>
        <scheme val="minor"/>
      </rPr>
      <t xml:space="preserve"> DOR Value</t>
    </r>
  </si>
  <si>
    <r>
      <t>01-01-21</t>
    </r>
    <r>
      <rPr>
        <sz val="11"/>
        <color theme="1"/>
        <rFont val="Calibri"/>
        <family val="2"/>
        <scheme val="minor"/>
      </rPr>
      <t xml:space="preserve"> Increase / decrease</t>
    </r>
  </si>
  <si>
    <t>Actual 1-1-21 DOR Value</t>
  </si>
  <si>
    <r>
      <t xml:space="preserve">1-1-21 </t>
    </r>
    <r>
      <rPr>
        <sz val="8"/>
        <rFont val="Arial"/>
        <family val="2"/>
      </rPr>
      <t>AVERAGE SYSTEM RATIO (21-22 rates)</t>
    </r>
  </si>
  <si>
    <r>
      <t xml:space="preserve">Actual </t>
    </r>
    <r>
      <rPr>
        <sz val="10"/>
        <color indexed="10"/>
        <rFont val="Arial"/>
        <family val="2"/>
      </rPr>
      <t xml:space="preserve">1-1-21 </t>
    </r>
    <r>
      <rPr>
        <sz val="11"/>
        <color theme="1"/>
        <rFont val="Calibri"/>
        <family val="2"/>
        <scheme val="minor"/>
      </rPr>
      <t>ASSESSED VALUE</t>
    </r>
  </si>
  <si>
    <r>
      <t>Actual</t>
    </r>
    <r>
      <rPr>
        <sz val="10"/>
        <color indexed="10"/>
        <rFont val="Arial"/>
        <family val="2"/>
      </rPr>
      <t xml:space="preserve"> 1-1-21</t>
    </r>
    <r>
      <rPr>
        <sz val="11"/>
        <color theme="1"/>
        <rFont val="Calibri"/>
        <family val="2"/>
        <scheme val="minor"/>
      </rPr>
      <t xml:space="preserve"> LEVY RATE (21-22 rates)</t>
    </r>
  </si>
  <si>
    <t>Total Actual Taxes 21-22</t>
  </si>
  <si>
    <r>
      <t xml:space="preserve">Property Tax Revenue Requirement - </t>
    </r>
    <r>
      <rPr>
        <b/>
        <sz val="14"/>
        <color rgb="FFFF0000"/>
        <rFont val="Calibri"/>
        <family val="2"/>
      </rPr>
      <t>FINAL</t>
    </r>
    <r>
      <rPr>
        <b/>
        <sz val="14"/>
        <color theme="1"/>
        <rFont val="Calibri"/>
        <family val="2"/>
        <scheme val="minor"/>
      </rPr>
      <t xml:space="preserve"> Filing - April, 2022</t>
    </r>
  </si>
  <si>
    <t>FINAL Property Taxes on 1-1-2022 Property to be Paid in April and October of 2022</t>
  </si>
  <si>
    <t>January 2021 - December 2021</t>
  </si>
  <si>
    <t>Jan - Apr 2021 (F2019 Forecasted Therms)</t>
  </si>
  <si>
    <t>Jan - Apr 2021 (Actual Therms)</t>
  </si>
  <si>
    <t>Jan - Apr 2021 Variance ($)</t>
  </si>
  <si>
    <t>May - Dec 2021 (F2020 Forecasted Therms)</t>
  </si>
  <si>
    <t>May - Dec 2021 (Actual Therms)</t>
  </si>
  <si>
    <t>May - Dec 2021 Variance ($)</t>
  </si>
  <si>
    <t>Jan - Apr 2021 (Forecasted Rentals)</t>
  </si>
  <si>
    <t>Jan - Apr 2021 (Actual Rentals)</t>
  </si>
  <si>
    <t>May - Dec 2021 (Forecasted Rentals)</t>
  </si>
  <si>
    <t>May - Dec 2021 (Actual Rentals)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</si>
</sst>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%"/>
    <numFmt numFmtId="168" formatCode="_(&quot;$&quot;* #,##0.000000_);_(&quot;$&quot;* \(#,##0.000000\);_(&quot;$&quot;* &quot;-&quot;??_);_(@_)"/>
    <numFmt numFmtId="169" formatCode="_(&quot;$&quot;* #,##0.00000_);_(&quot;$&quot;* \(#,##0.00000\);_(&quot;$&quot;* &quot;-&quot;??_);_(@_)"/>
    <numFmt numFmtId="170" formatCode="_(* #,##0.000_);_(* \(#,##0.000\);_(* &quot;-&quot;???_);_(@_)"/>
    <numFmt numFmtId="171" formatCode="_-* #,##0.00\ _€_-;\-* #,##0.00\ _€_-;_-* &quot;-&quot;??\ _€_-;_-@_-"/>
    <numFmt numFmtId="172" formatCode="_-* #,##0.00\ &quot;€&quot;_-;\-* #,##0.00\ &quot;€&quot;_-;_-* &quot;-&quot;??\ &quot;€&quot;_-;_-@_-"/>
    <numFmt numFmtId="173" formatCode="General_)"/>
    <numFmt numFmtId="174" formatCode="[$-409]mmmm\-yy;@"/>
    <numFmt numFmtId="175" formatCode="#,##0.000_);\(#,##0.000\)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1"/>
      <color rgb="FFFF000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FF0000"/>
      <name val="Calibri"/>
      <family val="2"/>
    </font>
    <font>
      <b/>
      <sz val="11"/>
      <color rgb="FF0000FF"/>
      <name val="Calibri"/>
      <family val="2"/>
      <scheme val="minor"/>
    </font>
    <font>
      <b/>
      <sz val="12"/>
      <color rgb="FFD6009E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8"/>
      <color theme="4" tint="-0.249977111117893"/>
      <name val="Helv"/>
    </font>
    <font>
      <sz val="11"/>
      <color rgb="FF7500EA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10"/>
      <name val="Arial"/>
      <family val="2"/>
    </font>
    <font>
      <sz val="10"/>
      <color rgb="FFFF0000"/>
      <name val="Arial"/>
      <family val="2"/>
    </font>
    <font>
      <vertAlign val="superscript"/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rgb="FF008080"/>
      <name val="Calibri"/>
      <family val="2"/>
    </font>
    <font>
      <sz val="9"/>
      <color rgb="FFFF0000"/>
      <name val="Calibri"/>
      <family val="2"/>
    </font>
    <font>
      <sz val="11"/>
      <color rgb="FF0000FF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00FF"/>
      <name val="Calibri"/>
      <family val="2"/>
    </font>
    <font>
      <b/>
      <sz val="11"/>
      <name val="Calibri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7500EA"/>
      <name val="Calibri"/>
      <family val="2"/>
      <scheme val="minor"/>
    </font>
    <font>
      <sz val="12"/>
      <name val="Arial"/>
      <family val="2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4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1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42" applyNumberFormat="0" applyAlignment="0" applyProtection="0"/>
    <xf numFmtId="0" fontId="26" fillId="21" borderId="43" applyNumberFormat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0" fillId="0" borderId="44" applyNumberFormat="0" applyFill="0" applyAlignment="0" applyProtection="0"/>
    <xf numFmtId="0" fontId="31" fillId="0" borderId="45" applyNumberFormat="0" applyFill="0" applyAlignment="0" applyProtection="0"/>
    <xf numFmtId="0" fontId="32" fillId="0" borderId="46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42" applyNumberFormat="0" applyAlignment="0" applyProtection="0"/>
    <xf numFmtId="0" fontId="34" fillId="0" borderId="47" applyNumberFormat="0" applyFill="0" applyAlignment="0" applyProtection="0"/>
    <xf numFmtId="0" fontId="35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173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23" borderId="48" applyNumberFormat="0" applyFont="0" applyAlignment="0" applyProtection="0"/>
    <xf numFmtId="0" fontId="22" fillId="23" borderId="48" applyNumberFormat="0" applyFont="0" applyAlignment="0" applyProtection="0"/>
    <xf numFmtId="0" fontId="36" fillId="20" borderId="49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50" applyNumberFormat="0" applyFill="0" applyAlignment="0" applyProtection="0"/>
    <xf numFmtId="0" fontId="39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3" fillId="0" borderId="0"/>
    <xf numFmtId="173" fontId="3" fillId="0" borderId="0"/>
    <xf numFmtId="0" fontId="3" fillId="0" borderId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337">
    <xf numFmtId="0" fontId="0" fillId="0" borderId="0" xfId="0"/>
    <xf numFmtId="164" fontId="0" fillId="0" borderId="0" xfId="1" applyNumberFormat="1" applyFont="1" applyFill="1"/>
    <xf numFmtId="0" fontId="0" fillId="0" borderId="0" xfId="0" applyFill="1"/>
    <xf numFmtId="41" fontId="0" fillId="0" borderId="0" xfId="0" applyNumberFormat="1" applyFill="1"/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indent="1"/>
    </xf>
    <xf numFmtId="0" fontId="7" fillId="0" borderId="0" xfId="0" quotePrefix="1" applyFont="1" applyFill="1" applyAlignment="1">
      <alignment horizontal="left"/>
    </xf>
    <xf numFmtId="0" fontId="7" fillId="0" borderId="0" xfId="0" quotePrefix="1" applyFont="1" applyFill="1" applyAlignment="1">
      <alignment horizontal="left" inden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17" fontId="0" fillId="0" borderId="4" xfId="0" quotePrefix="1" applyNumberFormat="1" applyFill="1" applyBorder="1" applyAlignment="1">
      <alignment horizontal="center" wrapText="1"/>
    </xf>
    <xf numFmtId="42" fontId="0" fillId="0" borderId="0" xfId="0" applyNumberFormat="1" applyFill="1"/>
    <xf numFmtId="0" fontId="0" fillId="0" borderId="1" xfId="0" applyFill="1" applyBorder="1"/>
    <xf numFmtId="42" fontId="0" fillId="0" borderId="3" xfId="0" applyNumberFormat="1" applyFill="1" applyBorder="1"/>
    <xf numFmtId="41" fontId="11" fillId="0" borderId="0" xfId="0" applyNumberFormat="1" applyFont="1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164" fontId="7" fillId="0" borderId="0" xfId="0" quotePrefix="1" applyNumberFormat="1" applyFont="1" applyFill="1" applyAlignment="1">
      <alignment horizontal="left"/>
    </xf>
    <xf numFmtId="168" fontId="0" fillId="0" borderId="0" xfId="0" applyNumberFormat="1" applyFont="1" applyFill="1" applyAlignment="1">
      <alignment horizontal="right"/>
    </xf>
    <xf numFmtId="165" fontId="7" fillId="0" borderId="0" xfId="0" quotePrefix="1" applyNumberFormat="1" applyFont="1" applyFill="1" applyAlignment="1">
      <alignment horizontal="left"/>
    </xf>
    <xf numFmtId="164" fontId="7" fillId="0" borderId="6" xfId="0" applyNumberFormat="1" applyFont="1" applyFill="1" applyBorder="1"/>
    <xf numFmtId="165" fontId="7" fillId="0" borderId="6" xfId="0" applyNumberFormat="1" applyFont="1" applyFill="1" applyBorder="1"/>
    <xf numFmtId="165" fontId="7" fillId="0" borderId="0" xfId="0" applyNumberFormat="1" applyFont="1" applyFill="1" applyBorder="1"/>
    <xf numFmtId="164" fontId="7" fillId="0" borderId="0" xfId="0" applyNumberFormat="1" applyFont="1" applyFill="1" applyBorder="1"/>
    <xf numFmtId="164" fontId="7" fillId="0" borderId="0" xfId="0" applyNumberFormat="1" applyFont="1" applyFill="1"/>
    <xf numFmtId="165" fontId="7" fillId="0" borderId="0" xfId="0" applyNumberFormat="1" applyFont="1" applyFill="1"/>
    <xf numFmtId="164" fontId="7" fillId="0" borderId="2" xfId="0" applyNumberFormat="1" applyFont="1" applyFill="1" applyBorder="1"/>
    <xf numFmtId="165" fontId="7" fillId="0" borderId="2" xfId="0" applyNumberFormat="1" applyFont="1" applyFill="1" applyBorder="1"/>
    <xf numFmtId="0" fontId="18" fillId="0" borderId="0" xfId="0" applyFont="1" applyFill="1" applyBorder="1" applyAlignment="1">
      <alignment horizontal="center"/>
    </xf>
    <xf numFmtId="0" fontId="13" fillId="0" borderId="0" xfId="0" applyFont="1" applyFill="1"/>
    <xf numFmtId="166" fontId="20" fillId="0" borderId="0" xfId="0" applyNumberFormat="1" applyFont="1" applyFill="1" applyAlignment="1">
      <alignment horizontal="left" wrapText="1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17" fillId="0" borderId="0" xfId="0" applyFont="1" applyFill="1"/>
    <xf numFmtId="0" fontId="0" fillId="0" borderId="0" xfId="0" applyFill="1" applyAlignment="1">
      <alignment horizontal="left"/>
    </xf>
    <xf numFmtId="0" fontId="9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left" indent="1"/>
    </xf>
    <xf numFmtId="0" fontId="0" fillId="0" borderId="0" xfId="0" quotePrefix="1" applyFill="1" applyAlignment="1">
      <alignment horizontal="left"/>
    </xf>
    <xf numFmtId="41" fontId="11" fillId="0" borderId="1" xfId="0" applyNumberFormat="1" applyFont="1" applyFill="1" applyBorder="1"/>
    <xf numFmtId="0" fontId="11" fillId="0" borderId="1" xfId="0" applyFont="1" applyFill="1" applyBorder="1"/>
    <xf numFmtId="42" fontId="0" fillId="0" borderId="2" xfId="0" applyNumberFormat="1" applyFill="1" applyBorder="1"/>
    <xf numFmtId="0" fontId="11" fillId="0" borderId="0" xfId="0" applyFont="1" applyFill="1"/>
    <xf numFmtId="0" fontId="2" fillId="0" borderId="0" xfId="0" applyFont="1" applyFill="1"/>
    <xf numFmtId="0" fontId="12" fillId="0" borderId="0" xfId="0" applyFont="1" applyFill="1"/>
    <xf numFmtId="0" fontId="8" fillId="0" borderId="0" xfId="0" applyFont="1" applyFill="1"/>
    <xf numFmtId="0" fontId="5" fillId="0" borderId="0" xfId="0" applyFont="1" applyFill="1"/>
    <xf numFmtId="0" fontId="21" fillId="0" borderId="0" xfId="0" applyFont="1" applyFill="1" applyAlignment="1">
      <alignment horizontal="left"/>
    </xf>
    <xf numFmtId="0" fontId="0" fillId="0" borderId="4" xfId="0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0" fontId="13" fillId="0" borderId="0" xfId="0" applyFont="1" applyFill="1" applyAlignment="1">
      <alignment horizontal="centerContinuous"/>
    </xf>
    <xf numFmtId="0" fontId="13" fillId="0" borderId="4" xfId="0" applyFont="1" applyFill="1" applyBorder="1" applyAlignment="1">
      <alignment wrapText="1"/>
    </xf>
    <xf numFmtId="0" fontId="13" fillId="0" borderId="4" xfId="0" applyFont="1" applyFill="1" applyBorder="1"/>
    <xf numFmtId="0" fontId="13" fillId="0" borderId="4" xfId="0" applyFont="1" applyFill="1" applyBorder="1" applyAlignment="1">
      <alignment horizontal="center" wrapText="1"/>
    </xf>
    <xf numFmtId="2" fontId="13" fillId="0" borderId="4" xfId="0" applyNumberFormat="1" applyFont="1" applyFill="1" applyBorder="1" applyAlignment="1">
      <alignment horizontal="center" wrapText="1"/>
    </xf>
    <xf numFmtId="0" fontId="13" fillId="0" borderId="0" xfId="0" applyFont="1" applyFill="1" applyAlignment="1">
      <alignment horizontal="left"/>
    </xf>
    <xf numFmtId="164" fontId="44" fillId="0" borderId="0" xfId="0" applyNumberFormat="1" applyFont="1" applyFill="1" applyBorder="1"/>
    <xf numFmtId="164" fontId="13" fillId="0" borderId="0" xfId="0" applyNumberFormat="1" applyFont="1" applyFill="1" applyBorder="1"/>
    <xf numFmtId="169" fontId="44" fillId="0" borderId="0" xfId="0" applyNumberFormat="1" applyFont="1" applyFill="1"/>
    <xf numFmtId="165" fontId="13" fillId="0" borderId="0" xfId="0" applyNumberFormat="1" applyFont="1" applyFill="1"/>
    <xf numFmtId="0" fontId="13" fillId="0" borderId="4" xfId="0" applyFont="1" applyFill="1" applyBorder="1" applyAlignment="1">
      <alignment horizontal="left"/>
    </xf>
    <xf numFmtId="169" fontId="44" fillId="0" borderId="4" xfId="0" applyNumberFormat="1" applyFont="1" applyFill="1" applyBorder="1"/>
    <xf numFmtId="165" fontId="13" fillId="0" borderId="4" xfId="0" applyNumberFormat="1" applyFont="1" applyFill="1" applyBorder="1"/>
    <xf numFmtId="164" fontId="13" fillId="0" borderId="1" xfId="0" applyNumberFormat="1" applyFont="1" applyFill="1" applyBorder="1"/>
    <xf numFmtId="165" fontId="13" fillId="0" borderId="1" xfId="0" applyNumberFormat="1" applyFont="1" applyFill="1" applyBorder="1"/>
    <xf numFmtId="0" fontId="45" fillId="0" borderId="0" xfId="0" applyFont="1" applyFill="1" applyAlignment="1">
      <alignment horizontal="right"/>
    </xf>
    <xf numFmtId="164" fontId="45" fillId="0" borderId="0" xfId="0" applyNumberFormat="1" applyFont="1" applyFill="1" applyBorder="1"/>
    <xf numFmtId="164" fontId="45" fillId="0" borderId="0" xfId="0" applyNumberFormat="1" applyFont="1" applyFill="1"/>
    <xf numFmtId="44" fontId="44" fillId="0" borderId="0" xfId="0" applyNumberFormat="1" applyFont="1" applyFill="1"/>
    <xf numFmtId="164" fontId="46" fillId="0" borderId="0" xfId="0" applyNumberFormat="1" applyFont="1" applyFill="1" applyBorder="1"/>
    <xf numFmtId="44" fontId="46" fillId="0" borderId="0" xfId="0" applyNumberFormat="1" applyFont="1" applyFill="1"/>
    <xf numFmtId="0" fontId="47" fillId="0" borderId="0" xfId="0" applyFont="1" applyFill="1"/>
    <xf numFmtId="0" fontId="48" fillId="0" borderId="10" xfId="0" applyFont="1" applyFill="1" applyBorder="1" applyAlignment="1">
      <alignment horizontal="centerContinuous"/>
    </xf>
    <xf numFmtId="0" fontId="48" fillId="0" borderId="11" xfId="0" applyFont="1" applyFill="1" applyBorder="1" applyAlignment="1">
      <alignment horizontal="centerContinuous"/>
    </xf>
    <xf numFmtId="0" fontId="48" fillId="0" borderId="0" xfId="0" applyFont="1" applyFill="1" applyAlignment="1">
      <alignment horizontal="centerContinuous"/>
    </xf>
    <xf numFmtId="0" fontId="47" fillId="0" borderId="0" xfId="0" applyFont="1" applyFill="1" applyAlignment="1">
      <alignment horizontal="centerContinuous"/>
    </xf>
    <xf numFmtId="0" fontId="49" fillId="0" borderId="0" xfId="0" applyNumberFormat="1" applyFont="1" applyFill="1" applyAlignment="1">
      <alignment horizontal="center"/>
    </xf>
    <xf numFmtId="0" fontId="50" fillId="0" borderId="0" xfId="0" applyFont="1" applyFill="1"/>
    <xf numFmtId="0" fontId="49" fillId="0" borderId="4" xfId="0" applyNumberFormat="1" applyFont="1" applyFill="1" applyBorder="1" applyAlignment="1">
      <alignment horizontal="center"/>
    </xf>
    <xf numFmtId="0" fontId="50" fillId="0" borderId="4" xfId="0" applyFont="1" applyFill="1" applyBorder="1"/>
    <xf numFmtId="0" fontId="47" fillId="0" borderId="0" xfId="0" applyNumberFormat="1" applyFont="1" applyFill="1" applyAlignment="1">
      <alignment horizontal="center"/>
    </xf>
    <xf numFmtId="0" fontId="47" fillId="0" borderId="0" xfId="0" applyNumberFormat="1" applyFont="1" applyFill="1" applyAlignment="1">
      <alignment horizontal="left"/>
    </xf>
    <xf numFmtId="0" fontId="47" fillId="0" borderId="0" xfId="0" applyNumberFormat="1" applyFont="1" applyFill="1" applyAlignment="1"/>
    <xf numFmtId="166" fontId="47" fillId="0" borderId="0" xfId="0" applyNumberFormat="1" applyFont="1" applyFill="1" applyAlignment="1"/>
    <xf numFmtId="167" fontId="47" fillId="0" borderId="0" xfId="0" applyNumberFormat="1" applyFont="1" applyFill="1" applyAlignment="1"/>
    <xf numFmtId="166" fontId="47" fillId="0" borderId="4" xfId="0" applyNumberFormat="1" applyFont="1" applyFill="1" applyBorder="1" applyAlignment="1"/>
    <xf numFmtId="166" fontId="47" fillId="0" borderId="0" xfId="0" applyNumberFormat="1" applyFont="1" applyFill="1" applyBorder="1" applyAlignment="1"/>
    <xf numFmtId="9" fontId="47" fillId="0" borderId="0" xfId="0" applyNumberFormat="1" applyFont="1" applyFill="1" applyAlignment="1"/>
    <xf numFmtId="166" fontId="48" fillId="0" borderId="2" xfId="0" applyNumberFormat="1" applyFont="1" applyFill="1" applyBorder="1" applyAlignment="1" applyProtection="1">
      <protection locked="0"/>
    </xf>
    <xf numFmtId="0" fontId="48" fillId="0" borderId="6" xfId="0" applyFont="1" applyFill="1" applyBorder="1" applyAlignment="1">
      <alignment horizontal="centerContinuous"/>
    </xf>
    <xf numFmtId="0" fontId="49" fillId="0" borderId="0" xfId="0" applyFont="1" applyFill="1" applyAlignment="1">
      <alignment horizontal="centerContinuous"/>
    </xf>
    <xf numFmtId="0" fontId="50" fillId="0" borderId="0" xfId="0" applyFont="1" applyFill="1" applyAlignment="1">
      <alignment horizontal="centerContinuous"/>
    </xf>
    <xf numFmtId="0" fontId="50" fillId="0" borderId="0" xfId="0" applyNumberFormat="1" applyFont="1" applyFill="1" applyAlignment="1">
      <alignment horizontal="left"/>
    </xf>
    <xf numFmtId="0" fontId="50" fillId="0" borderId="0" xfId="0" applyNumberFormat="1" applyFont="1" applyFill="1" applyAlignment="1"/>
    <xf numFmtId="166" fontId="50" fillId="0" borderId="0" xfId="0" applyNumberFormat="1" applyFont="1" applyFill="1" applyAlignment="1"/>
    <xf numFmtId="167" fontId="50" fillId="0" borderId="0" xfId="0" applyNumberFormat="1" applyFont="1" applyFill="1" applyAlignment="1"/>
    <xf numFmtId="166" fontId="50" fillId="0" borderId="4" xfId="0" applyNumberFormat="1" applyFont="1" applyFill="1" applyBorder="1" applyAlignment="1"/>
    <xf numFmtId="166" fontId="50" fillId="0" borderId="0" xfId="0" applyNumberFormat="1" applyFont="1" applyFill="1" applyBorder="1" applyAlignment="1"/>
    <xf numFmtId="9" fontId="50" fillId="0" borderId="0" xfId="0" applyNumberFormat="1" applyFont="1" applyFill="1" applyAlignment="1"/>
    <xf numFmtId="166" fontId="50" fillId="0" borderId="2" xfId="0" applyNumberFormat="1" applyFont="1" applyFill="1" applyBorder="1" applyAlignment="1" applyProtection="1">
      <protection locked="0"/>
    </xf>
    <xf numFmtId="0" fontId="7" fillId="0" borderId="0" xfId="0" quotePrefix="1" applyFont="1" applyFill="1" applyAlignment="1">
      <alignment horizontal="center"/>
    </xf>
    <xf numFmtId="164" fontId="11" fillId="0" borderId="0" xfId="0" applyNumberFormat="1" applyFont="1" applyFill="1"/>
    <xf numFmtId="10" fontId="0" fillId="0" borderId="0" xfId="0" applyNumberFormat="1" applyFont="1" applyFill="1" applyAlignment="1">
      <alignment horizontal="center"/>
    </xf>
    <xf numFmtId="0" fontId="51" fillId="0" borderId="0" xfId="0" applyFont="1" applyFill="1"/>
    <xf numFmtId="0" fontId="1" fillId="0" borderId="39" xfId="72" applyFill="1" applyBorder="1" applyAlignment="1">
      <alignment horizontal="center"/>
    </xf>
    <xf numFmtId="0" fontId="1" fillId="0" borderId="9" xfId="72" applyFill="1" applyBorder="1" applyAlignment="1">
      <alignment horizontal="center"/>
    </xf>
    <xf numFmtId="0" fontId="1" fillId="0" borderId="4" xfId="72" applyFill="1" applyBorder="1" applyAlignment="1">
      <alignment horizontal="center"/>
    </xf>
    <xf numFmtId="0" fontId="43" fillId="0" borderId="14" xfId="72" applyFont="1" applyFill="1" applyBorder="1" applyAlignment="1">
      <alignment horizontal="centerContinuous"/>
    </xf>
    <xf numFmtId="42" fontId="1" fillId="0" borderId="0" xfId="72" applyNumberFormat="1" applyFill="1" applyBorder="1"/>
    <xf numFmtId="41" fontId="1" fillId="0" borderId="0" xfId="72" applyNumberFormat="1" applyFill="1" applyBorder="1"/>
    <xf numFmtId="41" fontId="1" fillId="0" borderId="0" xfId="72" applyNumberFormat="1" applyFont="1" applyFill="1" applyBorder="1"/>
    <xf numFmtId="0" fontId="1" fillId="0" borderId="0" xfId="72" applyFill="1"/>
    <xf numFmtId="41" fontId="1" fillId="0" borderId="0" xfId="72" applyNumberFormat="1" applyFill="1"/>
    <xf numFmtId="41" fontId="1" fillId="0" borderId="14" xfId="72" applyNumberFormat="1" applyFill="1" applyBorder="1"/>
    <xf numFmtId="41" fontId="1" fillId="0" borderId="39" xfId="72" applyNumberFormat="1" applyFill="1" applyBorder="1"/>
    <xf numFmtId="41" fontId="1" fillId="0" borderId="9" xfId="3" applyNumberFormat="1" applyFont="1" applyFill="1" applyBorder="1"/>
    <xf numFmtId="41" fontId="1" fillId="0" borderId="16" xfId="72" applyNumberFormat="1" applyFill="1" applyBorder="1"/>
    <xf numFmtId="164" fontId="1" fillId="0" borderId="0" xfId="3" applyNumberFormat="1" applyFont="1" applyFill="1"/>
    <xf numFmtId="42" fontId="1" fillId="0" borderId="0" xfId="72" applyNumberFormat="1" applyFill="1"/>
    <xf numFmtId="164" fontId="55" fillId="0" borderId="0" xfId="0" applyNumberFormat="1" applyFont="1" applyFill="1" applyBorder="1"/>
    <xf numFmtId="164" fontId="3" fillId="0" borderId="21" xfId="3" applyNumberFormat="1" applyFont="1" applyFill="1" applyBorder="1"/>
    <xf numFmtId="164" fontId="3" fillId="0" borderId="21" xfId="3" applyNumberForma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63" fillId="0" borderId="0" xfId="0" applyFont="1" applyFill="1"/>
    <xf numFmtId="0" fontId="3" fillId="0" borderId="0" xfId="110" applyFont="1" applyFill="1" applyBorder="1"/>
    <xf numFmtId="0" fontId="3" fillId="0" borderId="0" xfId="111" applyFont="1" applyFill="1" applyBorder="1"/>
    <xf numFmtId="0" fontId="3" fillId="0" borderId="0" xfId="111" applyFill="1" applyBorder="1"/>
    <xf numFmtId="0" fontId="3" fillId="0" borderId="0" xfId="111" applyFont="1" applyFill="1" applyAlignment="1">
      <alignment horizontal="center"/>
    </xf>
    <xf numFmtId="0" fontId="3" fillId="0" borderId="0" xfId="111" applyFont="1" applyFill="1" applyAlignment="1">
      <alignment horizontal="left"/>
    </xf>
    <xf numFmtId="38" fontId="0" fillId="0" borderId="0" xfId="0" applyNumberFormat="1" applyFill="1"/>
    <xf numFmtId="38" fontId="58" fillId="0" borderId="2" xfId="0" applyNumberFormat="1" applyFont="1" applyFill="1" applyBorder="1"/>
    <xf numFmtId="38" fontId="5" fillId="0" borderId="0" xfId="0" applyNumberFormat="1" applyFont="1" applyFill="1"/>
    <xf numFmtId="0" fontId="64" fillId="0" borderId="0" xfId="0" applyFont="1" applyFill="1"/>
    <xf numFmtId="0" fontId="65" fillId="0" borderId="0" xfId="0" applyFont="1" applyFill="1"/>
    <xf numFmtId="0" fontId="65" fillId="0" borderId="0" xfId="0" applyFont="1" applyFill="1" applyBorder="1"/>
    <xf numFmtId="0" fontId="65" fillId="0" borderId="0" xfId="0" applyFont="1" applyFill="1" applyAlignment="1">
      <alignment horizontal="left" indent="1"/>
    </xf>
    <xf numFmtId="0" fontId="19" fillId="0" borderId="30" xfId="0" applyFont="1" applyFill="1" applyBorder="1" applyAlignment="1">
      <alignment horizontal="centerContinuous"/>
    </xf>
    <xf numFmtId="0" fontId="65" fillId="0" borderId="5" xfId="0" applyFont="1" applyFill="1" applyBorder="1" applyAlignment="1">
      <alignment horizontal="centerContinuous"/>
    </xf>
    <xf numFmtId="0" fontId="66" fillId="0" borderId="5" xfId="0" applyFont="1" applyFill="1" applyBorder="1" applyAlignment="1">
      <alignment horizontal="centerContinuous"/>
    </xf>
    <xf numFmtId="0" fontId="64" fillId="0" borderId="29" xfId="0" applyFont="1" applyFill="1" applyBorder="1" applyAlignment="1">
      <alignment horizontal="centerContinuous"/>
    </xf>
    <xf numFmtId="0" fontId="64" fillId="0" borderId="22" xfId="0" applyFont="1" applyFill="1" applyBorder="1" applyAlignment="1">
      <alignment horizontal="centerContinuous"/>
    </xf>
    <xf numFmtId="0" fontId="18" fillId="0" borderId="27" xfId="0" applyFont="1" applyFill="1" applyBorder="1" applyAlignment="1">
      <alignment horizontal="center"/>
    </xf>
    <xf numFmtId="0" fontId="67" fillId="0" borderId="27" xfId="0" applyFont="1" applyFill="1" applyBorder="1" applyAlignment="1">
      <alignment horizontal="center"/>
    </xf>
    <xf numFmtId="0" fontId="65" fillId="0" borderId="4" xfId="0" applyFont="1" applyFill="1" applyBorder="1" applyAlignment="1">
      <alignment horizontal="center"/>
    </xf>
    <xf numFmtId="0" fontId="65" fillId="0" borderId="26" xfId="0" applyFont="1" applyFill="1" applyBorder="1" applyAlignment="1">
      <alignment horizontal="center"/>
    </xf>
    <xf numFmtId="0" fontId="65" fillId="0" borderId="25" xfId="0" applyFont="1" applyFill="1" applyBorder="1" applyAlignment="1">
      <alignment horizontal="center"/>
    </xf>
    <xf numFmtId="0" fontId="64" fillId="0" borderId="28" xfId="0" applyFont="1" applyFill="1" applyBorder="1" applyAlignment="1">
      <alignment horizontal="center"/>
    </xf>
    <xf numFmtId="0" fontId="64" fillId="0" borderId="0" xfId="0" applyFont="1" applyFill="1" applyBorder="1" applyAlignment="1">
      <alignment horizontal="center"/>
    </xf>
    <xf numFmtId="0" fontId="64" fillId="0" borderId="24" xfId="0" applyFont="1" applyFill="1" applyBorder="1" applyAlignment="1">
      <alignment horizontal="center"/>
    </xf>
    <xf numFmtId="0" fontId="65" fillId="0" borderId="23" xfId="0" applyFont="1" applyFill="1" applyBorder="1" applyAlignment="1">
      <alignment horizontal="center"/>
    </xf>
    <xf numFmtId="0" fontId="65" fillId="0" borderId="22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/>
    </xf>
    <xf numFmtId="0" fontId="64" fillId="0" borderId="21" xfId="0" applyFont="1" applyFill="1" applyBorder="1"/>
    <xf numFmtId="0" fontId="64" fillId="0" borderId="0" xfId="0" applyFont="1" applyFill="1" applyBorder="1"/>
    <xf numFmtId="0" fontId="68" fillId="0" borderId="0" xfId="68" applyFont="1" applyFill="1"/>
    <xf numFmtId="42" fontId="65" fillId="0" borderId="23" xfId="0" applyNumberFormat="1" applyFont="1" applyFill="1" applyBorder="1"/>
    <xf numFmtId="42" fontId="65" fillId="0" borderId="22" xfId="0" applyNumberFormat="1" applyFont="1" applyFill="1" applyBorder="1"/>
    <xf numFmtId="42" fontId="65" fillId="0" borderId="0" xfId="0" applyNumberFormat="1" applyFont="1" applyFill="1" applyBorder="1"/>
    <xf numFmtId="42" fontId="64" fillId="0" borderId="21" xfId="0" applyNumberFormat="1" applyFont="1" applyFill="1" applyBorder="1"/>
    <xf numFmtId="42" fontId="64" fillId="0" borderId="0" xfId="0" applyNumberFormat="1" applyFont="1" applyFill="1" applyBorder="1"/>
    <xf numFmtId="43" fontId="69" fillId="0" borderId="0" xfId="1" applyNumberFormat="1" applyFont="1" applyFill="1"/>
    <xf numFmtId="10" fontId="65" fillId="0" borderId="23" xfId="0" applyNumberFormat="1" applyFont="1" applyFill="1" applyBorder="1"/>
    <xf numFmtId="10" fontId="65" fillId="0" borderId="23" xfId="0" quotePrefix="1" applyNumberFormat="1" applyFont="1" applyFill="1" applyBorder="1" applyAlignment="1">
      <alignment horizontal="right"/>
    </xf>
    <xf numFmtId="10" fontId="65" fillId="0" borderId="22" xfId="0" quotePrefix="1" applyNumberFormat="1" applyFont="1" applyFill="1" applyBorder="1" applyAlignment="1">
      <alignment horizontal="right"/>
    </xf>
    <xf numFmtId="10" fontId="65" fillId="0" borderId="0" xfId="0" applyNumberFormat="1" applyFont="1" applyFill="1" applyBorder="1"/>
    <xf numFmtId="10" fontId="64" fillId="0" borderId="21" xfId="0" quotePrefix="1" applyNumberFormat="1" applyFont="1" applyFill="1" applyBorder="1" applyAlignment="1">
      <alignment horizontal="right"/>
    </xf>
    <xf numFmtId="10" fontId="64" fillId="0" borderId="0" xfId="0" quotePrefix="1" applyNumberFormat="1" applyFont="1" applyFill="1" applyBorder="1" applyAlignment="1">
      <alignment horizontal="right"/>
    </xf>
    <xf numFmtId="10" fontId="65" fillId="0" borderId="21" xfId="0" applyNumberFormat="1" applyFont="1" applyFill="1" applyBorder="1"/>
    <xf numFmtId="10" fontId="64" fillId="0" borderId="0" xfId="0" applyNumberFormat="1" applyFont="1" applyFill="1" applyBorder="1"/>
    <xf numFmtId="41" fontId="65" fillId="0" borderId="20" xfId="0" applyNumberFormat="1" applyFont="1" applyFill="1" applyBorder="1"/>
    <xf numFmtId="41" fontId="65" fillId="0" borderId="19" xfId="0" applyNumberFormat="1" applyFont="1" applyFill="1" applyBorder="1"/>
    <xf numFmtId="41" fontId="65" fillId="0" borderId="1" xfId="0" applyNumberFormat="1" applyFont="1" applyFill="1" applyBorder="1"/>
    <xf numFmtId="41" fontId="64" fillId="0" borderId="18" xfId="0" applyNumberFormat="1" applyFont="1" applyFill="1" applyBorder="1"/>
    <xf numFmtId="41" fontId="64" fillId="0" borderId="0" xfId="0" applyNumberFormat="1" applyFont="1" applyFill="1" applyBorder="1"/>
    <xf numFmtId="0" fontId="68" fillId="0" borderId="33" xfId="0" applyFont="1" applyFill="1" applyBorder="1"/>
    <xf numFmtId="41" fontId="65" fillId="0" borderId="26" xfId="0" applyNumberFormat="1" applyFont="1" applyFill="1" applyBorder="1"/>
    <xf numFmtId="41" fontId="65" fillId="0" borderId="25" xfId="0" applyNumberFormat="1" applyFont="1" applyFill="1" applyBorder="1"/>
    <xf numFmtId="41" fontId="65" fillId="0" borderId="4" xfId="0" applyNumberFormat="1" applyFont="1" applyFill="1" applyBorder="1"/>
    <xf numFmtId="41" fontId="64" fillId="0" borderId="28" xfId="0" applyNumberFormat="1" applyFont="1" applyFill="1" applyBorder="1"/>
    <xf numFmtId="41" fontId="65" fillId="0" borderId="28" xfId="0" applyNumberFormat="1" applyFont="1" applyFill="1" applyBorder="1"/>
    <xf numFmtId="41" fontId="65" fillId="0" borderId="23" xfId="0" applyNumberFormat="1" applyFont="1" applyFill="1" applyBorder="1"/>
    <xf numFmtId="41" fontId="65" fillId="0" borderId="22" xfId="0" applyNumberFormat="1" applyFont="1" applyFill="1" applyBorder="1"/>
    <xf numFmtId="41" fontId="65" fillId="0" borderId="0" xfId="0" applyNumberFormat="1" applyFont="1" applyFill="1" applyBorder="1"/>
    <xf numFmtId="41" fontId="64" fillId="0" borderId="21" xfId="0" applyNumberFormat="1" applyFont="1" applyFill="1" applyBorder="1"/>
    <xf numFmtId="164" fontId="69" fillId="0" borderId="0" xfId="1" applyNumberFormat="1" applyFont="1" applyFill="1"/>
    <xf numFmtId="170" fontId="70" fillId="0" borderId="23" xfId="0" applyNumberFormat="1" applyFont="1" applyFill="1" applyBorder="1"/>
    <xf numFmtId="170" fontId="70" fillId="0" borderId="22" xfId="0" applyNumberFormat="1" applyFont="1" applyFill="1" applyBorder="1"/>
    <xf numFmtId="170" fontId="70" fillId="0" borderId="0" xfId="0" applyNumberFormat="1" applyFont="1" applyFill="1" applyBorder="1"/>
    <xf numFmtId="10" fontId="70" fillId="0" borderId="21" xfId="0" quotePrefix="1" applyNumberFormat="1" applyFont="1" applyFill="1" applyBorder="1" applyAlignment="1">
      <alignment horizontal="right"/>
    </xf>
    <xf numFmtId="10" fontId="71" fillId="0" borderId="0" xfId="0" quotePrefix="1" applyNumberFormat="1" applyFont="1" applyFill="1" applyBorder="1" applyAlignment="1">
      <alignment horizontal="right"/>
    </xf>
    <xf numFmtId="170" fontId="70" fillId="0" borderId="21" xfId="0" applyNumberFormat="1" applyFont="1" applyFill="1" applyBorder="1"/>
    <xf numFmtId="170" fontId="71" fillId="0" borderId="0" xfId="0" applyNumberFormat="1" applyFont="1" applyFill="1" applyBorder="1"/>
    <xf numFmtId="0" fontId="65" fillId="0" borderId="20" xfId="0" applyFont="1" applyFill="1" applyBorder="1"/>
    <xf numFmtId="0" fontId="65" fillId="0" borderId="19" xfId="0" applyFont="1" applyFill="1" applyBorder="1"/>
    <xf numFmtId="0" fontId="65" fillId="0" borderId="1" xfId="0" applyFont="1" applyFill="1" applyBorder="1"/>
    <xf numFmtId="0" fontId="64" fillId="0" borderId="18" xfId="0" applyFont="1" applyFill="1" applyBorder="1"/>
    <xf numFmtId="0" fontId="68" fillId="0" borderId="0" xfId="0" applyFont="1" applyFill="1"/>
    <xf numFmtId="37" fontId="65" fillId="0" borderId="21" xfId="0" applyNumberFormat="1" applyFont="1" applyFill="1" applyBorder="1"/>
    <xf numFmtId="41" fontId="10" fillId="0" borderId="23" xfId="0" applyNumberFormat="1" applyFont="1" applyFill="1" applyBorder="1"/>
    <xf numFmtId="41" fontId="10" fillId="0" borderId="22" xfId="0" applyNumberFormat="1" applyFont="1" applyFill="1" applyBorder="1"/>
    <xf numFmtId="41" fontId="10" fillId="0" borderId="21" xfId="0" applyNumberFormat="1" applyFont="1" applyFill="1" applyBorder="1"/>
    <xf numFmtId="41" fontId="10" fillId="0" borderId="0" xfId="0" applyNumberFormat="1" applyFont="1" applyFill="1" applyBorder="1"/>
    <xf numFmtId="37" fontId="65" fillId="0" borderId="28" xfId="0" applyNumberFormat="1" applyFont="1" applyFill="1" applyBorder="1"/>
    <xf numFmtId="41" fontId="64" fillId="0" borderId="4" xfId="0" applyNumberFormat="1" applyFont="1" applyFill="1" applyBorder="1"/>
    <xf numFmtId="37" fontId="72" fillId="0" borderId="21" xfId="0" applyNumberFormat="1" applyFont="1" applyFill="1" applyBorder="1"/>
    <xf numFmtId="41" fontId="72" fillId="0" borderId="23" xfId="0" applyNumberFormat="1" applyFont="1" applyFill="1" applyBorder="1"/>
    <xf numFmtId="41" fontId="72" fillId="0" borderId="22" xfId="0" applyNumberFormat="1" applyFont="1" applyFill="1" applyBorder="1"/>
    <xf numFmtId="41" fontId="72" fillId="0" borderId="0" xfId="0" applyNumberFormat="1" applyFont="1" applyFill="1" applyBorder="1"/>
    <xf numFmtId="37" fontId="0" fillId="0" borderId="0" xfId="0" applyNumberFormat="1" applyFill="1"/>
    <xf numFmtId="165" fontId="10" fillId="0" borderId="24" xfId="109" applyNumberFormat="1" applyFont="1" applyFill="1" applyBorder="1"/>
    <xf numFmtId="165" fontId="10" fillId="0" borderId="6" xfId="109" applyNumberFormat="1" applyFont="1" applyFill="1" applyBorder="1"/>
    <xf numFmtId="0" fontId="72" fillId="0" borderId="0" xfId="0" applyFont="1" applyFill="1"/>
    <xf numFmtId="0" fontId="3" fillId="0" borderId="52" xfId="68" applyFill="1" applyBorder="1" applyAlignment="1">
      <alignment horizontal="center"/>
    </xf>
    <xf numFmtId="0" fontId="3" fillId="0" borderId="21" xfId="68" applyFill="1" applyBorder="1" applyAlignment="1">
      <alignment horizontal="center"/>
    </xf>
    <xf numFmtId="37" fontId="60" fillId="0" borderId="21" xfId="68" applyNumberFormat="1" applyFont="1" applyFill="1" applyBorder="1" applyAlignment="1">
      <alignment horizontal="center"/>
    </xf>
    <xf numFmtId="37" fontId="61" fillId="0" borderId="22" xfId="68" applyNumberFormat="1" applyFont="1" applyFill="1" applyBorder="1"/>
    <xf numFmtId="37" fontId="61" fillId="0" borderId="21" xfId="68" applyNumberFormat="1" applyFont="1" applyFill="1" applyBorder="1"/>
    <xf numFmtId="37" fontId="61" fillId="0" borderId="0" xfId="68" applyNumberFormat="1" applyFont="1" applyFill="1"/>
    <xf numFmtId="10" fontId="3" fillId="0" borderId="28" xfId="68" applyNumberFormat="1" applyFill="1" applyBorder="1"/>
    <xf numFmtId="10" fontId="41" fillId="0" borderId="28" xfId="68" applyNumberFormat="1" applyFont="1" applyFill="1" applyBorder="1"/>
    <xf numFmtId="9" fontId="3" fillId="0" borderId="28" xfId="68" applyNumberFormat="1" applyFill="1" applyBorder="1"/>
    <xf numFmtId="38" fontId="3" fillId="0" borderId="21" xfId="68" applyNumberFormat="1" applyFill="1" applyBorder="1"/>
    <xf numFmtId="10" fontId="3" fillId="0" borderId="21" xfId="68" applyNumberFormat="1" applyFill="1" applyBorder="1"/>
    <xf numFmtId="38" fontId="3" fillId="0" borderId="28" xfId="68" applyNumberFormat="1" applyFill="1" applyBorder="1"/>
    <xf numFmtId="0" fontId="59" fillId="0" borderId="0" xfId="68" applyFont="1" applyFill="1" applyAlignment="1">
      <alignment horizontal="center"/>
    </xf>
    <xf numFmtId="0" fontId="3" fillId="0" borderId="21" xfId="68" applyFill="1" applyBorder="1"/>
    <xf numFmtId="37" fontId="3" fillId="0" borderId="21" xfId="68" applyNumberFormat="1" applyFill="1" applyBorder="1"/>
    <xf numFmtId="38" fontId="3" fillId="0" borderId="21" xfId="68" applyNumberFormat="1" applyFont="1" applyFill="1" applyBorder="1"/>
    <xf numFmtId="0" fontId="3" fillId="0" borderId="0" xfId="68" applyFont="1" applyFill="1"/>
    <xf numFmtId="10" fontId="59" fillId="0" borderId="0" xfId="68" applyNumberFormat="1" applyFont="1" applyFill="1" applyAlignment="1">
      <alignment horizontal="center"/>
    </xf>
    <xf numFmtId="175" fontId="60" fillId="0" borderId="21" xfId="68" applyNumberFormat="1" applyFont="1" applyFill="1" applyBorder="1"/>
    <xf numFmtId="38" fontId="3" fillId="0" borderId="21" xfId="68" applyNumberFormat="1" applyFill="1" applyBorder="1" applyAlignment="1">
      <alignment horizontal="center"/>
    </xf>
    <xf numFmtId="37" fontId="60" fillId="0" borderId="21" xfId="68" applyNumberFormat="1" applyFont="1" applyFill="1" applyBorder="1"/>
    <xf numFmtId="38" fontId="60" fillId="0" borderId="21" xfId="68" applyNumberFormat="1" applyFont="1" applyFill="1" applyBorder="1"/>
    <xf numFmtId="37" fontId="62" fillId="0" borderId="21" xfId="68" applyNumberFormat="1" applyFont="1" applyFill="1" applyBorder="1"/>
    <xf numFmtId="37" fontId="58" fillId="0" borderId="55" xfId="68" applyNumberFormat="1" applyFont="1" applyFill="1" applyBorder="1"/>
    <xf numFmtId="38" fontId="58" fillId="0" borderId="53" xfId="68" applyNumberFormat="1" applyFont="1" applyFill="1" applyBorder="1"/>
    <xf numFmtId="38" fontId="3" fillId="0" borderId="0" xfId="68" applyNumberFormat="1" applyFill="1"/>
    <xf numFmtId="0" fontId="3" fillId="0" borderId="0" xfId="68" applyFill="1"/>
    <xf numFmtId="37" fontId="3" fillId="0" borderId="0" xfId="68" applyNumberFormat="1" applyFill="1"/>
    <xf numFmtId="0" fontId="58" fillId="0" borderId="0" xfId="112" applyFont="1" applyFill="1" applyBorder="1" applyAlignment="1">
      <alignment horizontal="right"/>
    </xf>
    <xf numFmtId="164" fontId="65" fillId="0" borderId="26" xfId="1" applyNumberFormat="1" applyFont="1" applyFill="1" applyBorder="1"/>
    <xf numFmtId="38" fontId="3" fillId="0" borderId="2" xfId="68" applyNumberFormat="1" applyFill="1" applyBorder="1"/>
    <xf numFmtId="0" fontId="0" fillId="0" borderId="0" xfId="0" quotePrefix="1" applyFill="1" applyAlignment="1">
      <alignment horizontal="center"/>
    </xf>
    <xf numFmtId="165" fontId="56" fillId="0" borderId="2" xfId="0" applyNumberFormat="1" applyFont="1" applyFill="1" applyBorder="1"/>
    <xf numFmtId="17" fontId="0" fillId="0" borderId="4" xfId="0" applyNumberFormat="1" applyFill="1" applyBorder="1" applyAlignment="1">
      <alignment horizontal="center" wrapText="1"/>
    </xf>
    <xf numFmtId="168" fontId="0" fillId="0" borderId="0" xfId="0" applyNumberFormat="1" applyFont="1" applyFill="1" applyAlignment="1">
      <alignment horizontal="center"/>
    </xf>
    <xf numFmtId="165" fontId="0" fillId="0" borderId="0" xfId="0" applyNumberFormat="1" applyFill="1"/>
    <xf numFmtId="164" fontId="0" fillId="0" borderId="0" xfId="0" applyNumberFormat="1" applyFill="1"/>
    <xf numFmtId="165" fontId="6" fillId="0" borderId="2" xfId="0" applyNumberFormat="1" applyFont="1" applyFill="1" applyBorder="1"/>
    <xf numFmtId="43" fontId="0" fillId="0" borderId="0" xfId="0" applyNumberFormat="1" applyFill="1"/>
    <xf numFmtId="0" fontId="2" fillId="0" borderId="0" xfId="72" applyFont="1" applyFill="1" applyAlignment="1"/>
    <xf numFmtId="0" fontId="52" fillId="0" borderId="0" xfId="72" applyFont="1" applyFill="1"/>
    <xf numFmtId="0" fontId="1" fillId="0" borderId="34" xfId="72" applyFill="1" applyBorder="1"/>
    <xf numFmtId="0" fontId="17" fillId="0" borderId="35" xfId="72" applyFont="1" applyFill="1" applyBorder="1"/>
    <xf numFmtId="0" fontId="17" fillId="0" borderId="36" xfId="72" applyFont="1" applyFill="1" applyBorder="1"/>
    <xf numFmtId="0" fontId="1" fillId="0" borderId="22" xfId="72" applyFill="1" applyBorder="1"/>
    <xf numFmtId="0" fontId="52" fillId="0" borderId="10" xfId="72" applyFont="1" applyFill="1" applyBorder="1" applyAlignment="1">
      <alignment horizontal="centerContinuous"/>
    </xf>
    <xf numFmtId="0" fontId="1" fillId="0" borderId="6" xfId="72" applyFill="1" applyBorder="1" applyAlignment="1">
      <alignment horizontal="centerContinuous"/>
    </xf>
    <xf numFmtId="0" fontId="1" fillId="0" borderId="37" xfId="72" applyFill="1" applyBorder="1" applyAlignment="1">
      <alignment horizontal="centerContinuous"/>
    </xf>
    <xf numFmtId="0" fontId="52" fillId="0" borderId="6" xfId="72" applyFont="1" applyFill="1" applyBorder="1" applyAlignment="1">
      <alignment horizontal="centerContinuous"/>
    </xf>
    <xf numFmtId="0" fontId="1" fillId="0" borderId="11" xfId="72" applyFill="1" applyBorder="1" applyAlignment="1">
      <alignment horizontal="centerContinuous"/>
    </xf>
    <xf numFmtId="0" fontId="1" fillId="0" borderId="23" xfId="72" applyFill="1" applyBorder="1"/>
    <xf numFmtId="0" fontId="1" fillId="0" borderId="0" xfId="72" applyFill="1" applyBorder="1"/>
    <xf numFmtId="0" fontId="1" fillId="0" borderId="0" xfId="72" applyFill="1" applyBorder="1" applyAlignment="1">
      <alignment horizontal="center"/>
    </xf>
    <xf numFmtId="0" fontId="1" fillId="0" borderId="12" xfId="72" applyFill="1" applyBorder="1" applyAlignment="1">
      <alignment horizontal="center"/>
    </xf>
    <xf numFmtId="0" fontId="1" fillId="0" borderId="1" xfId="72" applyFill="1" applyBorder="1" applyAlignment="1">
      <alignment horizontal="center"/>
    </xf>
    <xf numFmtId="0" fontId="1" fillId="0" borderId="38" xfId="72" applyFill="1" applyBorder="1"/>
    <xf numFmtId="0" fontId="1" fillId="0" borderId="1" xfId="72" applyFill="1" applyBorder="1"/>
    <xf numFmtId="0" fontId="1" fillId="0" borderId="13" xfId="72" applyFill="1" applyBorder="1"/>
    <xf numFmtId="0" fontId="1" fillId="0" borderId="23" xfId="72" applyFill="1" applyBorder="1" applyAlignment="1">
      <alignment horizontal="center"/>
    </xf>
    <xf numFmtId="0" fontId="1" fillId="0" borderId="14" xfId="72" applyFill="1" applyBorder="1" applyAlignment="1">
      <alignment horizontal="center"/>
    </xf>
    <xf numFmtId="0" fontId="1" fillId="0" borderId="15" xfId="72" applyFill="1" applyBorder="1" applyAlignment="1">
      <alignment horizontal="center"/>
    </xf>
    <xf numFmtId="0" fontId="1" fillId="0" borderId="40" xfId="72" applyFill="1" applyBorder="1" applyAlignment="1">
      <alignment horizontal="center"/>
    </xf>
    <xf numFmtId="0" fontId="1" fillId="0" borderId="8" xfId="72" applyFill="1" applyBorder="1" applyAlignment="1">
      <alignment horizontal="center"/>
    </xf>
    <xf numFmtId="0" fontId="53" fillId="0" borderId="0" xfId="72" quotePrefix="1" applyFont="1" applyFill="1" applyAlignment="1">
      <alignment horizontal="center"/>
    </xf>
    <xf numFmtId="0" fontId="43" fillId="0" borderId="0" xfId="72" applyFont="1" applyFill="1" applyBorder="1" applyAlignment="1">
      <alignment horizontal="centerContinuous"/>
    </xf>
    <xf numFmtId="0" fontId="1" fillId="0" borderId="39" xfId="72" applyFill="1" applyBorder="1"/>
    <xf numFmtId="0" fontId="1" fillId="0" borderId="9" xfId="72" applyFill="1" applyBorder="1"/>
    <xf numFmtId="0" fontId="1" fillId="0" borderId="14" xfId="72" applyFill="1" applyBorder="1"/>
    <xf numFmtId="42" fontId="1" fillId="0" borderId="39" xfId="72" applyNumberFormat="1" applyFill="1" applyBorder="1"/>
    <xf numFmtId="42" fontId="1" fillId="0" borderId="14" xfId="72" applyNumberFormat="1" applyFill="1" applyBorder="1"/>
    <xf numFmtId="42" fontId="1" fillId="0" borderId="23" xfId="72" applyNumberFormat="1" applyFont="1" applyFill="1" applyBorder="1"/>
    <xf numFmtId="0" fontId="1" fillId="0" borderId="0" xfId="72" applyFont="1" applyFill="1" applyBorder="1"/>
    <xf numFmtId="41" fontId="1" fillId="0" borderId="23" xfId="72" applyNumberFormat="1" applyFill="1" applyBorder="1"/>
    <xf numFmtId="41" fontId="1" fillId="0" borderId="31" xfId="72" applyNumberFormat="1" applyFill="1" applyBorder="1"/>
    <xf numFmtId="41" fontId="1" fillId="0" borderId="41" xfId="72" applyNumberFormat="1" applyFill="1" applyBorder="1"/>
    <xf numFmtId="41" fontId="1" fillId="0" borderId="32" xfId="3" applyNumberFormat="1" applyFont="1" applyFill="1" applyBorder="1"/>
    <xf numFmtId="42" fontId="1" fillId="0" borderId="3" xfId="72" applyNumberFormat="1" applyFill="1" applyBorder="1"/>
    <xf numFmtId="0" fontId="1" fillId="0" borderId="0" xfId="72" applyFill="1" applyAlignment="1">
      <alignment horizontal="centerContinuous"/>
    </xf>
    <xf numFmtId="0" fontId="1" fillId="0" borderId="0" xfId="72" applyFill="1" applyAlignment="1">
      <alignment horizontal="center"/>
    </xf>
    <xf numFmtId="0" fontId="1" fillId="0" borderId="22" xfId="72" applyFill="1" applyBorder="1" applyAlignment="1">
      <alignment horizontal="center"/>
    </xf>
    <xf numFmtId="0" fontId="54" fillId="0" borderId="0" xfId="72" applyFont="1" applyFill="1" applyAlignment="1">
      <alignment horizontal="center"/>
    </xf>
    <xf numFmtId="0" fontId="1" fillId="0" borderId="23" xfId="72" applyFont="1" applyFill="1" applyBorder="1" applyAlignment="1">
      <alignment horizontal="center"/>
    </xf>
    <xf numFmtId="0" fontId="54" fillId="0" borderId="0" xfId="72" applyFont="1" applyFill="1" applyBorder="1" applyAlignment="1">
      <alignment horizontal="center"/>
    </xf>
    <xf numFmtId="0" fontId="54" fillId="0" borderId="22" xfId="72" applyFont="1" applyFill="1" applyBorder="1" applyAlignment="1">
      <alignment horizontal="center"/>
    </xf>
    <xf numFmtId="42" fontId="1" fillId="0" borderId="23" xfId="72" applyNumberFormat="1" applyFill="1" applyBorder="1"/>
    <xf numFmtId="41" fontId="1" fillId="0" borderId="22" xfId="72" applyNumberFormat="1" applyFill="1" applyBorder="1"/>
    <xf numFmtId="4" fontId="1" fillId="0" borderId="0" xfId="72" applyNumberFormat="1" applyFill="1"/>
    <xf numFmtId="41" fontId="1" fillId="0" borderId="51" xfId="72" applyNumberFormat="1" applyFill="1" applyBorder="1"/>
    <xf numFmtId="41" fontId="1" fillId="0" borderId="7" xfId="72" applyNumberFormat="1" applyFill="1" applyBorder="1"/>
    <xf numFmtId="41" fontId="1" fillId="0" borderId="17" xfId="72" applyNumberFormat="1" applyFill="1" applyBorder="1"/>
    <xf numFmtId="0" fontId="54" fillId="0" borderId="23" xfId="72" applyFont="1" applyFill="1" applyBorder="1"/>
    <xf numFmtId="0" fontId="58" fillId="0" borderId="0" xfId="68" applyFont="1" applyFill="1" applyAlignment="1">
      <alignment horizontal="right"/>
    </xf>
    <xf numFmtId="174" fontId="57" fillId="0" borderId="0" xfId="68" applyNumberFormat="1" applyFont="1" applyFill="1" applyAlignment="1">
      <alignment horizontal="centerContinuous"/>
    </xf>
    <xf numFmtId="0" fontId="3" fillId="0" borderId="0" xfId="68" applyFill="1" applyAlignment="1">
      <alignment horizontal="centerContinuous"/>
    </xf>
    <xf numFmtId="0" fontId="58" fillId="0" borderId="0" xfId="68" applyFont="1" applyFill="1" applyAlignment="1">
      <alignment horizontal="centerContinuous"/>
    </xf>
    <xf numFmtId="16" fontId="57" fillId="0" borderId="3" xfId="68" applyNumberFormat="1" applyFont="1" applyFill="1" applyBorder="1" applyAlignment="1">
      <alignment horizontal="centerContinuous"/>
    </xf>
    <xf numFmtId="0" fontId="3" fillId="0" borderId="3" xfId="68" applyFill="1" applyBorder="1" applyAlignment="1">
      <alignment horizontal="centerContinuous"/>
    </xf>
    <xf numFmtId="0" fontId="3" fillId="0" borderId="0" xfId="68" applyFont="1" applyFill="1" applyAlignment="1">
      <alignment horizontal="left"/>
    </xf>
    <xf numFmtId="0" fontId="3" fillId="0" borderId="3" xfId="68" applyFill="1" applyBorder="1"/>
    <xf numFmtId="0" fontId="58" fillId="0" borderId="53" xfId="68" applyFont="1" applyFill="1" applyBorder="1" applyAlignment="1">
      <alignment horizontal="center"/>
    </xf>
    <xf numFmtId="0" fontId="58" fillId="0" borderId="54" xfId="68" applyFont="1" applyFill="1" applyBorder="1" applyAlignment="1">
      <alignment horizontal="center"/>
    </xf>
    <xf numFmtId="0" fontId="3" fillId="0" borderId="53" xfId="68" applyFill="1" applyBorder="1" applyAlignment="1">
      <alignment horizontal="center"/>
    </xf>
    <xf numFmtId="0" fontId="3" fillId="0" borderId="0" xfId="68" quotePrefix="1" applyFont="1" applyFill="1"/>
    <xf numFmtId="0" fontId="3" fillId="0" borderId="0" xfId="68" quotePrefix="1" applyFill="1"/>
    <xf numFmtId="37" fontId="61" fillId="0" borderId="21" xfId="68" applyNumberFormat="1" applyFont="1" applyFill="1" applyBorder="1" applyAlignment="1">
      <alignment horizontal="center"/>
    </xf>
    <xf numFmtId="14" fontId="3" fillId="0" borderId="22" xfId="68" applyNumberFormat="1" applyFill="1" applyBorder="1" applyAlignment="1">
      <alignment horizontal="center"/>
    </xf>
    <xf numFmtId="0" fontId="4" fillId="0" borderId="0" xfId="68" applyFont="1" applyFill="1"/>
    <xf numFmtId="0" fontId="57" fillId="0" borderId="0" xfId="68" applyFont="1" applyFill="1" applyAlignment="1">
      <alignment horizontal="center"/>
    </xf>
    <xf numFmtId="0" fontId="3" fillId="0" borderId="0" xfId="68" applyFont="1" applyFill="1" applyAlignment="1">
      <alignment horizontal="center"/>
    </xf>
    <xf numFmtId="0" fontId="40" fillId="0" borderId="0" xfId="68" applyFont="1" applyFill="1"/>
    <xf numFmtId="0" fontId="3" fillId="0" borderId="0" xfId="68" applyFont="1" applyFill="1" applyAlignment="1">
      <alignment horizontal="right"/>
    </xf>
    <xf numFmtId="0" fontId="58" fillId="0" borderId="0" xfId="68" applyFont="1" applyFill="1" applyAlignment="1">
      <alignment horizontal="center"/>
    </xf>
    <xf numFmtId="0" fontId="63" fillId="0" borderId="0" xfId="68" applyFont="1" applyFill="1" applyBorder="1"/>
    <xf numFmtId="37" fontId="63" fillId="0" borderId="0" xfId="68" applyNumberFormat="1" applyFont="1" applyFill="1" applyBorder="1"/>
    <xf numFmtId="0" fontId="3" fillId="0" borderId="0" xfId="112" applyFont="1" applyFill="1" applyBorder="1"/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3" fillId="0" borderId="0" xfId="0" applyFont="1" applyFill="1" applyAlignment="1">
      <alignment horizontal="center"/>
    </xf>
    <xf numFmtId="17" fontId="13" fillId="0" borderId="0" xfId="0" applyNumberFormat="1" applyFont="1" applyFill="1" applyAlignment="1">
      <alignment horizontal="center"/>
    </xf>
  </cellXfs>
  <cellStyles count="113">
    <cellStyle name="20% - Accent1 2" xfId="4"/>
    <cellStyle name="20% - Accent1 2 2" xfId="5"/>
    <cellStyle name="20% - Accent2 2" xfId="6"/>
    <cellStyle name="20% - Accent2 2 2" xfId="7"/>
    <cellStyle name="20% - Accent3 2" xfId="8"/>
    <cellStyle name="20% - Accent3 2 2" xfId="9"/>
    <cellStyle name="20% - Accent4 2" xfId="10"/>
    <cellStyle name="20% - Accent4 2 2" xfId="11"/>
    <cellStyle name="20% - Accent5 2" xfId="12"/>
    <cellStyle name="20% - Accent5 2 2" xfId="13"/>
    <cellStyle name="20% - Accent6 2" xfId="14"/>
    <cellStyle name="20% - Accent6 2 2" xfId="15"/>
    <cellStyle name="40% - Accent1 2" xfId="16"/>
    <cellStyle name="40% - Accent1 2 2" xfId="17"/>
    <cellStyle name="40% - Accent2 2" xfId="18"/>
    <cellStyle name="40% - Accent2 2 2" xfId="19"/>
    <cellStyle name="40% - Accent3 2" xfId="20"/>
    <cellStyle name="40% - Accent3 2 2" xfId="21"/>
    <cellStyle name="40% - Accent4 2" xfId="22"/>
    <cellStyle name="40% - Accent4 2 2" xfId="23"/>
    <cellStyle name="40% - Accent5 2" xfId="24"/>
    <cellStyle name="40% - Accent5 2 2" xfId="25"/>
    <cellStyle name="40% - Accent6 2" xfId="26"/>
    <cellStyle name="40% - Accent6 2 2" xfId="27"/>
    <cellStyle name="60% - Accent1 2" xfId="28"/>
    <cellStyle name="60% - Accent2 2" xfId="29"/>
    <cellStyle name="60% - Accent3 2" xfId="30"/>
    <cellStyle name="60% - Accent4 2" xfId="31"/>
    <cellStyle name="60% - Accent5 2" xfId="32"/>
    <cellStyle name="60% - Accent6 2" xfId="33"/>
    <cellStyle name="Accent1 2" xfId="34"/>
    <cellStyle name="Accent2 2" xfId="35"/>
    <cellStyle name="Accent3 2" xfId="36"/>
    <cellStyle name="Accent4 2" xfId="37"/>
    <cellStyle name="Accent5 2" xfId="38"/>
    <cellStyle name="Accent6 2" xfId="39"/>
    <cellStyle name="Bad 2" xfId="40"/>
    <cellStyle name="Calculation 2" xfId="41"/>
    <cellStyle name="Check Cell 2" xfId="42"/>
    <cellStyle name="Comma" xfId="1" builtinId="3"/>
    <cellStyle name="Comma 2" xfId="3"/>
    <cellStyle name="Comma 2 2" xfId="43"/>
    <cellStyle name="Comma 2 2 2" xfId="100"/>
    <cellStyle name="Comma 2 3" xfId="101"/>
    <cellStyle name="Comma 3" xfId="44"/>
    <cellStyle name="Comma 3 2" xfId="102"/>
    <cellStyle name="Comma 4" xfId="45"/>
    <cellStyle name="Comma 4 2" xfId="46"/>
    <cellStyle name="Comma 4 3" xfId="47"/>
    <cellStyle name="Comma 4 4" xfId="48"/>
    <cellStyle name="Comma 4 5" xfId="49"/>
    <cellStyle name="Comma 5" xfId="50"/>
    <cellStyle name="Comma 6" xfId="51"/>
    <cellStyle name="Comma 6 2" xfId="52"/>
    <cellStyle name="Comma 6 3" xfId="53"/>
    <cellStyle name="Comma 6 4" xfId="54"/>
    <cellStyle name="Comma 6 5" xfId="55"/>
    <cellStyle name="Comma 7" xfId="56"/>
    <cellStyle name="Currency" xfId="109" builtinId="4"/>
    <cellStyle name="Currency 2" xfId="57"/>
    <cellStyle name="Currency 2 2" xfId="103"/>
    <cellStyle name="Currency 3" xfId="58"/>
    <cellStyle name="Explanatory Text 2" xfId="59"/>
    <cellStyle name="Good 2" xfId="60"/>
    <cellStyle name="Heading 1 2" xfId="61"/>
    <cellStyle name="Heading 2 2" xfId="62"/>
    <cellStyle name="Heading 3 2" xfId="63"/>
    <cellStyle name="Heading 4 2" xfId="64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104"/>
    <cellStyle name="Normal 2 3" xfId="70"/>
    <cellStyle name="Normal 2 3 2" xfId="105"/>
    <cellStyle name="Normal 2 4" xfId="71"/>
    <cellStyle name="Normal 2 4 2" xfId="106"/>
    <cellStyle name="Normal 2 5" xfId="72"/>
    <cellStyle name="Normal 2 5 2" xfId="73"/>
    <cellStyle name="Normal 2 5 3" xfId="2"/>
    <cellStyle name="Normal 2 5 4" xfId="111"/>
    <cellStyle name="Normal 3" xfId="74"/>
    <cellStyle name="Normal 3 2" xfId="75"/>
    <cellStyle name="Normal 3 2 2" xfId="76"/>
    <cellStyle name="Normal 3 2 3" xfId="77"/>
    <cellStyle name="Normal 3 2 4" xfId="78"/>
    <cellStyle name="Normal 3 2 5" xfId="79"/>
    <cellStyle name="Normal 3 3" xfId="107"/>
    <cellStyle name="Normal 4" xfId="80"/>
    <cellStyle name="Normal 5" xfId="81"/>
    <cellStyle name="Normal 5 2" xfId="82"/>
    <cellStyle name="Normal 5 3" xfId="83"/>
    <cellStyle name="Normal 5 4" xfId="84"/>
    <cellStyle name="Normal 5 5" xfId="85"/>
    <cellStyle name="Normal 6" xfId="86"/>
    <cellStyle name="Normal 7" xfId="87"/>
    <cellStyle name="Normal 7 2" xfId="88"/>
    <cellStyle name="Normal 7 3" xfId="89"/>
    <cellStyle name="Normal 7 4" xfId="90"/>
    <cellStyle name="Normal 7 5" xfId="91"/>
    <cellStyle name="Normal 8" xfId="110"/>
    <cellStyle name="Normal 8 2" xfId="112"/>
    <cellStyle name="Note 2" xfId="92"/>
    <cellStyle name="Note 2 2" xfId="93"/>
    <cellStyle name="Output 2" xfId="94"/>
    <cellStyle name="Percent 2" xfId="95"/>
    <cellStyle name="Percent 2 2" xfId="108"/>
    <cellStyle name="Percent 3" xfId="96"/>
    <cellStyle name="Title 2" xfId="97"/>
    <cellStyle name="Total 2" xfId="98"/>
    <cellStyle name="Warning Text 2" xfId="99"/>
  </cellStyles>
  <dxfs count="0"/>
  <tableStyles count="0" defaultTableStyle="TableStyleMedium2" defaultPivotStyle="PivotStyleLight16"/>
  <colors>
    <mruColors>
      <color rgb="FF66FF66"/>
      <color rgb="FF0000FF"/>
      <color rgb="FFD6009E"/>
      <color rgb="FFCCFF33"/>
      <color rgb="FFFFCCFF"/>
      <color rgb="FF7500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552450</xdr:colOff>
      <xdr:row>2</xdr:row>
      <xdr:rowOff>123825</xdr:rowOff>
    </xdr:from>
    <xdr:to>
      <xdr:col>53</xdr:col>
      <xdr:colOff>513059</xdr:colOff>
      <xdr:row>21</xdr:row>
      <xdr:rowOff>59936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11300" y="454025"/>
          <a:ext cx="10323809" cy="30920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Compliance%20Filing/190529-30-PSE-WP-Cmpl-RevReq-COS-(9-23-20)(C)/190529-30-PSE-WP-SEF-18.00G-GAS-MODEL-19GRC-0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Appendix A"/>
      <sheetName val="BR 11 &amp; Other Adjs"/>
      <sheetName val="COC-Restating"/>
      <sheetName val="Summary"/>
      <sheetName val="Detailed Summary"/>
      <sheetName val="Common Adj"/>
      <sheetName val="Gas Adj"/>
      <sheetName val="Named Ranges G"/>
      <sheetName val="Combined Impacts"/>
      <sheetName val="Sch. 141X Reven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8">
          <cell r="C8" t="str">
            <v>PUGET SOUND ENERGY - NATURAL GAS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zoomScale="90" zoomScaleNormal="90" workbookViewId="0">
      <pane xSplit="2" ySplit="4" topLeftCell="C5" activePane="bottomRight" state="frozen"/>
      <selection activeCell="B31" sqref="B31"/>
      <selection pane="topRight" activeCell="B31" sqref="B31"/>
      <selection pane="bottomLeft" activeCell="B31" sqref="B31"/>
      <selection pane="bottomRight" activeCell="B39" sqref="B39"/>
    </sheetView>
  </sheetViews>
  <sheetFormatPr defaultColWidth="9.140625" defaultRowHeight="15" x14ac:dyDescent="0.25"/>
  <cols>
    <col min="1" max="1" width="5.140625" style="17" customWidth="1"/>
    <col min="2" max="2" width="46.28515625" style="2" bestFit="1" customWidth="1"/>
    <col min="3" max="3" width="8.85546875" style="36" bestFit="1" customWidth="1"/>
    <col min="4" max="4" width="14" style="2" bestFit="1" customWidth="1"/>
    <col min="5" max="6" width="13.28515625" style="2" bestFit="1" customWidth="1"/>
    <col min="7" max="7" width="3.7109375" style="2" customWidth="1"/>
    <col min="8" max="8" width="13.7109375" style="2" bestFit="1" customWidth="1"/>
    <col min="9" max="9" width="13.42578125" style="2" bestFit="1" customWidth="1"/>
    <col min="10" max="10" width="14.5703125" style="2" bestFit="1" customWidth="1"/>
    <col min="11" max="16384" width="9.140625" style="2"/>
  </cols>
  <sheetData>
    <row r="1" spans="1:10" ht="18.75" x14ac:dyDescent="0.3">
      <c r="A1" s="33" t="s">
        <v>227</v>
      </c>
      <c r="C1" s="34"/>
    </row>
    <row r="2" spans="1:10" ht="18.75" x14ac:dyDescent="0.3">
      <c r="B2" s="33"/>
      <c r="C2" s="34"/>
    </row>
    <row r="3" spans="1:10" x14ac:dyDescent="0.25">
      <c r="D3" s="37" t="s">
        <v>22</v>
      </c>
      <c r="E3" s="38"/>
      <c r="F3" s="39"/>
      <c r="H3" s="37" t="s">
        <v>23</v>
      </c>
      <c r="I3" s="39"/>
      <c r="J3" s="39"/>
    </row>
    <row r="4" spans="1:10" x14ac:dyDescent="0.25">
      <c r="D4" s="40" t="s">
        <v>0</v>
      </c>
      <c r="E4" s="40" t="s">
        <v>1</v>
      </c>
      <c r="F4" s="40" t="s">
        <v>2</v>
      </c>
      <c r="H4" s="40" t="s">
        <v>0</v>
      </c>
      <c r="I4" s="40" t="s">
        <v>1</v>
      </c>
      <c r="J4" s="40" t="s">
        <v>2</v>
      </c>
    </row>
    <row r="5" spans="1:10" x14ac:dyDescent="0.25">
      <c r="H5" s="2">
        <f>+'E Conv Fctr'!D18</f>
        <v>0.95111500000000004</v>
      </c>
      <c r="I5" s="2">
        <f>+'G Conv Fctr'!E18</f>
        <v>0.95455299999999998</v>
      </c>
    </row>
    <row r="6" spans="1:10" x14ac:dyDescent="0.25">
      <c r="A6" s="17">
        <v>1</v>
      </c>
      <c r="B6" s="2" t="s">
        <v>179</v>
      </c>
      <c r="C6" s="42"/>
      <c r="D6" s="13">
        <f>'2021 FINAL Rev Req'!D21</f>
        <v>53428159.695488028</v>
      </c>
      <c r="E6" s="13">
        <f>'2021 FINAL Rev Req'!E21</f>
        <v>20925693.974542998</v>
      </c>
      <c r="F6" s="13">
        <f>SUM(D6:E6)</f>
        <v>74353853.670031026</v>
      </c>
      <c r="H6" s="13">
        <f>D6/$H$5</f>
        <v>56174237.285173744</v>
      </c>
      <c r="I6" s="13">
        <f>E6/$I$5</f>
        <v>21921982.304327782</v>
      </c>
      <c r="J6" s="13">
        <f>SUM(H6:I6)</f>
        <v>78096219.58950153</v>
      </c>
    </row>
    <row r="8" spans="1:10" x14ac:dyDescent="0.25">
      <c r="A8" s="17">
        <v>2</v>
      </c>
      <c r="B8" s="2" t="s">
        <v>3</v>
      </c>
      <c r="E8" s="51"/>
    </row>
    <row r="9" spans="1:10" x14ac:dyDescent="0.25">
      <c r="A9" s="17">
        <v>3</v>
      </c>
      <c r="B9" s="41" t="s">
        <v>180</v>
      </c>
      <c r="C9" s="51"/>
      <c r="D9" s="3">
        <f>'2022 Final Payment'!C44</f>
        <v>50194093</v>
      </c>
      <c r="E9" s="3">
        <f>'2022 Final Payment'!C45</f>
        <v>20504150</v>
      </c>
      <c r="F9" s="3">
        <f>SUM(D9:E9)</f>
        <v>70698243</v>
      </c>
      <c r="H9" s="13">
        <f>D9/$H$5</f>
        <v>52773947.419607513</v>
      </c>
      <c r="I9" s="13">
        <f>E9/$I$5</f>
        <v>21480368.298041072</v>
      </c>
      <c r="J9" s="3">
        <f>SUM(H9:I9)</f>
        <v>74254315.717648581</v>
      </c>
    </row>
    <row r="10" spans="1:10" x14ac:dyDescent="0.25">
      <c r="A10" s="17">
        <v>4</v>
      </c>
      <c r="B10" s="41" t="s">
        <v>179</v>
      </c>
      <c r="C10" s="42" t="s">
        <v>24</v>
      </c>
      <c r="D10" s="3">
        <f>D6</f>
        <v>53428159.695488028</v>
      </c>
      <c r="E10" s="3">
        <f>E6</f>
        <v>20925693.974542998</v>
      </c>
      <c r="F10" s="3">
        <f>SUM(D10:E10)</f>
        <v>74353853.670031026</v>
      </c>
      <c r="H10" s="13">
        <f>D10/$H$5</f>
        <v>56174237.285173744</v>
      </c>
      <c r="I10" s="13">
        <f>E10/$I$5</f>
        <v>21921982.304327782</v>
      </c>
      <c r="J10" s="3">
        <f>SUM(H10:I10)</f>
        <v>78096219.58950153</v>
      </c>
    </row>
    <row r="11" spans="1:10" x14ac:dyDescent="0.25">
      <c r="A11" s="17">
        <v>5</v>
      </c>
      <c r="B11" s="2" t="s">
        <v>181</v>
      </c>
      <c r="D11" s="3">
        <f>'Elec Load Variance'!P35*H5</f>
        <v>-1800061.3179087457</v>
      </c>
      <c r="E11" s="3">
        <f>'Gas Load Variance'!O26*I5</f>
        <v>137451.57342060967</v>
      </c>
      <c r="F11" s="3">
        <f>SUM(D11:E11)</f>
        <v>-1662609.7444881361</v>
      </c>
      <c r="H11" s="13">
        <f>D11/$H$5</f>
        <v>-1892580.0958966536</v>
      </c>
      <c r="I11" s="13">
        <f>E11/$I$5</f>
        <v>143995.74818853397</v>
      </c>
      <c r="J11" s="3">
        <f>SUM(H11:I11)</f>
        <v>-1748584.3477081195</v>
      </c>
    </row>
    <row r="12" spans="1:10" x14ac:dyDescent="0.25">
      <c r="D12" s="14"/>
      <c r="E12" s="14"/>
      <c r="F12" s="14"/>
      <c r="H12" s="43">
        <f>'Elec Load Variance'!P35-'2022 FINAL Rev Req'!H11</f>
        <v>0</v>
      </c>
      <c r="I12" s="43">
        <f>'Gas Load Variance'!O26-'2022 FINAL Rev Req'!I11</f>
        <v>0</v>
      </c>
      <c r="J12" s="44" t="s">
        <v>121</v>
      </c>
    </row>
    <row r="13" spans="1:10" x14ac:dyDescent="0.25">
      <c r="A13" s="17">
        <v>6</v>
      </c>
      <c r="B13" s="2" t="s">
        <v>122</v>
      </c>
      <c r="C13" s="42" t="s">
        <v>26</v>
      </c>
      <c r="D13" s="3">
        <f>D9-D10+D11</f>
        <v>-5034128.0133967735</v>
      </c>
      <c r="E13" s="3">
        <f>E9-E10+E11</f>
        <v>-284092.40112238808</v>
      </c>
      <c r="F13" s="3">
        <f>SUM(D13:E13)</f>
        <v>-5318220.4145191619</v>
      </c>
      <c r="H13" s="3">
        <f>H9-H10+H11</f>
        <v>-5292869.9614628851</v>
      </c>
      <c r="I13" s="3">
        <f>I9-I10+I11</f>
        <v>-297618.25809817656</v>
      </c>
      <c r="J13" s="3">
        <f>SUM(H13:I13)</f>
        <v>-5590488.2195610618</v>
      </c>
    </row>
    <row r="14" spans="1:10" x14ac:dyDescent="0.25">
      <c r="D14" s="14"/>
      <c r="E14" s="14"/>
      <c r="F14" s="14"/>
      <c r="H14" s="14"/>
      <c r="I14" s="14"/>
      <c r="J14" s="14"/>
    </row>
    <row r="15" spans="1:10" ht="15.75" thickBot="1" x14ac:dyDescent="0.3">
      <c r="A15" s="17">
        <v>7</v>
      </c>
      <c r="B15" s="2" t="s">
        <v>21</v>
      </c>
      <c r="C15" s="42" t="s">
        <v>25</v>
      </c>
      <c r="D15" s="15">
        <f>D6+D13</f>
        <v>48394031.682091251</v>
      </c>
      <c r="E15" s="15">
        <f>E6+E13</f>
        <v>20641601.57342061</v>
      </c>
      <c r="F15" s="15">
        <f>SUM(D15:E15)</f>
        <v>69035633.255511865</v>
      </c>
      <c r="H15" s="15">
        <f>H6+H13</f>
        <v>50881367.323710859</v>
      </c>
      <c r="I15" s="15">
        <f>I6+I13</f>
        <v>21624364.046229605</v>
      </c>
      <c r="J15" s="15">
        <f>SUM(H15:I15)</f>
        <v>72505731.36994046</v>
      </c>
    </row>
    <row r="16" spans="1:10" ht="15.75" thickTop="1" x14ac:dyDescent="0.25"/>
    <row r="18" spans="1:10" x14ac:dyDescent="0.25">
      <c r="A18" s="17">
        <v>8</v>
      </c>
      <c r="B18" s="2" t="s">
        <v>4</v>
      </c>
      <c r="C18" s="42" t="s">
        <v>145</v>
      </c>
      <c r="D18" s="13">
        <f>D15-D19</f>
        <v>35611910.166166753</v>
      </c>
      <c r="E18" s="13">
        <f>E15-E19</f>
        <v>13770653.30201238</v>
      </c>
      <c r="F18" s="13">
        <f>SUM(D18:E18)</f>
        <v>49382563.468179137</v>
      </c>
      <c r="H18" s="13">
        <f>H15-H19</f>
        <v>37442275.819608308</v>
      </c>
      <c r="I18" s="13">
        <f>I15-I19</f>
        <v>14426284.661000885</v>
      </c>
      <c r="J18" s="13">
        <f>SUM(H18:I18)</f>
        <v>51868560.480609193</v>
      </c>
    </row>
    <row r="19" spans="1:10" x14ac:dyDescent="0.25">
      <c r="A19" s="17">
        <v>9</v>
      </c>
      <c r="B19" s="2" t="s">
        <v>5</v>
      </c>
      <c r="C19" s="51"/>
      <c r="D19" s="3">
        <f>'Electric summary'!G20</f>
        <v>12782121.5159245</v>
      </c>
      <c r="E19" s="3">
        <f>'Gas summary'!G20</f>
        <v>6870948.2714082301</v>
      </c>
      <c r="F19" s="3">
        <f>SUM(D19:E19)</f>
        <v>19653069.787332729</v>
      </c>
      <c r="H19" s="1">
        <f>D19/$H$5</f>
        <v>13439091.504102552</v>
      </c>
      <c r="I19" s="1">
        <f>E19/$I$5</f>
        <v>7198079.3852287196</v>
      </c>
      <c r="J19" s="3">
        <f>SUM(H19:I19)</f>
        <v>20637170.889331274</v>
      </c>
    </row>
    <row r="20" spans="1:10" x14ac:dyDescent="0.25">
      <c r="D20" s="14"/>
      <c r="E20" s="14"/>
      <c r="F20" s="14"/>
      <c r="H20" s="14"/>
      <c r="I20" s="14"/>
      <c r="J20" s="14"/>
    </row>
    <row r="21" spans="1:10" ht="15.75" thickBot="1" x14ac:dyDescent="0.3">
      <c r="A21" s="17">
        <v>10</v>
      </c>
      <c r="B21" s="2" t="s">
        <v>21</v>
      </c>
      <c r="C21" s="42" t="s">
        <v>27</v>
      </c>
      <c r="D21" s="15">
        <f>SUM(D18:D20)</f>
        <v>48394031.682091251</v>
      </c>
      <c r="E21" s="15">
        <f>SUM(E18:E20)</f>
        <v>20641601.57342061</v>
      </c>
      <c r="F21" s="15">
        <f>SUM(D21:E21)</f>
        <v>69035633.255511865</v>
      </c>
      <c r="H21" s="15">
        <f>SUM(H18:H19)</f>
        <v>50881367.323710859</v>
      </c>
      <c r="I21" s="15">
        <f>SUM(I18:I19)</f>
        <v>21624364.046229605</v>
      </c>
      <c r="J21" s="15">
        <f>SUM(H21:I21)</f>
        <v>72505731.36994046</v>
      </c>
    </row>
    <row r="22" spans="1:10" ht="15.75" thickTop="1" x14ac:dyDescent="0.25"/>
    <row r="23" spans="1:10" x14ac:dyDescent="0.25">
      <c r="D23" s="13"/>
      <c r="E23" s="13"/>
      <c r="F23" s="13"/>
    </row>
    <row r="24" spans="1:10" x14ac:dyDescent="0.25">
      <c r="A24" s="17">
        <v>11</v>
      </c>
      <c r="B24" s="2" t="s">
        <v>6</v>
      </c>
    </row>
    <row r="25" spans="1:10" x14ac:dyDescent="0.25">
      <c r="A25" s="17">
        <f>+A24+1</f>
        <v>12</v>
      </c>
      <c r="B25" s="41" t="s">
        <v>7</v>
      </c>
      <c r="D25" s="3">
        <f>-'2021 FINAL Rev Req'!D9+'2022 FINAL Rev Req'!D9</f>
        <v>-1195016.5</v>
      </c>
      <c r="E25" s="3">
        <f>-'2021 FINAL Rev Req'!E9+'2022 FINAL Rev Req'!E9</f>
        <v>1000008</v>
      </c>
      <c r="F25" s="3">
        <f>SUM(D25:E25)</f>
        <v>-195008.5</v>
      </c>
      <c r="H25" s="1">
        <f>D25/$H$5</f>
        <v>-1256437.4444730657</v>
      </c>
      <c r="I25" s="1">
        <f>E25/$I$5</f>
        <v>1047619.1473915016</v>
      </c>
      <c r="J25" s="3">
        <f>SUM(H25:I25)</f>
        <v>-208818.29708156409</v>
      </c>
    </row>
    <row r="26" spans="1:10" x14ac:dyDescent="0.25">
      <c r="A26" s="17">
        <f t="shared" ref="A26:A27" si="0">+A25+1</f>
        <v>13</v>
      </c>
      <c r="B26" s="41" t="s">
        <v>9</v>
      </c>
      <c r="D26" s="3">
        <f>-'2021 FINAL Rev Req'!D11+'2022 FINAL Rev Req'!D11</f>
        <v>-3839111.5133967767</v>
      </c>
      <c r="E26" s="3">
        <f>-'2021 FINAL Rev Req'!E11+'2022 FINAL Rev Req'!E11</f>
        <v>-1284100.4011223894</v>
      </c>
      <c r="F26" s="3">
        <f>SUM(D26:E26)</f>
        <v>-5123211.9145191666</v>
      </c>
      <c r="H26" s="1">
        <f>D26/$H$5</f>
        <v>-4036432.5169898239</v>
      </c>
      <c r="I26" s="1">
        <f>E26/$I$5</f>
        <v>-1345237.4054896787</v>
      </c>
      <c r="J26" s="3">
        <f>SUM(H26:I26)</f>
        <v>-5381669.9224795029</v>
      </c>
    </row>
    <row r="27" spans="1:10" ht="15.75" thickBot="1" x14ac:dyDescent="0.3">
      <c r="A27" s="17">
        <f t="shared" si="0"/>
        <v>14</v>
      </c>
      <c r="B27" s="2" t="s">
        <v>8</v>
      </c>
      <c r="D27" s="45">
        <f>SUM(D25:D26)</f>
        <v>-5034128.0133967772</v>
      </c>
      <c r="E27" s="45">
        <f>SUM(E25:E26)</f>
        <v>-284092.40112238936</v>
      </c>
      <c r="F27" s="45">
        <f>SUM(D27:E27)</f>
        <v>-5318220.4145191666</v>
      </c>
      <c r="H27" s="45">
        <f>SUM(H25:H26)</f>
        <v>-5292869.9614628898</v>
      </c>
      <c r="I27" s="45">
        <f>SUM(I25:I26)</f>
        <v>-297618.25809817715</v>
      </c>
      <c r="J27" s="45">
        <f>SUM(H27:I27)</f>
        <v>-5590488.2195610665</v>
      </c>
    </row>
    <row r="28" spans="1:10" ht="15.75" thickTop="1" x14ac:dyDescent="0.25">
      <c r="D28" s="16">
        <f>D27-D13</f>
        <v>0</v>
      </c>
      <c r="E28" s="16">
        <f>E27-E13</f>
        <v>-1.280568540096283E-9</v>
      </c>
      <c r="F28" s="16">
        <f>F27-F13</f>
        <v>0</v>
      </c>
      <c r="G28" s="46"/>
      <c r="H28" s="105">
        <f>H27-H13</f>
        <v>0</v>
      </c>
      <c r="I28" s="16">
        <f>I27-I13</f>
        <v>-5.8207660913467407E-10</v>
      </c>
      <c r="J28" s="16">
        <f>J27-J13</f>
        <v>0</v>
      </c>
    </row>
    <row r="29" spans="1:10" x14ac:dyDescent="0.25">
      <c r="D29" s="1"/>
      <c r="E29" s="1"/>
      <c r="H29" s="13"/>
      <c r="I29" s="13"/>
      <c r="J29" s="13"/>
    </row>
    <row r="30" spans="1:10" x14ac:dyDescent="0.25">
      <c r="A30" s="17">
        <f>+A27+1</f>
        <v>15</v>
      </c>
      <c r="B30" s="47" t="s">
        <v>74</v>
      </c>
      <c r="C30" s="42"/>
      <c r="H30" s="106">
        <f>H27/H6</f>
        <v>-9.4222373409239946E-2</v>
      </c>
      <c r="I30" s="106">
        <f>I27/I6</f>
        <v>-1.3576247529377035E-2</v>
      </c>
    </row>
    <row r="31" spans="1:10" x14ac:dyDescent="0.25">
      <c r="A31" s="17">
        <f>+A30+1</f>
        <v>16</v>
      </c>
      <c r="B31" s="47" t="s">
        <v>75</v>
      </c>
      <c r="H31" s="17" t="str">
        <f>IF(ABS(H30)&gt;1%,"yes","no")</f>
        <v>yes</v>
      </c>
      <c r="I31" s="17" t="str">
        <f>IF(ABS(I30)&gt;1%,"yes","no")</f>
        <v>yes</v>
      </c>
    </row>
    <row r="32" spans="1:10" x14ac:dyDescent="0.25">
      <c r="A32" s="17">
        <f t="shared" ref="A32:A33" si="1">+A31+1</f>
        <v>17</v>
      </c>
      <c r="B32" s="48" t="s">
        <v>28</v>
      </c>
    </row>
    <row r="33" spans="1:2" x14ac:dyDescent="0.25">
      <c r="A33" s="17">
        <f t="shared" si="1"/>
        <v>18</v>
      </c>
      <c r="B33" s="48" t="s">
        <v>29</v>
      </c>
    </row>
    <row r="35" spans="1:2" x14ac:dyDescent="0.25">
      <c r="B35" s="49"/>
    </row>
    <row r="36" spans="1:2" x14ac:dyDescent="0.25">
      <c r="B36" s="49"/>
    </row>
  </sheetData>
  <pageMargins left="0.7" right="0.7" top="0.75" bottom="0.75" header="0.3" footer="0.3"/>
  <pageSetup scale="8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31" sqref="B31"/>
    </sheetView>
  </sheetViews>
  <sheetFormatPr defaultRowHeight="15" x14ac:dyDescent="0.25"/>
  <cols>
    <col min="1" max="1" width="61.7109375" style="2" bestFit="1" customWidth="1"/>
    <col min="2" max="2" width="9.140625" style="2"/>
    <col min="3" max="3" width="7.28515625" style="2" bestFit="1" customWidth="1"/>
    <col min="4" max="4" width="7.42578125" style="2" bestFit="1" customWidth="1"/>
    <col min="5" max="16384" width="9.140625" style="2"/>
  </cols>
  <sheetData>
    <row r="1" spans="1:4" x14ac:dyDescent="0.25">
      <c r="A1" s="81"/>
      <c r="B1" s="76" t="s">
        <v>164</v>
      </c>
      <c r="C1" s="93"/>
      <c r="D1" s="77"/>
    </row>
    <row r="2" spans="1:4" x14ac:dyDescent="0.25">
      <c r="A2" s="94" t="s">
        <v>165</v>
      </c>
      <c r="B2" s="95"/>
      <c r="C2" s="95"/>
      <c r="D2" s="95"/>
    </row>
    <row r="3" spans="1:4" x14ac:dyDescent="0.25">
      <c r="A3" s="94" t="s">
        <v>166</v>
      </c>
      <c r="B3" s="95"/>
      <c r="C3" s="95"/>
      <c r="D3" s="95"/>
    </row>
    <row r="4" spans="1:4" x14ac:dyDescent="0.25">
      <c r="A4" s="94" t="s">
        <v>158</v>
      </c>
      <c r="B4" s="95"/>
      <c r="C4" s="95"/>
      <c r="D4" s="95"/>
    </row>
    <row r="5" spans="1:4" x14ac:dyDescent="0.25">
      <c r="A5" s="94" t="s">
        <v>159</v>
      </c>
      <c r="B5" s="95"/>
      <c r="C5" s="95"/>
      <c r="D5" s="95"/>
    </row>
    <row r="6" spans="1:4" x14ac:dyDescent="0.25">
      <c r="A6" s="94" t="s">
        <v>14</v>
      </c>
      <c r="B6" s="94"/>
      <c r="C6" s="94"/>
      <c r="D6" s="94"/>
    </row>
    <row r="7" spans="1:4" x14ac:dyDescent="0.25">
      <c r="A7" s="95"/>
      <c r="B7" s="95"/>
      <c r="C7" s="95"/>
      <c r="D7" s="95"/>
    </row>
    <row r="8" spans="1:4" x14ac:dyDescent="0.25">
      <c r="A8" s="95"/>
      <c r="B8" s="95"/>
      <c r="C8" s="95"/>
      <c r="D8" s="81"/>
    </row>
    <row r="9" spans="1:4" x14ac:dyDescent="0.25">
      <c r="A9" s="80"/>
      <c r="B9" s="80"/>
      <c r="C9" s="81"/>
      <c r="D9" s="81"/>
    </row>
    <row r="10" spans="1:4" x14ac:dyDescent="0.25">
      <c r="A10" s="82" t="s">
        <v>17</v>
      </c>
      <c r="B10" s="82"/>
      <c r="C10" s="83"/>
      <c r="D10" s="83"/>
    </row>
    <row r="11" spans="1:4" x14ac:dyDescent="0.25">
      <c r="A11" s="81"/>
      <c r="B11" s="81"/>
      <c r="C11" s="81"/>
      <c r="D11" s="81"/>
    </row>
    <row r="12" spans="1:4" x14ac:dyDescent="0.25">
      <c r="A12" s="96" t="s">
        <v>18</v>
      </c>
      <c r="B12" s="97"/>
      <c r="C12" s="97"/>
      <c r="D12" s="98">
        <v>8.4790000000000004E-3</v>
      </c>
    </row>
    <row r="13" spans="1:4" x14ac:dyDescent="0.25">
      <c r="A13" s="96" t="s">
        <v>19</v>
      </c>
      <c r="B13" s="97"/>
      <c r="C13" s="97"/>
      <c r="D13" s="98">
        <v>2E-3</v>
      </c>
    </row>
    <row r="14" spans="1:4" x14ac:dyDescent="0.25">
      <c r="A14" s="96" t="s">
        <v>167</v>
      </c>
      <c r="B14" s="81"/>
      <c r="C14" s="99">
        <v>3.8733999999999998E-2</v>
      </c>
      <c r="D14" s="100">
        <v>3.8406000000000003E-2</v>
      </c>
    </row>
    <row r="15" spans="1:4" x14ac:dyDescent="0.25">
      <c r="A15" s="96"/>
      <c r="B15" s="97"/>
      <c r="C15" s="97"/>
      <c r="D15" s="101"/>
    </row>
    <row r="16" spans="1:4" x14ac:dyDescent="0.25">
      <c r="A16" s="96" t="s">
        <v>20</v>
      </c>
      <c r="B16" s="97"/>
      <c r="C16" s="97"/>
      <c r="D16" s="98">
        <v>4.8884999999999998E-2</v>
      </c>
    </row>
    <row r="17" spans="1:4" x14ac:dyDescent="0.25">
      <c r="A17" s="97"/>
      <c r="B17" s="97"/>
      <c r="C17" s="97"/>
      <c r="D17" s="98"/>
    </row>
    <row r="18" spans="1:4" x14ac:dyDescent="0.25">
      <c r="A18" s="97" t="s">
        <v>161</v>
      </c>
      <c r="B18" s="97"/>
      <c r="C18" s="97"/>
      <c r="D18" s="98">
        <v>0.95111500000000004</v>
      </c>
    </row>
    <row r="19" spans="1:4" x14ac:dyDescent="0.25">
      <c r="A19" s="96" t="s">
        <v>162</v>
      </c>
      <c r="B19" s="97"/>
      <c r="C19" s="102">
        <v>0.21</v>
      </c>
      <c r="D19" s="98">
        <v>0.19973399999999999</v>
      </c>
    </row>
    <row r="20" spans="1:4" ht="15.75" thickBot="1" x14ac:dyDescent="0.3">
      <c r="A20" s="96" t="s">
        <v>163</v>
      </c>
      <c r="B20" s="97"/>
      <c r="C20" s="97"/>
      <c r="D20" s="103">
        <v>0.75138099999999997</v>
      </c>
    </row>
    <row r="21" spans="1:4" ht="15.75" thickTop="1" x14ac:dyDescent="0.25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N35" sqref="N35"/>
    </sheetView>
  </sheetViews>
  <sheetFormatPr defaultRowHeight="15" x14ac:dyDescent="0.25"/>
  <cols>
    <col min="1" max="1" width="5" style="2" bestFit="1" customWidth="1"/>
    <col min="2" max="2" width="75.42578125" style="2" bestFit="1" customWidth="1"/>
    <col min="3" max="3" width="9.140625" style="2"/>
    <col min="4" max="4" width="8.42578125" style="2" bestFit="1" customWidth="1"/>
    <col min="5" max="5" width="9.5703125" style="2" bestFit="1" customWidth="1"/>
    <col min="6" max="16384" width="9.140625" style="2"/>
  </cols>
  <sheetData>
    <row r="1" spans="1:5" x14ac:dyDescent="0.25">
      <c r="A1" s="75"/>
      <c r="B1" s="75"/>
      <c r="C1" s="75"/>
      <c r="D1" s="76" t="s">
        <v>155</v>
      </c>
      <c r="E1" s="77"/>
    </row>
    <row r="2" spans="1:5" x14ac:dyDescent="0.25">
      <c r="A2" s="78" t="s">
        <v>156</v>
      </c>
      <c r="B2" s="78"/>
      <c r="C2" s="79"/>
      <c r="D2" s="79"/>
      <c r="E2" s="79"/>
    </row>
    <row r="3" spans="1:5" x14ac:dyDescent="0.25">
      <c r="A3" s="78" t="s">
        <v>157</v>
      </c>
      <c r="B3" s="78"/>
      <c r="C3" s="79"/>
      <c r="D3" s="79"/>
      <c r="E3" s="79"/>
    </row>
    <row r="4" spans="1:5" x14ac:dyDescent="0.25">
      <c r="A4" s="78" t="s">
        <v>158</v>
      </c>
      <c r="B4" s="78"/>
      <c r="C4" s="79"/>
      <c r="D4" s="79"/>
      <c r="E4" s="79"/>
    </row>
    <row r="5" spans="1:5" x14ac:dyDescent="0.25">
      <c r="A5" s="78" t="s">
        <v>159</v>
      </c>
      <c r="B5" s="78"/>
      <c r="C5" s="79"/>
      <c r="D5" s="79"/>
      <c r="E5" s="79"/>
    </row>
    <row r="6" spans="1:5" x14ac:dyDescent="0.25">
      <c r="A6" s="78" t="s">
        <v>14</v>
      </c>
      <c r="B6" s="78"/>
      <c r="C6" s="78"/>
      <c r="D6" s="78"/>
      <c r="E6" s="78"/>
    </row>
    <row r="7" spans="1:5" x14ac:dyDescent="0.25">
      <c r="A7" s="79"/>
      <c r="B7" s="79"/>
      <c r="C7" s="79"/>
      <c r="D7" s="79"/>
      <c r="E7" s="79"/>
    </row>
    <row r="8" spans="1:5" x14ac:dyDescent="0.25">
      <c r="A8" s="79"/>
      <c r="B8" s="79"/>
      <c r="C8" s="79"/>
      <c r="D8" s="79"/>
      <c r="E8" s="75"/>
    </row>
    <row r="9" spans="1:5" x14ac:dyDescent="0.25">
      <c r="A9" s="80" t="s">
        <v>15</v>
      </c>
      <c r="B9" s="80"/>
      <c r="C9" s="80"/>
      <c r="D9" s="81"/>
      <c r="E9" s="81"/>
    </row>
    <row r="10" spans="1:5" x14ac:dyDescent="0.25">
      <c r="A10" s="82" t="s">
        <v>16</v>
      </c>
      <c r="B10" s="82" t="s">
        <v>17</v>
      </c>
      <c r="C10" s="82"/>
      <c r="D10" s="83"/>
      <c r="E10" s="83"/>
    </row>
    <row r="11" spans="1:5" x14ac:dyDescent="0.25">
      <c r="A11" s="75"/>
      <c r="B11" s="75"/>
      <c r="C11" s="75"/>
      <c r="D11" s="75"/>
      <c r="E11" s="75"/>
    </row>
    <row r="12" spans="1:5" x14ac:dyDescent="0.25">
      <c r="A12" s="84">
        <v>1</v>
      </c>
      <c r="B12" s="85" t="s">
        <v>18</v>
      </c>
      <c r="C12" s="86"/>
      <c r="D12" s="86"/>
      <c r="E12" s="87">
        <v>5.1240000000000001E-3</v>
      </c>
    </row>
    <row r="13" spans="1:5" x14ac:dyDescent="0.25">
      <c r="A13" s="84">
        <v>2</v>
      </c>
      <c r="B13" s="85" t="s">
        <v>19</v>
      </c>
      <c r="C13" s="86"/>
      <c r="D13" s="86"/>
      <c r="E13" s="87">
        <v>2E-3</v>
      </c>
    </row>
    <row r="14" spans="1:5" x14ac:dyDescent="0.25">
      <c r="A14" s="84">
        <v>3</v>
      </c>
      <c r="B14" s="85" t="s">
        <v>160</v>
      </c>
      <c r="C14" s="75"/>
      <c r="D14" s="88">
        <v>3.8519999999999999E-2</v>
      </c>
      <c r="E14" s="89">
        <v>3.8323000000000003E-2</v>
      </c>
    </row>
    <row r="15" spans="1:5" x14ac:dyDescent="0.25">
      <c r="A15" s="84">
        <v>4</v>
      </c>
      <c r="B15" s="85"/>
      <c r="C15" s="86"/>
      <c r="D15" s="86"/>
      <c r="E15" s="90"/>
    </row>
    <row r="16" spans="1:5" x14ac:dyDescent="0.25">
      <c r="A16" s="84">
        <v>5</v>
      </c>
      <c r="B16" s="85" t="s">
        <v>20</v>
      </c>
      <c r="C16" s="86"/>
      <c r="D16" s="86"/>
      <c r="E16" s="87">
        <v>4.5447000000000001E-2</v>
      </c>
    </row>
    <row r="17" spans="1:5" x14ac:dyDescent="0.25">
      <c r="A17" s="84">
        <v>6</v>
      </c>
      <c r="B17" s="86"/>
      <c r="C17" s="86"/>
      <c r="D17" s="86"/>
      <c r="E17" s="87"/>
    </row>
    <row r="18" spans="1:5" x14ac:dyDescent="0.25">
      <c r="A18" s="84">
        <v>7</v>
      </c>
      <c r="B18" s="86" t="s">
        <v>161</v>
      </c>
      <c r="C18" s="86"/>
      <c r="D18" s="86"/>
      <c r="E18" s="87">
        <v>0.95455299999999998</v>
      </c>
    </row>
    <row r="19" spans="1:5" x14ac:dyDescent="0.25">
      <c r="A19" s="84">
        <v>8</v>
      </c>
      <c r="B19" s="85" t="s">
        <v>162</v>
      </c>
      <c r="C19" s="86"/>
      <c r="D19" s="91">
        <v>0.21</v>
      </c>
      <c r="E19" s="87">
        <v>0.200456</v>
      </c>
    </row>
    <row r="20" spans="1:5" ht="15.75" thickBot="1" x14ac:dyDescent="0.3">
      <c r="A20" s="84">
        <v>9</v>
      </c>
      <c r="B20" s="85" t="s">
        <v>163</v>
      </c>
      <c r="C20" s="86"/>
      <c r="D20" s="86"/>
      <c r="E20" s="92">
        <v>0.75409700000000002</v>
      </c>
    </row>
    <row r="21" spans="1:5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7"/>
  <sheetViews>
    <sheetView workbookViewId="0">
      <selection activeCell="B31" sqref="B31"/>
    </sheetView>
  </sheetViews>
  <sheetFormatPr defaultColWidth="8.7109375" defaultRowHeight="12.75" x14ac:dyDescent="0.2"/>
  <cols>
    <col min="1" max="1" width="37.28515625" style="244" customWidth="1"/>
    <col min="2" max="2" width="11.5703125" style="244" customWidth="1"/>
    <col min="3" max="4" width="15.7109375" style="244" bestFit="1" customWidth="1"/>
    <col min="5" max="5" width="13.85546875" style="244" bestFit="1" customWidth="1"/>
    <col min="6" max="6" width="12.42578125" style="244" customWidth="1"/>
    <col min="7" max="7" width="13.140625" style="244" customWidth="1"/>
    <col min="8" max="8" width="13.28515625" style="244" customWidth="1"/>
    <col min="9" max="16384" width="8.7109375" style="244"/>
  </cols>
  <sheetData>
    <row r="1" spans="1:8" x14ac:dyDescent="0.2">
      <c r="A1" s="310">
        <v>44560</v>
      </c>
      <c r="B1" s="311"/>
      <c r="C1" s="311"/>
      <c r="D1" s="311"/>
      <c r="E1" s="311"/>
      <c r="F1" s="311"/>
      <c r="G1" s="311"/>
      <c r="H1" s="311"/>
    </row>
    <row r="2" spans="1:8" x14ac:dyDescent="0.2">
      <c r="A2" s="312" t="s">
        <v>190</v>
      </c>
      <c r="B2" s="311"/>
      <c r="C2" s="311"/>
      <c r="D2" s="311"/>
      <c r="E2" s="311"/>
      <c r="F2" s="311"/>
      <c r="G2" s="311"/>
      <c r="H2" s="311"/>
    </row>
    <row r="3" spans="1:8" x14ac:dyDescent="0.2">
      <c r="A3" s="312" t="s">
        <v>191</v>
      </c>
      <c r="B3" s="311"/>
      <c r="C3" s="311"/>
      <c r="D3" s="311"/>
      <c r="E3" s="311"/>
      <c r="F3" s="311"/>
      <c r="G3" s="311"/>
      <c r="H3" s="311"/>
    </row>
    <row r="4" spans="1:8" x14ac:dyDescent="0.2">
      <c r="A4" s="312" t="s">
        <v>192</v>
      </c>
      <c r="B4" s="311"/>
      <c r="C4" s="311"/>
      <c r="D4" s="311"/>
      <c r="E4" s="311"/>
      <c r="F4" s="311"/>
      <c r="G4" s="311"/>
      <c r="H4" s="311"/>
    </row>
    <row r="5" spans="1:8" ht="13.5" thickBot="1" x14ac:dyDescent="0.25">
      <c r="A5" s="313" t="s">
        <v>193</v>
      </c>
      <c r="B5" s="314"/>
      <c r="C5" s="314"/>
      <c r="D5" s="314"/>
      <c r="E5" s="314"/>
      <c r="F5" s="314"/>
      <c r="G5" s="314"/>
      <c r="H5" s="314"/>
    </row>
    <row r="6" spans="1:8" ht="13.5" thickTop="1" x14ac:dyDescent="0.2">
      <c r="C6" s="218" t="s">
        <v>194</v>
      </c>
      <c r="D6" s="218" t="s">
        <v>195</v>
      </c>
      <c r="E6" s="218" t="s">
        <v>11</v>
      </c>
      <c r="F6" s="218" t="s">
        <v>12</v>
      </c>
      <c r="G6" s="218" t="s">
        <v>12</v>
      </c>
      <c r="H6" s="218" t="s">
        <v>196</v>
      </c>
    </row>
    <row r="7" spans="1:8" x14ac:dyDescent="0.2">
      <c r="A7" s="315" t="s">
        <v>197</v>
      </c>
      <c r="B7" s="244" t="s">
        <v>198</v>
      </c>
      <c r="C7" s="219">
        <v>23600201</v>
      </c>
      <c r="D7" s="219">
        <v>23600232</v>
      </c>
      <c r="E7" s="219">
        <v>23600211</v>
      </c>
      <c r="F7" s="219">
        <v>23600221</v>
      </c>
      <c r="G7" s="219">
        <v>23600221</v>
      </c>
      <c r="H7" s="219"/>
    </row>
    <row r="8" spans="1:8" x14ac:dyDescent="0.2">
      <c r="A8" s="234" t="s">
        <v>199</v>
      </c>
      <c r="B8" s="244" t="s">
        <v>200</v>
      </c>
      <c r="C8" s="219">
        <v>18238041</v>
      </c>
      <c r="D8" s="219">
        <v>18238042</v>
      </c>
      <c r="E8" s="219">
        <v>18238041</v>
      </c>
      <c r="F8" s="219">
        <v>18238041</v>
      </c>
      <c r="G8" s="219">
        <v>18238041</v>
      </c>
      <c r="H8" s="219"/>
    </row>
    <row r="9" spans="1:8" x14ac:dyDescent="0.2">
      <c r="A9" s="244" t="s">
        <v>201</v>
      </c>
      <c r="B9" s="244" t="s">
        <v>202</v>
      </c>
      <c r="C9" s="219">
        <v>40810006</v>
      </c>
      <c r="D9" s="219">
        <v>40810304</v>
      </c>
      <c r="E9" s="219">
        <v>40810013</v>
      </c>
      <c r="F9" s="219">
        <v>40810012</v>
      </c>
      <c r="G9" s="219">
        <v>40810012</v>
      </c>
      <c r="H9" s="219"/>
    </row>
    <row r="10" spans="1:8" ht="13.5" thickBot="1" x14ac:dyDescent="0.25">
      <c r="A10" s="316"/>
      <c r="B10" s="316"/>
      <c r="C10" s="317" t="s">
        <v>203</v>
      </c>
      <c r="D10" s="317" t="s">
        <v>204</v>
      </c>
      <c r="E10" s="317" t="s">
        <v>205</v>
      </c>
      <c r="F10" s="318" t="s">
        <v>206</v>
      </c>
      <c r="G10" s="318" t="s">
        <v>206</v>
      </c>
      <c r="H10" s="319" t="s">
        <v>207</v>
      </c>
    </row>
    <row r="11" spans="1:8" ht="13.5" thickTop="1" x14ac:dyDescent="0.2">
      <c r="A11" s="320"/>
      <c r="B11" s="321"/>
      <c r="C11" s="220"/>
      <c r="D11" s="220"/>
      <c r="E11" s="220"/>
      <c r="F11" s="322"/>
      <c r="G11" s="322"/>
      <c r="H11" s="231"/>
    </row>
    <row r="12" spans="1:8" ht="15" x14ac:dyDescent="0.25">
      <c r="A12" s="234" t="s">
        <v>220</v>
      </c>
      <c r="B12" s="323"/>
      <c r="C12" s="221"/>
      <c r="D12" s="222"/>
      <c r="E12" s="222"/>
      <c r="F12" s="222"/>
      <c r="G12" s="223"/>
      <c r="H12" s="227"/>
    </row>
    <row r="13" spans="1:8" x14ac:dyDescent="0.2">
      <c r="A13" s="234" t="s">
        <v>208</v>
      </c>
      <c r="C13" s="224"/>
      <c r="D13" s="224"/>
      <c r="E13" s="225"/>
      <c r="F13" s="226"/>
      <c r="G13" s="226"/>
      <c r="H13" s="227"/>
    </row>
    <row r="14" spans="1:8" ht="15" x14ac:dyDescent="0.25">
      <c r="A14" s="324" t="s">
        <v>221</v>
      </c>
      <c r="B14" s="325"/>
      <c r="C14" s="227">
        <f>+C12*C13</f>
        <v>0</v>
      </c>
      <c r="D14" s="227">
        <f>+D12*D13</f>
        <v>0</v>
      </c>
      <c r="E14" s="227">
        <f>+E12*E13</f>
        <v>0</v>
      </c>
      <c r="F14" s="227">
        <f>+F12*F13</f>
        <v>0</v>
      </c>
      <c r="G14" s="227">
        <f>+G12*G13</f>
        <v>0</v>
      </c>
      <c r="H14" s="227"/>
    </row>
    <row r="15" spans="1:8" x14ac:dyDescent="0.2">
      <c r="A15" s="326"/>
      <c r="C15" s="228"/>
      <c r="D15" s="228"/>
      <c r="E15" s="228"/>
      <c r="F15" s="228"/>
      <c r="G15" s="227"/>
      <c r="H15" s="227"/>
    </row>
    <row r="16" spans="1:8" x14ac:dyDescent="0.2">
      <c r="A16" s="234" t="s">
        <v>222</v>
      </c>
      <c r="B16" s="325"/>
      <c r="C16" s="124">
        <v>4463847000</v>
      </c>
      <c r="D16" s="124">
        <v>2251437000</v>
      </c>
      <c r="E16" s="124">
        <v>251435078</v>
      </c>
      <c r="F16" s="125">
        <v>47800000</v>
      </c>
      <c r="G16" s="125">
        <v>47900000</v>
      </c>
      <c r="H16" s="227"/>
    </row>
    <row r="17" spans="1:8" x14ac:dyDescent="0.2">
      <c r="A17" s="326"/>
      <c r="C17" s="224"/>
      <c r="D17" s="224"/>
      <c r="E17" s="224"/>
      <c r="F17" s="229"/>
      <c r="G17" s="229"/>
      <c r="H17" s="227"/>
    </row>
    <row r="18" spans="1:8" x14ac:dyDescent="0.2">
      <c r="A18" s="327" t="s">
        <v>223</v>
      </c>
      <c r="B18" s="230"/>
      <c r="C18" s="228">
        <v>0.94079999999999997</v>
      </c>
      <c r="D18" s="228">
        <v>0.95799999999999996</v>
      </c>
      <c r="E18" s="228">
        <f>+E20/E16</f>
        <v>5.983560495882758E-2</v>
      </c>
      <c r="F18" s="228"/>
      <c r="G18" s="228"/>
      <c r="H18" s="227"/>
    </row>
    <row r="19" spans="1:8" x14ac:dyDescent="0.2">
      <c r="A19" s="234"/>
      <c r="C19" s="231"/>
      <c r="D19" s="231"/>
      <c r="E19" s="231"/>
      <c r="F19" s="231"/>
      <c r="G19" s="227"/>
      <c r="H19" s="227"/>
    </row>
    <row r="20" spans="1:8" ht="15" x14ac:dyDescent="0.25">
      <c r="A20" s="234" t="s">
        <v>224</v>
      </c>
      <c r="B20" s="325"/>
      <c r="C20" s="232">
        <f>(+C16*C18)+167660</f>
        <v>4199754917.5999999</v>
      </c>
      <c r="D20" s="232">
        <f>(+D16*D18)-63482</f>
        <v>2156813164</v>
      </c>
      <c r="E20" s="232">
        <v>15044770</v>
      </c>
      <c r="F20" s="232">
        <v>47800000</v>
      </c>
      <c r="G20" s="232">
        <v>47900000</v>
      </c>
      <c r="H20" s="227"/>
    </row>
    <row r="21" spans="1:8" x14ac:dyDescent="0.2">
      <c r="A21" s="234"/>
      <c r="C21" s="231"/>
      <c r="D21" s="231"/>
      <c r="E21" s="231"/>
      <c r="F21" s="231"/>
      <c r="G21" s="227"/>
      <c r="H21" s="233"/>
    </row>
    <row r="22" spans="1:8" ht="15" x14ac:dyDescent="0.25">
      <c r="A22" s="234" t="s">
        <v>225</v>
      </c>
      <c r="B22" s="235"/>
      <c r="C22" s="236">
        <v>10.050000000000001</v>
      </c>
      <c r="D22" s="236">
        <v>10.16</v>
      </c>
      <c r="E22" s="236">
        <v>456.84</v>
      </c>
      <c r="F22" s="236">
        <v>11.34</v>
      </c>
      <c r="G22" s="236">
        <v>11.405799999999999</v>
      </c>
      <c r="H22" s="227"/>
    </row>
    <row r="23" spans="1:8" x14ac:dyDescent="0.2">
      <c r="A23" s="234"/>
      <c r="C23" s="231"/>
      <c r="D23" s="231"/>
      <c r="E23" s="231"/>
      <c r="F23" s="219"/>
      <c r="G23" s="237"/>
      <c r="H23" s="227"/>
    </row>
    <row r="24" spans="1:8" x14ac:dyDescent="0.2">
      <c r="A24" s="234" t="s">
        <v>211</v>
      </c>
      <c r="C24" s="232">
        <v>42221575</v>
      </c>
      <c r="D24" s="232">
        <v>21912035</v>
      </c>
      <c r="E24" s="232">
        <v>6873053</v>
      </c>
      <c r="F24" s="232">
        <v>271026</v>
      </c>
      <c r="G24" s="232">
        <v>273169</v>
      </c>
      <c r="H24" s="227"/>
    </row>
    <row r="25" spans="1:8" x14ac:dyDescent="0.2">
      <c r="A25" s="234"/>
      <c r="C25" s="232"/>
      <c r="D25" s="232"/>
      <c r="E25" s="232"/>
      <c r="F25" s="232"/>
      <c r="G25" s="232"/>
      <c r="H25" s="227"/>
    </row>
    <row r="26" spans="1:8" x14ac:dyDescent="0.2">
      <c r="A26" s="234" t="s">
        <v>212</v>
      </c>
      <c r="C26" s="238">
        <v>489119</v>
      </c>
      <c r="D26" s="238">
        <v>99659</v>
      </c>
      <c r="E26" s="238">
        <v>0</v>
      </c>
      <c r="F26" s="238">
        <v>0</v>
      </c>
      <c r="G26" s="227">
        <v>0</v>
      </c>
      <c r="H26" s="227"/>
    </row>
    <row r="27" spans="1:8" x14ac:dyDescent="0.2">
      <c r="A27" s="234" t="s">
        <v>209</v>
      </c>
      <c r="C27" s="238">
        <v>235650</v>
      </c>
      <c r="D27" s="238">
        <v>6854</v>
      </c>
      <c r="E27" s="238">
        <v>5000</v>
      </c>
      <c r="F27" s="238">
        <v>0</v>
      </c>
      <c r="G27" s="227">
        <v>0</v>
      </c>
      <c r="H27" s="227"/>
    </row>
    <row r="28" spans="1:8" x14ac:dyDescent="0.2">
      <c r="A28" s="328" t="s">
        <v>154</v>
      </c>
      <c r="C28" s="239">
        <v>0</v>
      </c>
      <c r="D28" s="239"/>
      <c r="E28" s="238">
        <v>0</v>
      </c>
      <c r="F28" s="238">
        <v>0</v>
      </c>
      <c r="G28" s="227">
        <v>0</v>
      </c>
      <c r="H28" s="227"/>
    </row>
    <row r="29" spans="1:8" x14ac:dyDescent="0.2">
      <c r="A29" s="326" t="s">
        <v>210</v>
      </c>
      <c r="B29" s="329"/>
      <c r="C29" s="240"/>
      <c r="D29" s="240"/>
      <c r="E29" s="238">
        <v>0</v>
      </c>
      <c r="F29" s="238">
        <v>0</v>
      </c>
      <c r="G29" s="227">
        <v>0</v>
      </c>
      <c r="H29" s="239"/>
    </row>
    <row r="30" spans="1:8" ht="13.5" thickBot="1" x14ac:dyDescent="0.25">
      <c r="A30" s="328" t="s">
        <v>226</v>
      </c>
      <c r="C30" s="241">
        <f>SUM(C24:C29)</f>
        <v>42946344</v>
      </c>
      <c r="D30" s="241">
        <f t="shared" ref="D30:G30" si="0">SUM(D24:D29)</f>
        <v>22018548</v>
      </c>
      <c r="E30" s="241">
        <f>SUM(E24:E29)</f>
        <v>6878053</v>
      </c>
      <c r="F30" s="241">
        <f>SUM(F24:F29)</f>
        <v>271026</v>
      </c>
      <c r="G30" s="241">
        <f t="shared" si="0"/>
        <v>273169</v>
      </c>
      <c r="H30" s="242">
        <f>SUM(C30:G30)</f>
        <v>72387140</v>
      </c>
    </row>
    <row r="31" spans="1:8" ht="13.5" thickTop="1" x14ac:dyDescent="0.2"/>
    <row r="32" spans="1:8" x14ac:dyDescent="0.2">
      <c r="A32" s="330"/>
      <c r="B32" s="330"/>
      <c r="C32" s="331"/>
      <c r="D32" s="331"/>
      <c r="E32" s="331"/>
      <c r="F32" s="331"/>
      <c r="G32" s="331"/>
      <c r="H32" s="330"/>
    </row>
    <row r="33" spans="1:9" x14ac:dyDescent="0.2">
      <c r="A33" s="332"/>
      <c r="C33" s="243"/>
      <c r="D33" s="243"/>
      <c r="E33" s="243"/>
      <c r="F33" s="243"/>
      <c r="G33" s="243"/>
    </row>
    <row r="34" spans="1:9" x14ac:dyDescent="0.2">
      <c r="A34" s="131" t="s">
        <v>213</v>
      </c>
      <c r="C34" s="243">
        <v>-3843</v>
      </c>
      <c r="D34" s="243">
        <v>-656</v>
      </c>
      <c r="E34" s="243"/>
      <c r="F34" s="243"/>
      <c r="H34" s="243">
        <f>SUM(C34:G34)</f>
        <v>-4499</v>
      </c>
      <c r="I34" s="234"/>
    </row>
    <row r="35" spans="1:9" x14ac:dyDescent="0.2">
      <c r="A35" s="132" t="s">
        <v>214</v>
      </c>
      <c r="C35" s="243"/>
      <c r="D35" s="243"/>
      <c r="E35" s="243"/>
      <c r="F35" s="243"/>
      <c r="H35" s="243">
        <f t="shared" ref="H35:H39" si="1">SUM(C35:G35)</f>
        <v>0</v>
      </c>
      <c r="I35" s="234"/>
    </row>
    <row r="36" spans="1:9" x14ac:dyDescent="0.2">
      <c r="A36" s="332" t="s">
        <v>215</v>
      </c>
      <c r="C36" s="243">
        <f>-C27</f>
        <v>-235650</v>
      </c>
      <c r="D36" s="243">
        <f>-D27</f>
        <v>-6854</v>
      </c>
      <c r="E36" s="243">
        <f t="shared" ref="E36" si="2">-E27</f>
        <v>-5000</v>
      </c>
      <c r="F36" s="243"/>
      <c r="H36" s="243">
        <f t="shared" si="1"/>
        <v>-247504</v>
      </c>
      <c r="I36" s="234"/>
    </row>
    <row r="37" spans="1:9" x14ac:dyDescent="0.2">
      <c r="A37" s="332" t="s">
        <v>216</v>
      </c>
      <c r="C37" s="243"/>
      <c r="D37" s="243"/>
      <c r="E37" s="243">
        <f>+F29</f>
        <v>0</v>
      </c>
      <c r="F37" s="243">
        <f>-G37</f>
        <v>273169</v>
      </c>
      <c r="G37" s="245">
        <f>-G30</f>
        <v>-273169</v>
      </c>
      <c r="H37" s="243">
        <f>SUM(C37:G37)</f>
        <v>0</v>
      </c>
    </row>
    <row r="38" spans="1:9" x14ac:dyDescent="0.2">
      <c r="A38" s="133" t="s">
        <v>217</v>
      </c>
      <c r="C38" s="243">
        <v>69987</v>
      </c>
      <c r="D38" s="243">
        <v>3458</v>
      </c>
      <c r="E38" s="243">
        <v>7</v>
      </c>
      <c r="F38" s="243"/>
      <c r="H38" s="243">
        <f t="shared" si="1"/>
        <v>73452</v>
      </c>
      <c r="I38" s="234"/>
    </row>
    <row r="39" spans="1:9" x14ac:dyDescent="0.2">
      <c r="A39" s="332" t="s">
        <v>218</v>
      </c>
      <c r="C39" s="243"/>
      <c r="D39" s="243">
        <v>-5066</v>
      </c>
      <c r="E39" s="243"/>
      <c r="F39" s="243"/>
      <c r="H39" s="243">
        <f t="shared" si="1"/>
        <v>-5066</v>
      </c>
      <c r="I39" s="234"/>
    </row>
    <row r="40" spans="1:9" x14ac:dyDescent="0.2">
      <c r="A40" s="134" t="s">
        <v>154</v>
      </c>
      <c r="C40" s="243"/>
      <c r="D40" s="243">
        <v>-1505280</v>
      </c>
      <c r="E40" s="243"/>
      <c r="F40" s="243"/>
      <c r="H40" s="243">
        <f>SUM(C40:G40)</f>
        <v>-1505280</v>
      </c>
      <c r="I40" s="234"/>
    </row>
    <row r="41" spans="1:9" ht="13.5" thickBot="1" x14ac:dyDescent="0.25">
      <c r="A41" s="246" t="s">
        <v>226</v>
      </c>
      <c r="C41" s="248">
        <f>SUM(C30:C40)</f>
        <v>42776838</v>
      </c>
      <c r="D41" s="248">
        <f t="shared" ref="D41:H41" si="3">SUM(D30:D40)</f>
        <v>20504150</v>
      </c>
      <c r="E41" s="248">
        <f t="shared" si="3"/>
        <v>6873060</v>
      </c>
      <c r="F41" s="248">
        <f t="shared" si="3"/>
        <v>544195</v>
      </c>
      <c r="G41" s="248">
        <f t="shared" si="3"/>
        <v>0</v>
      </c>
      <c r="H41" s="248">
        <f t="shared" si="3"/>
        <v>70698243</v>
      </c>
    </row>
    <row r="42" spans="1:9" ht="13.5" thickTop="1" x14ac:dyDescent="0.2"/>
    <row r="44" spans="1:9" ht="15" x14ac:dyDescent="0.25">
      <c r="B44" s="2" t="s">
        <v>0</v>
      </c>
      <c r="C44" s="135">
        <f>+C41+E41+F41+G41</f>
        <v>50194093</v>
      </c>
      <c r="D44" s="2"/>
    </row>
    <row r="45" spans="1:9" ht="15" x14ac:dyDescent="0.25">
      <c r="B45" s="2" t="s">
        <v>1</v>
      </c>
      <c r="C45" s="135">
        <f>+D41</f>
        <v>20504150</v>
      </c>
      <c r="D45" s="2"/>
    </row>
    <row r="46" spans="1:9" ht="15.75" thickBot="1" x14ac:dyDescent="0.3">
      <c r="B46" s="2"/>
      <c r="C46" s="136">
        <f>SUM(C44:C45)</f>
        <v>70698243</v>
      </c>
      <c r="D46" s="2"/>
    </row>
    <row r="47" spans="1:9" ht="15.75" thickTop="1" x14ac:dyDescent="0.25">
      <c r="B47" s="2"/>
      <c r="C47" s="137">
        <f>H41-C46</f>
        <v>0</v>
      </c>
      <c r="D47" s="50" t="s">
        <v>219</v>
      </c>
    </row>
  </sheetData>
  <pageMargins left="0.7" right="0.7" top="0.75" bottom="0.75" header="0.3" footer="0.3"/>
  <pageSetup scale="65" orientation="landscape" r:id="rId1"/>
  <headerFooter alignWithMargins="0">
    <oddFooter>&amp;L&amp;D &amp;T&amp;C&amp;A&amp;R&amp;8&amp;Z&amp;F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80" zoomScaleNormal="80" workbookViewId="0">
      <pane xSplit="1" ySplit="4" topLeftCell="B5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defaultRowHeight="15" x14ac:dyDescent="0.25"/>
  <cols>
    <col min="1" max="1" width="53.42578125" style="2" customWidth="1"/>
    <col min="2" max="2" width="21.140625" style="2" bestFit="1" customWidth="1"/>
    <col min="3" max="4" width="17.5703125" style="2" bestFit="1" customWidth="1"/>
    <col min="5" max="5" width="19.7109375" style="2" bestFit="1" customWidth="1"/>
    <col min="6" max="6" width="21.140625" style="2" bestFit="1" customWidth="1"/>
    <col min="7" max="7" width="1.85546875" style="18" customWidth="1"/>
    <col min="8" max="8" width="27.42578125" style="2" bestFit="1" customWidth="1"/>
    <col min="9" max="9" width="5.85546875" style="18" bestFit="1" customWidth="1"/>
    <col min="10" max="10" width="21.140625" style="2" bestFit="1" customWidth="1"/>
    <col min="11" max="11" width="14.5703125" style="2" bestFit="1" customWidth="1"/>
    <col min="12" max="12" width="15.42578125" style="2" customWidth="1"/>
    <col min="13" max="13" width="16.28515625" style="2" bestFit="1" customWidth="1"/>
    <col min="14" max="14" width="3" style="2" customWidth="1"/>
    <col min="15" max="16384" width="9.140625" style="2"/>
  </cols>
  <sheetData>
    <row r="1" spans="1:11" ht="15.75" x14ac:dyDescent="0.25">
      <c r="A1" s="138" t="s">
        <v>228</v>
      </c>
      <c r="B1" s="139"/>
      <c r="C1" s="139"/>
      <c r="D1" s="139"/>
      <c r="E1" s="139"/>
      <c r="F1" s="139"/>
      <c r="G1" s="140"/>
      <c r="H1" s="138"/>
      <c r="I1" s="140"/>
      <c r="J1" s="139"/>
      <c r="K1" s="139"/>
    </row>
    <row r="2" spans="1:11" ht="16.5" thickBot="1" x14ac:dyDescent="0.3">
      <c r="A2" s="141"/>
      <c r="B2" s="139"/>
      <c r="C2" s="139"/>
      <c r="D2" s="139"/>
      <c r="E2" s="139"/>
      <c r="F2" s="139"/>
      <c r="G2" s="140"/>
      <c r="H2" s="139"/>
      <c r="I2" s="140"/>
      <c r="J2" s="139"/>
      <c r="K2" s="139"/>
    </row>
    <row r="3" spans="1:11" ht="16.5" thickBot="1" x14ac:dyDescent="0.3">
      <c r="A3" s="139"/>
      <c r="B3" s="142" t="s">
        <v>0</v>
      </c>
      <c r="C3" s="143"/>
      <c r="D3" s="144"/>
      <c r="E3" s="143"/>
      <c r="F3" s="145"/>
      <c r="G3" s="146"/>
      <c r="H3" s="147" t="s">
        <v>1</v>
      </c>
      <c r="I3" s="30"/>
      <c r="J3" s="148" t="s">
        <v>73</v>
      </c>
      <c r="K3" s="139"/>
    </row>
    <row r="4" spans="1:11" ht="15.75" x14ac:dyDescent="0.25">
      <c r="A4" s="149" t="s">
        <v>10</v>
      </c>
      <c r="B4" s="150" t="s">
        <v>72</v>
      </c>
      <c r="C4" s="150" t="s">
        <v>12</v>
      </c>
      <c r="D4" s="151" t="s">
        <v>12</v>
      </c>
      <c r="E4" s="149" t="s">
        <v>11</v>
      </c>
      <c r="F4" s="152" t="s">
        <v>2</v>
      </c>
      <c r="G4" s="153"/>
      <c r="H4" s="154" t="s">
        <v>2</v>
      </c>
      <c r="I4" s="153"/>
      <c r="J4" s="154" t="s">
        <v>2</v>
      </c>
      <c r="K4" s="139"/>
    </row>
    <row r="5" spans="1:11" ht="15.75" x14ac:dyDescent="0.25">
      <c r="A5" s="139"/>
      <c r="B5" s="155"/>
      <c r="C5" s="155"/>
      <c r="D5" s="156"/>
      <c r="E5" s="157"/>
      <c r="F5" s="158"/>
      <c r="G5" s="159"/>
      <c r="H5" s="158"/>
      <c r="I5" s="159"/>
      <c r="J5" s="158"/>
      <c r="K5" s="139"/>
    </row>
    <row r="6" spans="1:11" ht="15.75" x14ac:dyDescent="0.25">
      <c r="A6" s="160" t="str">
        <f>'2022 Final Payment'!A16</f>
        <v>Actual 1-1-21 DOR Value</v>
      </c>
      <c r="B6" s="161">
        <f>'2022 Final Payment'!C16</f>
        <v>4463847000</v>
      </c>
      <c r="C6" s="161">
        <f>'2022 Final Payment'!F16</f>
        <v>47800000</v>
      </c>
      <c r="D6" s="162">
        <f>'2022 Final Payment'!G16</f>
        <v>47900000</v>
      </c>
      <c r="E6" s="163">
        <f>'2022 Final Payment'!E16</f>
        <v>251435078</v>
      </c>
      <c r="F6" s="164">
        <f>SUM(B6:E6)</f>
        <v>4810982078</v>
      </c>
      <c r="G6" s="165"/>
      <c r="H6" s="164">
        <f>'2022 Final Payment'!D16</f>
        <v>2251437000</v>
      </c>
      <c r="I6" s="165"/>
      <c r="J6" s="164">
        <f>H6+F6</f>
        <v>7062419078</v>
      </c>
      <c r="K6" s="166">
        <f>+J6-SUM('2022 Final Payment'!$C$16:$G$16)</f>
        <v>0</v>
      </c>
    </row>
    <row r="7" spans="1:11" ht="15.75" x14ac:dyDescent="0.25">
      <c r="A7" s="160" t="str">
        <f>'2022 Final Payment'!A18</f>
        <v>1-1-21 AVERAGE SYSTEM RATIO (21-22 rates)</v>
      </c>
      <c r="B7" s="167">
        <f>'2022 Final Payment'!C18</f>
        <v>0.94079999999999997</v>
      </c>
      <c r="C7" s="168" t="s">
        <v>71</v>
      </c>
      <c r="D7" s="169" t="s">
        <v>71</v>
      </c>
      <c r="E7" s="170">
        <f>'2022 Final Payment'!E18</f>
        <v>5.983560495882758E-2</v>
      </c>
      <c r="F7" s="171" t="s">
        <v>71</v>
      </c>
      <c r="G7" s="172"/>
      <c r="H7" s="173">
        <f>'2022 Final Payment'!D18</f>
        <v>0.95799999999999996</v>
      </c>
      <c r="I7" s="174"/>
      <c r="J7" s="173"/>
      <c r="K7" s="139"/>
    </row>
    <row r="8" spans="1:11" ht="15.75" x14ac:dyDescent="0.25">
      <c r="A8" s="160" t="str">
        <f>'2022 Final Payment'!A20</f>
        <v>Actual 1-1-21 ASSESSED VALUE</v>
      </c>
      <c r="B8" s="175">
        <f>B6*B7</f>
        <v>4199587257.5999999</v>
      </c>
      <c r="C8" s="175">
        <f>SUM(C6:C7)</f>
        <v>47800000</v>
      </c>
      <c r="D8" s="176">
        <f>SUM(D6:D7)</f>
        <v>47900000</v>
      </c>
      <c r="E8" s="177">
        <f>E6*E7</f>
        <v>15044770</v>
      </c>
      <c r="F8" s="178">
        <f>SUM(B8:E8)</f>
        <v>4310332027.6000004</v>
      </c>
      <c r="G8" s="179"/>
      <c r="H8" s="178">
        <f>H6*H7</f>
        <v>2156876646</v>
      </c>
      <c r="I8" s="179"/>
      <c r="J8" s="178">
        <f>H8+F8</f>
        <v>6467208673.6000004</v>
      </c>
      <c r="K8" s="139"/>
    </row>
    <row r="9" spans="1:11" ht="15.75" x14ac:dyDescent="0.25">
      <c r="A9" s="180" t="s">
        <v>123</v>
      </c>
      <c r="B9" s="247">
        <f>'2022 Final Payment'!C20-'2022 Final Payment alt'!B8</f>
        <v>167660</v>
      </c>
      <c r="C9" s="181">
        <f>'2022 Final Payment'!F20-'2022 Final Payment alt'!C8</f>
        <v>0</v>
      </c>
      <c r="D9" s="182">
        <f>'2022 Final Payment'!G20-'2022 Final Payment alt'!D8</f>
        <v>0</v>
      </c>
      <c r="E9" s="183">
        <f>'2022 Final Payment'!E20-'2022 Final Payment alt'!E8</f>
        <v>0</v>
      </c>
      <c r="F9" s="184">
        <f>SUM(B9:E9)</f>
        <v>167660</v>
      </c>
      <c r="G9" s="179"/>
      <c r="H9" s="185">
        <f>'2022 Final Payment'!D20-'2022 Final Payment alt'!H8</f>
        <v>-63482</v>
      </c>
      <c r="I9" s="179"/>
      <c r="J9" s="184">
        <f>H9+F9</f>
        <v>104178</v>
      </c>
      <c r="K9" s="139"/>
    </row>
    <row r="10" spans="1:11" ht="15.75" x14ac:dyDescent="0.25">
      <c r="A10" s="160" t="s">
        <v>124</v>
      </c>
      <c r="B10" s="186">
        <f>SUM(B8:B9)</f>
        <v>4199754917.5999999</v>
      </c>
      <c r="C10" s="186">
        <f>SUM(C8:C9)</f>
        <v>47800000</v>
      </c>
      <c r="D10" s="187">
        <f>SUM(D8:D9)</f>
        <v>47900000</v>
      </c>
      <c r="E10" s="188">
        <f>SUM(E8:E9)</f>
        <v>15044770</v>
      </c>
      <c r="F10" s="189">
        <f>SUM(F8:F9)</f>
        <v>4310499687.6000004</v>
      </c>
      <c r="G10" s="179"/>
      <c r="H10" s="189">
        <f>SUM(H8:H9)</f>
        <v>2156813164</v>
      </c>
      <c r="I10" s="179"/>
      <c r="J10" s="189">
        <f>H10+F10</f>
        <v>6467312851.6000004</v>
      </c>
      <c r="K10" s="190">
        <f>+J10-SUM('2022 Final Payment'!$C$20:$G$20)</f>
        <v>0</v>
      </c>
    </row>
    <row r="11" spans="1:11" ht="15.75" x14ac:dyDescent="0.25">
      <c r="A11" s="160" t="str">
        <f>'2022 Final Payment'!A22</f>
        <v>Actual 1-1-21 LEVY RATE (21-22 rates)</v>
      </c>
      <c r="B11" s="191">
        <f>'2022 Final Payment'!C22</f>
        <v>10.050000000000001</v>
      </c>
      <c r="C11" s="191">
        <f>'2022 Final Payment'!F22</f>
        <v>11.34</v>
      </c>
      <c r="D11" s="192">
        <f>'2022 Final Payment'!G22</f>
        <v>11.405799999999999</v>
      </c>
      <c r="E11" s="193">
        <f>'2022 Final Payment'!E22</f>
        <v>456.84</v>
      </c>
      <c r="F11" s="194" t="s">
        <v>71</v>
      </c>
      <c r="G11" s="195"/>
      <c r="H11" s="196">
        <f>'2022 Final Payment'!D22</f>
        <v>10.16</v>
      </c>
      <c r="I11" s="197"/>
      <c r="J11" s="194" t="s">
        <v>71</v>
      </c>
      <c r="K11" s="139"/>
    </row>
    <row r="12" spans="1:11" ht="15.75" x14ac:dyDescent="0.25">
      <c r="A12" s="139"/>
      <c r="B12" s="198"/>
      <c r="C12" s="198"/>
      <c r="D12" s="199"/>
      <c r="E12" s="200"/>
      <c r="F12" s="201"/>
      <c r="G12" s="159"/>
      <c r="H12" s="201"/>
      <c r="I12" s="159"/>
      <c r="J12" s="201"/>
      <c r="K12" s="139"/>
    </row>
    <row r="13" spans="1:11" ht="15.75" x14ac:dyDescent="0.25">
      <c r="A13" s="202" t="str">
        <f>'2022 Final Payment'!A24</f>
        <v>Actual OPER CENTRALLY ASSESSED TAXES</v>
      </c>
      <c r="B13" s="203">
        <f>ROUND(B10*B11/1000,0)</f>
        <v>42207537</v>
      </c>
      <c r="C13" s="186">
        <f>ROUND(C10*C11/1000,0)/2</f>
        <v>271026</v>
      </c>
      <c r="D13" s="187">
        <f>ROUND(D10*D11/1000,0)/2</f>
        <v>273169</v>
      </c>
      <c r="E13" s="188">
        <f>ROUND(E10*E11/1000,0)</f>
        <v>6873053</v>
      </c>
      <c r="F13" s="189">
        <f>SUM(B13:E13)</f>
        <v>49624785</v>
      </c>
      <c r="G13" s="179"/>
      <c r="H13" s="189">
        <f>ROUND(H10*H11/1000,0)</f>
        <v>21913222</v>
      </c>
      <c r="I13" s="179"/>
      <c r="J13" s="189">
        <f>H13+F13</f>
        <v>71538007</v>
      </c>
    </row>
    <row r="14" spans="1:11" ht="15.75" x14ac:dyDescent="0.25">
      <c r="A14" s="202" t="s">
        <v>123</v>
      </c>
      <c r="B14" s="181">
        <f>'2022 Final Payment'!C24-'2022 Final Payment alt'!B13</f>
        <v>14038</v>
      </c>
      <c r="C14" s="181">
        <f>'2022 Final Payment'!F24-'2022 Final Payment alt'!C13</f>
        <v>0</v>
      </c>
      <c r="D14" s="182">
        <f>'2022 Final Payment'!G24-'2022 Final Payment alt'!D13</f>
        <v>0</v>
      </c>
      <c r="E14" s="181">
        <f>'2022 Final Payment'!E24-'2022 Final Payment alt'!E13</f>
        <v>0</v>
      </c>
      <c r="F14" s="184">
        <f>SUM(B14:E14)</f>
        <v>14038</v>
      </c>
      <c r="G14" s="159"/>
      <c r="H14" s="184">
        <f>'2022 Final Payment'!D24-'2022 Final Payment alt'!H13</f>
        <v>-1187</v>
      </c>
      <c r="I14" s="159"/>
      <c r="J14" s="184">
        <f>H14+F14</f>
        <v>12851</v>
      </c>
      <c r="K14" s="139"/>
    </row>
    <row r="15" spans="1:11" ht="18.75" x14ac:dyDescent="0.3">
      <c r="A15" s="202" t="s">
        <v>124</v>
      </c>
      <c r="B15" s="204">
        <f>SUM(B13:B14)</f>
        <v>42221575</v>
      </c>
      <c r="C15" s="204">
        <f>SUM(C13:C14)</f>
        <v>271026</v>
      </c>
      <c r="D15" s="205">
        <f>SUM(D13:D14)</f>
        <v>273169</v>
      </c>
      <c r="E15" s="205">
        <f>SUM(E13:E14)</f>
        <v>6873053</v>
      </c>
      <c r="F15" s="206">
        <f>SUM(F13:F14)</f>
        <v>49638823</v>
      </c>
      <c r="G15" s="207"/>
      <c r="H15" s="206">
        <f>SUM(H13:H14)</f>
        <v>21912035</v>
      </c>
      <c r="I15" s="207"/>
      <c r="J15" s="206">
        <f>SUM(J13:J14)</f>
        <v>71550858</v>
      </c>
      <c r="K15" s="190">
        <f>+J15-SUM('2022 Final Payment'!$C$24:$G$24)</f>
        <v>0</v>
      </c>
    </row>
    <row r="16" spans="1:11" ht="15.75" x14ac:dyDescent="0.25">
      <c r="A16" s="139"/>
      <c r="B16" s="186"/>
      <c r="C16" s="186"/>
      <c r="D16" s="187"/>
      <c r="E16" s="188"/>
      <c r="F16" s="158"/>
      <c r="G16" s="159"/>
      <c r="H16" s="158"/>
      <c r="I16" s="159"/>
      <c r="J16" s="189"/>
      <c r="K16" s="139"/>
    </row>
    <row r="17" spans="1:13" ht="15.75" x14ac:dyDescent="0.25">
      <c r="A17" s="126" t="s">
        <v>212</v>
      </c>
      <c r="B17" s="203">
        <f>'2022 Final Payment'!C26</f>
        <v>489119</v>
      </c>
      <c r="C17" s="186"/>
      <c r="D17" s="187"/>
      <c r="E17" s="203"/>
      <c r="F17" s="189">
        <f>SUM(B17:E17)</f>
        <v>489119</v>
      </c>
      <c r="G17" s="179"/>
      <c r="H17" s="189">
        <f>'2022 Final Payment'!D26</f>
        <v>99659</v>
      </c>
      <c r="I17" s="179"/>
      <c r="J17" s="189">
        <f>H17+F17</f>
        <v>588778</v>
      </c>
      <c r="K17" s="139"/>
    </row>
    <row r="18" spans="1:13" ht="15.75" x14ac:dyDescent="0.25">
      <c r="A18" s="126" t="s">
        <v>209</v>
      </c>
      <c r="B18" s="203">
        <f>'2022 Final Payment'!C27</f>
        <v>235650</v>
      </c>
      <c r="C18" s="186"/>
      <c r="D18" s="187"/>
      <c r="E18" s="188">
        <f>'2022 Final Payment'!E27</f>
        <v>5000</v>
      </c>
      <c r="F18" s="189">
        <f>SUM(B18:E18)</f>
        <v>240650</v>
      </c>
      <c r="G18" s="179"/>
      <c r="H18" s="189">
        <f>'2022 Final Payment'!D27</f>
        <v>6854</v>
      </c>
      <c r="I18" s="179"/>
      <c r="J18" s="189">
        <f>H18+F18</f>
        <v>247504</v>
      </c>
      <c r="K18" s="139"/>
    </row>
    <row r="19" spans="1:13" ht="15.75" x14ac:dyDescent="0.25">
      <c r="A19" s="128" t="s">
        <v>154</v>
      </c>
      <c r="B19" s="203">
        <f>'2022 Final Payment'!C28</f>
        <v>0</v>
      </c>
      <c r="C19" s="186"/>
      <c r="D19" s="187"/>
      <c r="E19" s="188"/>
      <c r="F19" s="189"/>
      <c r="G19" s="179"/>
      <c r="H19" s="189">
        <f>'2022 Final Payment'!D28</f>
        <v>0</v>
      </c>
      <c r="I19" s="179"/>
      <c r="J19" s="189">
        <f>H19+F19</f>
        <v>0</v>
      </c>
      <c r="K19" s="139"/>
    </row>
    <row r="20" spans="1:13" ht="15.75" x14ac:dyDescent="0.25">
      <c r="A20" s="127" t="s">
        <v>210</v>
      </c>
      <c r="B20" s="208">
        <f>'2022 Final Payment'!C29</f>
        <v>0</v>
      </c>
      <c r="C20" s="181"/>
      <c r="D20" s="182"/>
      <c r="E20" s="183"/>
      <c r="F20" s="184">
        <f>SUM(B20:E20)</f>
        <v>0</v>
      </c>
      <c r="G20" s="209"/>
      <c r="H20" s="184">
        <f>'2022 Final Payment'!D29</f>
        <v>0</v>
      </c>
      <c r="I20" s="209"/>
      <c r="J20" s="184">
        <f>H20+F20</f>
        <v>0</v>
      </c>
      <c r="K20" s="139"/>
    </row>
    <row r="21" spans="1:13" ht="18.75" x14ac:dyDescent="0.3">
      <c r="A21" s="309" t="s">
        <v>226</v>
      </c>
      <c r="B21" s="210">
        <f>SUM(B15:B20)</f>
        <v>42946344</v>
      </c>
      <c r="C21" s="211">
        <f>SUM(C15:C20)</f>
        <v>271026</v>
      </c>
      <c r="D21" s="212">
        <f>SUM(D15:D20)</f>
        <v>273169</v>
      </c>
      <c r="E21" s="213">
        <f>SUM(E15:E20)</f>
        <v>6878053</v>
      </c>
      <c r="F21" s="206">
        <f>SUM(F15:F20)</f>
        <v>50368592</v>
      </c>
      <c r="G21" s="207"/>
      <c r="H21" s="206">
        <f>SUM(H15:H20)</f>
        <v>22018548</v>
      </c>
      <c r="I21" s="207"/>
      <c r="J21" s="206">
        <f>SUM(J15:J20)</f>
        <v>72387140</v>
      </c>
      <c r="K21" s="190"/>
    </row>
    <row r="22" spans="1:13" ht="15.75" x14ac:dyDescent="0.25">
      <c r="A22" s="128"/>
      <c r="B22" s="203"/>
      <c r="C22" s="186"/>
      <c r="D22" s="187"/>
      <c r="E22" s="188"/>
      <c r="F22" s="189"/>
      <c r="G22" s="179"/>
      <c r="H22" s="189"/>
      <c r="I22" s="179"/>
      <c r="J22" s="189"/>
      <c r="K22" s="139"/>
    </row>
    <row r="23" spans="1:13" ht="15.75" x14ac:dyDescent="0.25">
      <c r="A23" s="128"/>
      <c r="B23" s="203"/>
      <c r="C23" s="186"/>
      <c r="D23" s="187"/>
      <c r="E23" s="188"/>
      <c r="F23" s="189"/>
      <c r="G23" s="179"/>
      <c r="H23" s="189"/>
      <c r="I23" s="179"/>
      <c r="J23" s="189"/>
      <c r="K23" s="139"/>
    </row>
    <row r="24" spans="1:13" ht="15.75" x14ac:dyDescent="0.25">
      <c r="A24" s="129"/>
      <c r="B24" s="203"/>
      <c r="C24" s="186"/>
      <c r="D24" s="187"/>
      <c r="E24" s="188"/>
      <c r="F24" s="189"/>
      <c r="G24" s="179"/>
      <c r="H24" s="189"/>
      <c r="I24" s="179"/>
      <c r="J24" s="189"/>
      <c r="K24" s="139"/>
    </row>
    <row r="25" spans="1:13" ht="15.75" x14ac:dyDescent="0.25">
      <c r="A25" s="130"/>
      <c r="B25" s="203"/>
      <c r="C25" s="186"/>
      <c r="D25" s="187"/>
      <c r="E25" s="188"/>
      <c r="F25" s="189"/>
      <c r="G25" s="179"/>
      <c r="H25" s="189"/>
      <c r="I25" s="179"/>
      <c r="J25" s="189">
        <f t="shared" ref="J25:J32" si="0">H25+F25</f>
        <v>0</v>
      </c>
      <c r="K25" s="139"/>
      <c r="M25" s="214"/>
    </row>
    <row r="26" spans="1:13" ht="15.75" x14ac:dyDescent="0.25">
      <c r="A26" s="131" t="s">
        <v>213</v>
      </c>
      <c r="B26" s="203">
        <f>'2022 Final Payment'!C34</f>
        <v>-3843</v>
      </c>
      <c r="C26" s="186">
        <f>'2022 Final Payment'!F34</f>
        <v>0</v>
      </c>
      <c r="D26" s="187">
        <f>'2022 Final Payment'!G34</f>
        <v>0</v>
      </c>
      <c r="E26" s="188">
        <f>'2022 Final Payment'!E34</f>
        <v>0</v>
      </c>
      <c r="F26" s="189">
        <f t="shared" ref="F26:F32" si="1">SUM(B26:E26)</f>
        <v>-3843</v>
      </c>
      <c r="G26" s="179"/>
      <c r="H26" s="189">
        <f>'2022 Final Payment'!D34</f>
        <v>-656</v>
      </c>
      <c r="I26" s="179"/>
      <c r="J26" s="189">
        <f t="shared" si="0"/>
        <v>-4499</v>
      </c>
      <c r="K26" s="139"/>
    </row>
    <row r="27" spans="1:13" ht="15.75" x14ac:dyDescent="0.25">
      <c r="A27" s="132" t="s">
        <v>214</v>
      </c>
      <c r="B27" s="203">
        <f>'2022 Final Payment'!C35</f>
        <v>0</v>
      </c>
      <c r="C27" s="186">
        <f>'2022 Final Payment'!F35</f>
        <v>0</v>
      </c>
      <c r="D27" s="187">
        <f>'2022 Final Payment'!G35</f>
        <v>0</v>
      </c>
      <c r="E27" s="188">
        <f>'2022 Final Payment'!E35</f>
        <v>0</v>
      </c>
      <c r="F27" s="189">
        <f t="shared" si="1"/>
        <v>0</v>
      </c>
      <c r="G27" s="179"/>
      <c r="H27" s="189">
        <f>'2022 Final Payment'!D35</f>
        <v>0</v>
      </c>
      <c r="I27" s="179"/>
      <c r="J27" s="189">
        <f t="shared" si="0"/>
        <v>0</v>
      </c>
      <c r="K27" s="139"/>
    </row>
    <row r="28" spans="1:13" ht="15.75" x14ac:dyDescent="0.25">
      <c r="A28" s="130" t="s">
        <v>215</v>
      </c>
      <c r="B28" s="203">
        <f>'2022 Final Payment'!C36</f>
        <v>-235650</v>
      </c>
      <c r="C28" s="186">
        <f>'2022 Final Payment'!F36</f>
        <v>0</v>
      </c>
      <c r="D28" s="187">
        <f>'2022 Final Payment'!G36</f>
        <v>0</v>
      </c>
      <c r="E28" s="188">
        <f>'2022 Final Payment'!E36</f>
        <v>-5000</v>
      </c>
      <c r="F28" s="189">
        <f t="shared" si="1"/>
        <v>-240650</v>
      </c>
      <c r="G28" s="179"/>
      <c r="H28" s="189">
        <f>'2022 Final Payment'!D36</f>
        <v>-6854</v>
      </c>
      <c r="I28" s="179"/>
      <c r="J28" s="189">
        <f t="shared" si="0"/>
        <v>-247504</v>
      </c>
      <c r="K28" s="139"/>
    </row>
    <row r="29" spans="1:13" ht="15.75" x14ac:dyDescent="0.25">
      <c r="A29" s="130" t="s">
        <v>216</v>
      </c>
      <c r="B29" s="203">
        <f>'2022 Final Payment'!C37</f>
        <v>0</v>
      </c>
      <c r="C29" s="186">
        <f>'2022 Final Payment'!F37</f>
        <v>273169</v>
      </c>
      <c r="D29" s="187">
        <f>'2022 Final Payment'!G37</f>
        <v>-273169</v>
      </c>
      <c r="E29" s="188">
        <f>'2022 Final Payment'!E37</f>
        <v>0</v>
      </c>
      <c r="F29" s="189">
        <f t="shared" si="1"/>
        <v>0</v>
      </c>
      <c r="G29" s="179"/>
      <c r="H29" s="189">
        <f>'2022 Final Payment'!D37</f>
        <v>0</v>
      </c>
      <c r="I29" s="179"/>
      <c r="J29" s="189">
        <f t="shared" si="0"/>
        <v>0</v>
      </c>
      <c r="K29" s="139"/>
    </row>
    <row r="30" spans="1:13" ht="15.75" x14ac:dyDescent="0.25">
      <c r="A30" s="133" t="s">
        <v>217</v>
      </c>
      <c r="B30" s="203">
        <f>'2022 Final Payment'!C38</f>
        <v>69987</v>
      </c>
      <c r="C30" s="186">
        <f>'2022 Final Payment'!F38</f>
        <v>0</v>
      </c>
      <c r="D30" s="187">
        <f>'2022 Final Payment'!G38</f>
        <v>0</v>
      </c>
      <c r="E30" s="188">
        <f>'2022 Final Payment'!E38</f>
        <v>7</v>
      </c>
      <c r="F30" s="189">
        <f t="shared" si="1"/>
        <v>69994</v>
      </c>
      <c r="G30" s="179"/>
      <c r="H30" s="189">
        <f>'2022 Final Payment'!D38</f>
        <v>3458</v>
      </c>
      <c r="I30" s="179"/>
      <c r="J30" s="189">
        <f t="shared" si="0"/>
        <v>73452</v>
      </c>
      <c r="K30" s="139"/>
    </row>
    <row r="31" spans="1:13" ht="15.75" x14ac:dyDescent="0.25">
      <c r="A31" s="130" t="s">
        <v>218</v>
      </c>
      <c r="B31" s="203">
        <f>'2022 Final Payment'!C39</f>
        <v>0</v>
      </c>
      <c r="C31" s="186">
        <f>'2022 Final Payment'!F39</f>
        <v>0</v>
      </c>
      <c r="D31" s="187">
        <f>'2022 Final Payment'!G39</f>
        <v>0</v>
      </c>
      <c r="E31" s="188">
        <f>'2022 Final Payment'!E39</f>
        <v>0</v>
      </c>
      <c r="F31" s="189">
        <f t="shared" si="1"/>
        <v>0</v>
      </c>
      <c r="G31" s="179"/>
      <c r="H31" s="189">
        <f>'2022 Final Payment'!D39</f>
        <v>-5066</v>
      </c>
      <c r="I31" s="179"/>
      <c r="J31" s="189">
        <f t="shared" si="0"/>
        <v>-5066</v>
      </c>
      <c r="K31" s="139"/>
    </row>
    <row r="32" spans="1:13" ht="15.75" x14ac:dyDescent="0.25">
      <c r="A32" s="134" t="s">
        <v>154</v>
      </c>
      <c r="B32" s="203">
        <f>'2022 Final Payment'!C40</f>
        <v>0</v>
      </c>
      <c r="C32" s="186">
        <f>'2022 Final Payment'!F40</f>
        <v>0</v>
      </c>
      <c r="D32" s="187">
        <f>'2022 Final Payment'!G40</f>
        <v>0</v>
      </c>
      <c r="E32" s="188">
        <f>'2022 Final Payment'!E40</f>
        <v>0</v>
      </c>
      <c r="F32" s="184">
        <f t="shared" si="1"/>
        <v>0</v>
      </c>
      <c r="G32" s="209"/>
      <c r="H32" s="189">
        <f>'2022 Final Payment'!D40</f>
        <v>-1505280</v>
      </c>
      <c r="I32" s="209"/>
      <c r="J32" s="184">
        <f t="shared" si="0"/>
        <v>-1505280</v>
      </c>
      <c r="K32" s="139"/>
    </row>
    <row r="33" spans="1:11" s="217" customFormat="1" ht="18.75" x14ac:dyDescent="0.3">
      <c r="A33" s="246" t="s">
        <v>226</v>
      </c>
      <c r="B33" s="215">
        <f>SUM(B21:B32)</f>
        <v>42776838</v>
      </c>
      <c r="C33" s="215">
        <f>SUM(C21:C32)</f>
        <v>544195</v>
      </c>
      <c r="D33" s="215">
        <f>SUM(D21:D32)</f>
        <v>0</v>
      </c>
      <c r="E33" s="215">
        <f>SUM(E21:E32)</f>
        <v>6873060</v>
      </c>
      <c r="F33" s="215">
        <f>SUM(F21:F32)</f>
        <v>50194093</v>
      </c>
      <c r="G33" s="216"/>
      <c r="H33" s="215">
        <f>SUM(H21:H32)</f>
        <v>20504150</v>
      </c>
      <c r="I33" s="216"/>
      <c r="J33" s="215">
        <f>SUM(J21:J32)</f>
        <v>70698243</v>
      </c>
      <c r="K33" s="190">
        <f>J33-'2022 Final Payment'!H41</f>
        <v>0</v>
      </c>
    </row>
  </sheetData>
  <printOptions horizontalCentered="1"/>
  <pageMargins left="0.2" right="0.2" top="0.5" bottom="0.5" header="0.3" footer="0.3"/>
  <pageSetup paperSize="17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1" sqref="B31"/>
    </sheetView>
  </sheetViews>
  <sheetFormatPr defaultRowHeight="15" x14ac:dyDescent="0.25"/>
  <cols>
    <col min="1" max="16384" width="9.140625" style="2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="90" zoomScaleNormal="90" workbookViewId="0">
      <pane xSplit="2" ySplit="4" topLeftCell="C5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defaultColWidth="9.140625" defaultRowHeight="15" x14ac:dyDescent="0.25"/>
  <cols>
    <col min="1" max="1" width="5.140625" style="17" customWidth="1"/>
    <col min="2" max="2" width="46.28515625" style="2" bestFit="1" customWidth="1"/>
    <col min="3" max="3" width="8.85546875" style="36" bestFit="1" customWidth="1"/>
    <col min="4" max="6" width="13.28515625" style="2" bestFit="1" customWidth="1"/>
    <col min="7" max="7" width="3.7109375" style="2" customWidth="1"/>
    <col min="8" max="8" width="13.7109375" style="2" bestFit="1" customWidth="1"/>
    <col min="9" max="9" width="13.42578125" style="2" bestFit="1" customWidth="1"/>
    <col min="10" max="10" width="13.140625" style="2" bestFit="1" customWidth="1"/>
    <col min="11" max="11" width="12.28515625" style="2" bestFit="1" customWidth="1"/>
    <col min="12" max="16384" width="9.140625" style="2"/>
  </cols>
  <sheetData>
    <row r="1" spans="1:10" ht="18.75" x14ac:dyDescent="0.3">
      <c r="A1" s="33" t="s">
        <v>173</v>
      </c>
      <c r="C1" s="34"/>
    </row>
    <row r="2" spans="1:10" ht="18.75" x14ac:dyDescent="0.3">
      <c r="B2" s="107" t="s">
        <v>174</v>
      </c>
      <c r="C2" s="34"/>
    </row>
    <row r="3" spans="1:10" x14ac:dyDescent="0.25">
      <c r="B3" s="35" t="s">
        <v>175</v>
      </c>
      <c r="D3" s="37" t="s">
        <v>22</v>
      </c>
      <c r="E3" s="38"/>
      <c r="F3" s="39"/>
      <c r="H3" s="37" t="s">
        <v>23</v>
      </c>
      <c r="I3" s="39"/>
      <c r="J3" s="39"/>
    </row>
    <row r="4" spans="1:10" x14ac:dyDescent="0.25">
      <c r="D4" s="40" t="s">
        <v>0</v>
      </c>
      <c r="E4" s="40" t="s">
        <v>1</v>
      </c>
      <c r="F4" s="40" t="s">
        <v>2</v>
      </c>
      <c r="H4" s="40" t="s">
        <v>0</v>
      </c>
      <c r="I4" s="40" t="s">
        <v>1</v>
      </c>
      <c r="J4" s="40" t="s">
        <v>2</v>
      </c>
    </row>
    <row r="5" spans="1:10" x14ac:dyDescent="0.25">
      <c r="H5" s="2">
        <v>0.95111500000000004</v>
      </c>
      <c r="I5" s="2">
        <v>0.95455299999999998</v>
      </c>
    </row>
    <row r="6" spans="1:10" x14ac:dyDescent="0.25">
      <c r="A6" s="17">
        <v>1</v>
      </c>
      <c r="B6" s="2" t="s">
        <v>170</v>
      </c>
      <c r="C6" s="42"/>
      <c r="D6" s="13">
        <v>56520874.446704946</v>
      </c>
      <c r="E6" s="13">
        <v>18036218.466693416</v>
      </c>
      <c r="F6" s="13">
        <f>SUM(D6:E6)</f>
        <v>74557092.913398355</v>
      </c>
      <c r="H6" s="13">
        <f>D6/$H$5</f>
        <v>59425910.059987426</v>
      </c>
      <c r="I6" s="13">
        <f>E6/$I$5</f>
        <v>18894936.652750991</v>
      </c>
      <c r="J6" s="13">
        <f>SUM(H6:I6)</f>
        <v>78320846.712738425</v>
      </c>
    </row>
    <row r="8" spans="1:10" x14ac:dyDescent="0.25">
      <c r="A8" s="17">
        <v>2</v>
      </c>
      <c r="B8" s="2" t="s">
        <v>3</v>
      </c>
      <c r="E8" s="51"/>
    </row>
    <row r="9" spans="1:10" x14ac:dyDescent="0.25">
      <c r="A9" s="17">
        <v>3</v>
      </c>
      <c r="B9" s="41" t="s">
        <v>171</v>
      </c>
      <c r="C9" s="51"/>
      <c r="D9" s="3">
        <v>51389109.5</v>
      </c>
      <c r="E9" s="3">
        <v>19504142</v>
      </c>
      <c r="F9" s="3">
        <f>SUM(D9:E9)</f>
        <v>70893251.5</v>
      </c>
      <c r="H9" s="13">
        <f>D9/$H$5</f>
        <v>54030384.864080578</v>
      </c>
      <c r="I9" s="13">
        <f>E9/$I$5</f>
        <v>20432749.15064957</v>
      </c>
      <c r="J9" s="3">
        <f>SUM(H9:I9)</f>
        <v>74463134.014730155</v>
      </c>
    </row>
    <row r="10" spans="1:10" x14ac:dyDescent="0.25">
      <c r="A10" s="17">
        <v>4</v>
      </c>
      <c r="B10" s="41" t="s">
        <v>170</v>
      </c>
      <c r="C10" s="42" t="s">
        <v>24</v>
      </c>
      <c r="D10" s="3">
        <f>D6</f>
        <v>56520874.446704946</v>
      </c>
      <c r="E10" s="3">
        <f>E6</f>
        <v>18036218.466693416</v>
      </c>
      <c r="F10" s="3">
        <f>SUM(D10:E10)</f>
        <v>74557092.913398355</v>
      </c>
      <c r="H10" s="13">
        <f>D10/$H$5</f>
        <v>59425910.059987426</v>
      </c>
      <c r="I10" s="13">
        <f>E10/$I$5</f>
        <v>18894936.652750991</v>
      </c>
      <c r="J10" s="3">
        <f>SUM(H10:I10)</f>
        <v>78320846.712738425</v>
      </c>
    </row>
    <row r="11" spans="1:10" x14ac:dyDescent="0.25">
      <c r="A11" s="17">
        <v>5</v>
      </c>
      <c r="B11" s="2" t="s">
        <v>172</v>
      </c>
      <c r="D11" s="3">
        <v>2039050.195488031</v>
      </c>
      <c r="E11" s="3">
        <v>1421551.9745429989</v>
      </c>
      <c r="F11" s="3">
        <f>SUM(D11:E11)</f>
        <v>3460602.1700310297</v>
      </c>
      <c r="H11" s="13">
        <f>D11/$H$5</f>
        <v>2143852.4210931705</v>
      </c>
      <c r="I11" s="13">
        <f>E11/$I$5</f>
        <v>1489233.1536782128</v>
      </c>
      <c r="J11" s="3">
        <f>SUM(H11:I11)</f>
        <v>3633085.5747713833</v>
      </c>
    </row>
    <row r="12" spans="1:10" x14ac:dyDescent="0.25">
      <c r="D12" s="14"/>
      <c r="E12" s="14"/>
      <c r="F12" s="14"/>
      <c r="H12" s="43">
        <v>0</v>
      </c>
      <c r="I12" s="43">
        <v>0</v>
      </c>
      <c r="J12" s="44" t="s">
        <v>121</v>
      </c>
    </row>
    <row r="13" spans="1:10" x14ac:dyDescent="0.25">
      <c r="A13" s="17">
        <v>6</v>
      </c>
      <c r="B13" s="2" t="s">
        <v>122</v>
      </c>
      <c r="C13" s="42" t="s">
        <v>26</v>
      </c>
      <c r="D13" s="3">
        <f>D9-D10+D11</f>
        <v>-3092714.7512169154</v>
      </c>
      <c r="E13" s="3">
        <f>E9-E10+E11</f>
        <v>2889475.5078495825</v>
      </c>
      <c r="F13" s="3">
        <f>SUM(D13:E13)</f>
        <v>-203239.24336733297</v>
      </c>
      <c r="H13" s="3">
        <f>H9-H10+H11</f>
        <v>-3251672.7748136772</v>
      </c>
      <c r="I13" s="3">
        <f>I9-I10+I11</f>
        <v>3027045.6515767914</v>
      </c>
      <c r="J13" s="3">
        <f>SUM(H13:I13)</f>
        <v>-224627.12323688576</v>
      </c>
    </row>
    <row r="14" spans="1:10" x14ac:dyDescent="0.25">
      <c r="D14" s="14"/>
      <c r="E14" s="14"/>
      <c r="F14" s="14"/>
      <c r="H14" s="14"/>
      <c r="I14" s="14"/>
      <c r="J14" s="14"/>
    </row>
    <row r="15" spans="1:10" ht="15.75" thickBot="1" x14ac:dyDescent="0.3">
      <c r="A15" s="17">
        <v>7</v>
      </c>
      <c r="B15" s="2" t="s">
        <v>21</v>
      </c>
      <c r="C15" s="42" t="s">
        <v>25</v>
      </c>
      <c r="D15" s="15">
        <f>D6+D13</f>
        <v>53428159.695488028</v>
      </c>
      <c r="E15" s="15">
        <f>E6+E13</f>
        <v>20925693.974542998</v>
      </c>
      <c r="F15" s="15">
        <f>SUM(D15:E15)</f>
        <v>74353853.670031026</v>
      </c>
      <c r="H15" s="15">
        <f>H6+H13</f>
        <v>56174237.285173751</v>
      </c>
      <c r="I15" s="15">
        <f>I6+I13</f>
        <v>21921982.304327782</v>
      </c>
      <c r="J15" s="15">
        <f>SUM(H15:I15)</f>
        <v>78096219.58950153</v>
      </c>
    </row>
    <row r="16" spans="1:10" ht="15.75" thickTop="1" x14ac:dyDescent="0.25"/>
    <row r="18" spans="1:10" x14ac:dyDescent="0.25">
      <c r="A18" s="17">
        <v>8</v>
      </c>
      <c r="B18" s="2" t="s">
        <v>4</v>
      </c>
      <c r="C18" s="42" t="s">
        <v>145</v>
      </c>
      <c r="D18" s="13">
        <f>D15-D19</f>
        <v>39533291.18916402</v>
      </c>
      <c r="E18" s="13">
        <f>E15-E19</f>
        <v>16029990.158470117</v>
      </c>
      <c r="F18" s="13">
        <f>SUM(D18:E18)</f>
        <v>55563281.347634137</v>
      </c>
      <c r="H18" s="13">
        <f>H15-H19</f>
        <v>41565206.299095303</v>
      </c>
      <c r="I18" s="13">
        <f>I15-I19</f>
        <v>16793190.276988409</v>
      </c>
      <c r="J18" s="13">
        <f>SUM(H18:I18)</f>
        <v>58358396.576083712</v>
      </c>
    </row>
    <row r="19" spans="1:10" x14ac:dyDescent="0.25">
      <c r="A19" s="17">
        <v>9</v>
      </c>
      <c r="B19" s="2" t="s">
        <v>5</v>
      </c>
      <c r="C19" s="51"/>
      <c r="D19" s="3">
        <v>13894868.506324008</v>
      </c>
      <c r="E19" s="3">
        <v>4895703.8160728812</v>
      </c>
      <c r="F19" s="3">
        <f>SUM(D19:E19)</f>
        <v>18790572.322396889</v>
      </c>
      <c r="H19" s="1">
        <f>D19/$H$5</f>
        <v>14609030.986078452</v>
      </c>
      <c r="I19" s="1">
        <f>E19/$I$5</f>
        <v>5128792.0273393737</v>
      </c>
      <c r="J19" s="3">
        <f>SUM(H19:I19)</f>
        <v>19737823.013417825</v>
      </c>
    </row>
    <row r="20" spans="1:10" x14ac:dyDescent="0.25">
      <c r="D20" s="14"/>
      <c r="E20" s="14"/>
      <c r="F20" s="14"/>
      <c r="H20" s="14"/>
      <c r="I20" s="14"/>
      <c r="J20" s="14"/>
    </row>
    <row r="21" spans="1:10" ht="15.75" thickBot="1" x14ac:dyDescent="0.3">
      <c r="A21" s="17">
        <v>10</v>
      </c>
      <c r="B21" s="2" t="s">
        <v>21</v>
      </c>
      <c r="C21" s="42" t="s">
        <v>27</v>
      </c>
      <c r="D21" s="15">
        <f>SUM(D18:D20)</f>
        <v>53428159.695488028</v>
      </c>
      <c r="E21" s="15">
        <f>SUM(E18:E20)</f>
        <v>20925693.974542998</v>
      </c>
      <c r="F21" s="15">
        <f>SUM(D21:E21)</f>
        <v>74353853.670031026</v>
      </c>
      <c r="H21" s="15">
        <f>SUM(H18:H19)</f>
        <v>56174237.285173759</v>
      </c>
      <c r="I21" s="15">
        <f>SUM(I18:I19)</f>
        <v>21921982.304327782</v>
      </c>
      <c r="J21" s="15">
        <f>SUM(H21:I21)</f>
        <v>78096219.589501545</v>
      </c>
    </row>
    <row r="22" spans="1:10" ht="15.75" thickTop="1" x14ac:dyDescent="0.25"/>
    <row r="23" spans="1:10" x14ac:dyDescent="0.25">
      <c r="D23" s="13"/>
      <c r="E23" s="13"/>
      <c r="F23" s="13"/>
    </row>
    <row r="24" spans="1:10" x14ac:dyDescent="0.25">
      <c r="A24" s="17">
        <v>11</v>
      </c>
      <c r="B24" s="2" t="s">
        <v>6</v>
      </c>
    </row>
    <row r="25" spans="1:10" x14ac:dyDescent="0.25">
      <c r="A25" s="17">
        <f>+A24+1</f>
        <v>12</v>
      </c>
      <c r="B25" s="41" t="s">
        <v>7</v>
      </c>
      <c r="D25" s="3">
        <v>-2612659.5</v>
      </c>
      <c r="E25" s="3">
        <v>1902065</v>
      </c>
      <c r="F25" s="3">
        <f>SUM(D25:E25)</f>
        <v>-710594.5</v>
      </c>
      <c r="H25" s="1">
        <f>D25/$H$5</f>
        <v>-2746943.8501127623</v>
      </c>
      <c r="I25" s="1">
        <f>E25/$I$5</f>
        <v>1992623.7725930358</v>
      </c>
      <c r="J25" s="3">
        <f>SUM(H25:I25)</f>
        <v>-754320.07751972647</v>
      </c>
    </row>
    <row r="26" spans="1:10" x14ac:dyDescent="0.25">
      <c r="A26" s="17">
        <f t="shared" ref="A26:A27" si="0">+A25+1</f>
        <v>13</v>
      </c>
      <c r="B26" s="41" t="s">
        <v>9</v>
      </c>
      <c r="D26" s="3">
        <v>-480055.2512169187</v>
      </c>
      <c r="E26" s="3">
        <v>987410.50784958201</v>
      </c>
      <c r="F26" s="3">
        <f>SUM(D26:E26)</f>
        <v>507355.25663266331</v>
      </c>
      <c r="H26" s="1">
        <f>D26/$H$5</f>
        <v>-504728.92470092332</v>
      </c>
      <c r="I26" s="1">
        <f>E26/$I$5</f>
        <v>1034421.8789837568</v>
      </c>
      <c r="J26" s="3">
        <f>SUM(H26:I26)</f>
        <v>529692.9542828335</v>
      </c>
    </row>
    <row r="27" spans="1:10" ht="15.75" thickBot="1" x14ac:dyDescent="0.3">
      <c r="A27" s="17">
        <f t="shared" si="0"/>
        <v>14</v>
      </c>
      <c r="B27" s="2" t="s">
        <v>8</v>
      </c>
      <c r="D27" s="45">
        <f>SUM(D25:D26)</f>
        <v>-3092714.7512169187</v>
      </c>
      <c r="E27" s="45">
        <f>SUM(E25:E26)</f>
        <v>2889475.507849582</v>
      </c>
      <c r="F27" s="45">
        <f>SUM(D27:E27)</f>
        <v>-203239.24336733669</v>
      </c>
      <c r="H27" s="45">
        <f>SUM(H25:H26)</f>
        <v>-3251672.7748136856</v>
      </c>
      <c r="I27" s="45">
        <f>SUM(I25:I26)</f>
        <v>3027045.6515767928</v>
      </c>
      <c r="J27" s="45">
        <f>SUM(H27:I27)</f>
        <v>-224627.12323689274</v>
      </c>
    </row>
    <row r="28" spans="1:10" ht="15.75" thickTop="1" x14ac:dyDescent="0.25">
      <c r="D28" s="16">
        <f>D27-D13</f>
        <v>0</v>
      </c>
      <c r="E28" s="16">
        <f>E27-E13</f>
        <v>0</v>
      </c>
      <c r="F28" s="16">
        <f>F27-F13</f>
        <v>-3.7252902984619141E-9</v>
      </c>
      <c r="G28" s="46"/>
      <c r="H28" s="105">
        <f>H27-H13</f>
        <v>-8.3819031715393066E-9</v>
      </c>
      <c r="I28" s="16">
        <f>I27-I13</f>
        <v>0</v>
      </c>
      <c r="J28" s="16">
        <f>J27-J13</f>
        <v>-6.9849193096160889E-9</v>
      </c>
    </row>
    <row r="29" spans="1:10" x14ac:dyDescent="0.25">
      <c r="D29" s="1"/>
      <c r="E29" s="1"/>
      <c r="H29" s="13"/>
      <c r="I29" s="13"/>
      <c r="J29" s="13"/>
    </row>
    <row r="30" spans="1:10" x14ac:dyDescent="0.25">
      <c r="A30" s="17">
        <f>+A27+1</f>
        <v>15</v>
      </c>
      <c r="B30" s="47" t="s">
        <v>74</v>
      </c>
      <c r="C30" s="42"/>
      <c r="H30" s="106">
        <f>H27/H6</f>
        <v>-5.4718098074245519E-2</v>
      </c>
      <c r="I30" s="106">
        <f>I27/I6</f>
        <v>0.1602040645707099</v>
      </c>
    </row>
    <row r="31" spans="1:10" x14ac:dyDescent="0.25">
      <c r="A31" s="17">
        <f>+A30+1</f>
        <v>16</v>
      </c>
      <c r="B31" s="47" t="s">
        <v>75</v>
      </c>
      <c r="H31" s="17" t="str">
        <f>IF(ABS(H30)&gt;1%,"yes","no")</f>
        <v>yes</v>
      </c>
      <c r="I31" s="17" t="str">
        <f>IF(ABS(I30)&gt;1%,"yes","no")</f>
        <v>yes</v>
      </c>
    </row>
    <row r="32" spans="1:10" x14ac:dyDescent="0.25">
      <c r="A32" s="17">
        <f t="shared" ref="A32:A33" si="1">+A31+1</f>
        <v>17</v>
      </c>
      <c r="B32" s="48" t="s">
        <v>28</v>
      </c>
    </row>
    <row r="33" spans="1:2" x14ac:dyDescent="0.25">
      <c r="A33" s="17">
        <f t="shared" si="1"/>
        <v>18</v>
      </c>
      <c r="B33" s="48" t="s">
        <v>29</v>
      </c>
    </row>
    <row r="35" spans="1:2" x14ac:dyDescent="0.25">
      <c r="B35" s="49"/>
    </row>
  </sheetData>
  <pageMargins left="0.7" right="0.7" top="0.75" bottom="0.75" header="0.3" footer="0.3"/>
  <pageSetup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opLeftCell="A13" workbookViewId="0">
      <selection activeCell="P46" sqref="P46"/>
    </sheetView>
  </sheetViews>
  <sheetFormatPr defaultColWidth="9.140625" defaultRowHeight="15" x14ac:dyDescent="0.25"/>
  <cols>
    <col min="1" max="1" width="10.85546875" style="115" bestFit="1" customWidth="1"/>
    <col min="2" max="2" width="14.28515625" style="115" bestFit="1" customWidth="1"/>
    <col min="3" max="3" width="13.7109375" style="115" bestFit="1" customWidth="1"/>
    <col min="4" max="5" width="13.42578125" style="115" bestFit="1" customWidth="1"/>
    <col min="6" max="6" width="13.7109375" style="115" bestFit="1" customWidth="1"/>
    <col min="7" max="7" width="12.5703125" style="115" bestFit="1" customWidth="1"/>
    <col min="8" max="8" width="13.42578125" style="115" bestFit="1" customWidth="1"/>
    <col min="9" max="11" width="12.5703125" style="115" customWidth="1"/>
    <col min="12" max="12" width="13.28515625" style="115" bestFit="1" customWidth="1"/>
    <col min="13" max="13" width="9.140625" style="115"/>
    <col min="14" max="16" width="12.28515625" style="115" bestFit="1" customWidth="1"/>
    <col min="17" max="23" width="9.140625" style="115"/>
    <col min="24" max="24" width="14.28515625" style="115" bestFit="1" customWidth="1"/>
    <col min="25" max="32" width="9.140625" style="115"/>
    <col min="33" max="33" width="14.28515625" style="115" bestFit="1" customWidth="1"/>
    <col min="34" max="16384" width="9.140625" style="115"/>
  </cols>
  <sheetData>
    <row r="1" spans="1:16" ht="15.75" thickBot="1" x14ac:dyDescent="0.3">
      <c r="A1" s="257" t="s">
        <v>0</v>
      </c>
      <c r="N1" s="258" t="s">
        <v>146</v>
      </c>
      <c r="P1" s="259"/>
    </row>
    <row r="2" spans="1:16" x14ac:dyDescent="0.25">
      <c r="N2" s="260" t="s">
        <v>147</v>
      </c>
      <c r="O2" s="261"/>
      <c r="P2" s="262"/>
    </row>
    <row r="3" spans="1:16" x14ac:dyDescent="0.25">
      <c r="C3" s="263" t="s">
        <v>76</v>
      </c>
      <c r="D3" s="264"/>
      <c r="E3" s="264"/>
      <c r="F3" s="264"/>
      <c r="G3" s="265"/>
      <c r="H3" s="266" t="s">
        <v>77</v>
      </c>
      <c r="I3" s="264"/>
      <c r="J3" s="264"/>
      <c r="K3" s="264"/>
      <c r="L3" s="267"/>
      <c r="N3" s="268"/>
      <c r="O3" s="269"/>
      <c r="P3" s="262"/>
    </row>
    <row r="4" spans="1:16" x14ac:dyDescent="0.25">
      <c r="B4" s="270" t="s">
        <v>78</v>
      </c>
      <c r="C4" s="271" t="s">
        <v>79</v>
      </c>
      <c r="D4" s="272" t="s">
        <v>80</v>
      </c>
      <c r="E4" s="272"/>
      <c r="F4" s="272" t="s">
        <v>79</v>
      </c>
      <c r="G4" s="273"/>
      <c r="H4" s="274"/>
      <c r="I4" s="274"/>
      <c r="J4" s="274"/>
      <c r="K4" s="274"/>
      <c r="L4" s="275"/>
      <c r="N4" s="276" t="s">
        <v>148</v>
      </c>
      <c r="O4" s="269"/>
      <c r="P4" s="262"/>
    </row>
    <row r="5" spans="1:16" x14ac:dyDescent="0.25">
      <c r="B5" s="270" t="s">
        <v>81</v>
      </c>
      <c r="C5" s="277" t="s">
        <v>82</v>
      </c>
      <c r="D5" s="270" t="s">
        <v>83</v>
      </c>
      <c r="E5" s="270"/>
      <c r="F5" s="270" t="s">
        <v>84</v>
      </c>
      <c r="G5" s="108" t="s">
        <v>85</v>
      </c>
      <c r="H5" s="269"/>
      <c r="I5" s="269"/>
      <c r="J5" s="269"/>
      <c r="K5" s="270" t="s">
        <v>86</v>
      </c>
      <c r="L5" s="109" t="s">
        <v>85</v>
      </c>
      <c r="N5" s="276" t="s">
        <v>90</v>
      </c>
      <c r="O5" s="269"/>
      <c r="P5" s="262"/>
    </row>
    <row r="6" spans="1:16" x14ac:dyDescent="0.25">
      <c r="A6" s="110" t="s">
        <v>87</v>
      </c>
      <c r="B6" s="110" t="s">
        <v>88</v>
      </c>
      <c r="C6" s="278" t="s">
        <v>89</v>
      </c>
      <c r="D6" s="110" t="s">
        <v>90</v>
      </c>
      <c r="E6" s="110" t="s">
        <v>91</v>
      </c>
      <c r="F6" s="110" t="s">
        <v>85</v>
      </c>
      <c r="G6" s="279" t="s">
        <v>13</v>
      </c>
      <c r="H6" s="110" t="s">
        <v>92</v>
      </c>
      <c r="I6" s="110" t="s">
        <v>93</v>
      </c>
      <c r="J6" s="110" t="s">
        <v>91</v>
      </c>
      <c r="K6" s="110" t="s">
        <v>69</v>
      </c>
      <c r="L6" s="280" t="s">
        <v>13</v>
      </c>
      <c r="N6" s="276" t="s">
        <v>80</v>
      </c>
      <c r="O6" s="269"/>
      <c r="P6" s="262"/>
    </row>
    <row r="7" spans="1:16" x14ac:dyDescent="0.25">
      <c r="A7" s="281" t="s">
        <v>149</v>
      </c>
      <c r="C7" s="111" t="s">
        <v>94</v>
      </c>
      <c r="D7" s="282"/>
      <c r="E7" s="269"/>
      <c r="F7" s="269"/>
      <c r="G7" s="283"/>
      <c r="H7" s="269"/>
      <c r="I7" s="269"/>
      <c r="J7" s="269"/>
      <c r="K7" s="269"/>
      <c r="L7" s="284"/>
      <c r="N7" s="268"/>
      <c r="O7" s="269"/>
      <c r="P7" s="262"/>
    </row>
    <row r="8" spans="1:16" x14ac:dyDescent="0.25">
      <c r="A8" s="115" t="s">
        <v>95</v>
      </c>
      <c r="C8" s="285"/>
      <c r="D8" s="269"/>
      <c r="E8" s="269"/>
      <c r="F8" s="269"/>
      <c r="G8" s="286">
        <v>13894867</v>
      </c>
      <c r="H8" s="269"/>
      <c r="I8" s="269"/>
      <c r="J8" s="269"/>
      <c r="K8" s="269"/>
      <c r="L8" s="119">
        <v>5348398</v>
      </c>
      <c r="N8" s="268"/>
      <c r="O8" s="269"/>
      <c r="P8" s="262"/>
    </row>
    <row r="9" spans="1:16" x14ac:dyDescent="0.25">
      <c r="A9" s="115" t="s">
        <v>96</v>
      </c>
      <c r="B9" s="122"/>
      <c r="C9" s="287">
        <f t="shared" ref="C9:C19" si="0">G29</f>
        <v>5781001</v>
      </c>
      <c r="D9" s="112">
        <f>+N9</f>
        <v>-5439489.7815239998</v>
      </c>
      <c r="E9" s="112"/>
      <c r="F9" s="112">
        <f t="shared" ref="F9:F20" si="1">SUM(C9:E9)</f>
        <v>341511.21847600024</v>
      </c>
      <c r="G9" s="118">
        <f>F9+G8</f>
        <v>14236378.218476001</v>
      </c>
      <c r="H9" s="112">
        <v>-1337100</v>
      </c>
      <c r="I9" s="112"/>
      <c r="J9" s="112"/>
      <c r="K9" s="112">
        <f>SUM(H9:J9)</f>
        <v>-1337100</v>
      </c>
      <c r="L9" s="119">
        <f>L8+K9</f>
        <v>4011298</v>
      </c>
      <c r="N9" s="302">
        <v>-5439489.7815239998</v>
      </c>
      <c r="O9" s="269"/>
      <c r="P9" s="262"/>
    </row>
    <row r="10" spans="1:16" x14ac:dyDescent="0.25">
      <c r="A10" s="115" t="s">
        <v>97</v>
      </c>
      <c r="B10" s="116"/>
      <c r="C10" s="117">
        <f t="shared" si="0"/>
        <v>5801427</v>
      </c>
      <c r="D10" s="113">
        <f>N10-SUM($D$9:D9)</f>
        <v>-5647661.3610179992</v>
      </c>
      <c r="E10" s="113"/>
      <c r="F10" s="113">
        <f t="shared" si="1"/>
        <v>153765.63898200076</v>
      </c>
      <c r="G10" s="118">
        <f>F10+G9</f>
        <v>14390143.857458003</v>
      </c>
      <c r="H10" s="113">
        <f>+H9</f>
        <v>-1337100</v>
      </c>
      <c r="I10" s="113"/>
      <c r="J10" s="113"/>
      <c r="K10" s="113">
        <f t="shared" ref="K10:K20" si="2">SUM(H10:J10)</f>
        <v>-1337100</v>
      </c>
      <c r="L10" s="119">
        <f t="shared" ref="L10:L20" si="3">L9+K10</f>
        <v>2674198</v>
      </c>
      <c r="N10" s="290">
        <v>-11087151.142541999</v>
      </c>
      <c r="O10" s="269"/>
      <c r="P10" s="262"/>
    </row>
    <row r="11" spans="1:16" x14ac:dyDescent="0.25">
      <c r="A11" s="115" t="s">
        <v>98</v>
      </c>
      <c r="B11" s="116"/>
      <c r="C11" s="117">
        <f t="shared" si="0"/>
        <v>5774766</v>
      </c>
      <c r="D11" s="113">
        <f>N11-SUM($D$9:D10)</f>
        <v>-5307822.4170239996</v>
      </c>
      <c r="E11" s="113"/>
      <c r="F11" s="113">
        <f t="shared" si="1"/>
        <v>466943.58297600038</v>
      </c>
      <c r="G11" s="118">
        <f t="shared" ref="G11:G20" si="4">F11+G10</f>
        <v>14857087.440434003</v>
      </c>
      <c r="H11" s="113">
        <v>-1337099</v>
      </c>
      <c r="I11" s="114"/>
      <c r="J11" s="113"/>
      <c r="K11" s="113">
        <f t="shared" si="2"/>
        <v>-1337099</v>
      </c>
      <c r="L11" s="119">
        <f t="shared" si="3"/>
        <v>1337099</v>
      </c>
      <c r="N11" s="290">
        <v>-16394973.559565999</v>
      </c>
      <c r="O11" s="269"/>
      <c r="P11" s="262"/>
    </row>
    <row r="12" spans="1:16" x14ac:dyDescent="0.25">
      <c r="A12" s="115" t="s">
        <v>99</v>
      </c>
      <c r="B12" s="116"/>
      <c r="C12" s="117">
        <f t="shared" si="0"/>
        <v>5981312</v>
      </c>
      <c r="D12" s="113">
        <f>N12-SUM($D$9:D11)</f>
        <v>-4324077.2032020018</v>
      </c>
      <c r="E12" s="113"/>
      <c r="F12" s="113">
        <f t="shared" si="1"/>
        <v>1657234.7967979982</v>
      </c>
      <c r="G12" s="118">
        <f>F12+G11</f>
        <v>16514322.237232001</v>
      </c>
      <c r="H12" s="113">
        <f>H11</f>
        <v>-1337099</v>
      </c>
      <c r="I12" s="114">
        <f>435551.63-2698</f>
        <v>432853.63</v>
      </c>
      <c r="J12" s="113"/>
      <c r="K12" s="113">
        <f t="shared" si="2"/>
        <v>-904245.37</v>
      </c>
      <c r="L12" s="119">
        <f t="shared" si="3"/>
        <v>432853.63</v>
      </c>
      <c r="N12" s="290">
        <v>-20719050.762768</v>
      </c>
      <c r="O12" s="269"/>
      <c r="P12" s="262"/>
    </row>
    <row r="13" spans="1:16" x14ac:dyDescent="0.25">
      <c r="A13" s="115" t="s">
        <v>100</v>
      </c>
      <c r="B13" s="116"/>
      <c r="C13" s="117">
        <f t="shared" si="0"/>
        <v>5771732</v>
      </c>
      <c r="D13" s="113">
        <f>N13-SUM($D$9:D12)</f>
        <v>-3973039.4270600006</v>
      </c>
      <c r="E13" s="113">
        <f>-J13</f>
        <v>-13894867</v>
      </c>
      <c r="F13" s="113">
        <f t="shared" si="1"/>
        <v>-12096174.427060001</v>
      </c>
      <c r="G13" s="118">
        <f>F13+G12</f>
        <v>4418147.8101720009</v>
      </c>
      <c r="H13" s="113">
        <v>-1193977</v>
      </c>
      <c r="I13" s="113"/>
      <c r="J13" s="113">
        <f>G8</f>
        <v>13894867</v>
      </c>
      <c r="K13" s="113">
        <f t="shared" si="2"/>
        <v>12700890</v>
      </c>
      <c r="L13" s="119">
        <f t="shared" si="3"/>
        <v>13133743.630000001</v>
      </c>
      <c r="N13" s="290">
        <v>-24692090.189828001</v>
      </c>
      <c r="O13" s="269"/>
      <c r="P13" s="262"/>
    </row>
    <row r="14" spans="1:16" x14ac:dyDescent="0.25">
      <c r="A14" s="115" t="s">
        <v>101</v>
      </c>
      <c r="B14" s="116"/>
      <c r="C14" s="117">
        <f t="shared" si="0"/>
        <v>5318723</v>
      </c>
      <c r="D14" s="113">
        <f>N14-SUM($D$9:D13)</f>
        <v>-4255523.435405001</v>
      </c>
      <c r="E14" s="113"/>
      <c r="F14" s="113">
        <f t="shared" si="1"/>
        <v>1063199.564594999</v>
      </c>
      <c r="G14" s="118">
        <f t="shared" si="4"/>
        <v>5481347.3747669999</v>
      </c>
      <c r="H14" s="113">
        <f>H13</f>
        <v>-1193977</v>
      </c>
      <c r="I14" s="113"/>
      <c r="J14" s="113"/>
      <c r="K14" s="113">
        <f t="shared" si="2"/>
        <v>-1193977</v>
      </c>
      <c r="L14" s="119">
        <f t="shared" si="3"/>
        <v>11939766.630000001</v>
      </c>
      <c r="N14" s="290">
        <v>-28947613.625233002</v>
      </c>
      <c r="O14" s="289"/>
      <c r="P14" s="262"/>
    </row>
    <row r="15" spans="1:16" x14ac:dyDescent="0.25">
      <c r="A15" s="115" t="s">
        <v>70</v>
      </c>
      <c r="B15" s="116"/>
      <c r="C15" s="117">
        <f t="shared" si="0"/>
        <v>5790335</v>
      </c>
      <c r="D15" s="113">
        <f>N15-SUM($D$9:D14)</f>
        <v>-4050238.5782649964</v>
      </c>
      <c r="E15" s="113"/>
      <c r="F15" s="113">
        <f t="shared" si="1"/>
        <v>1740096.4217350036</v>
      </c>
      <c r="G15" s="118">
        <f t="shared" si="4"/>
        <v>7221443.7965020034</v>
      </c>
      <c r="H15" s="113">
        <f>H14</f>
        <v>-1193977</v>
      </c>
      <c r="I15" s="113"/>
      <c r="J15" s="113"/>
      <c r="K15" s="113">
        <f t="shared" si="2"/>
        <v>-1193977</v>
      </c>
      <c r="L15" s="119">
        <f t="shared" si="3"/>
        <v>10745789.630000001</v>
      </c>
      <c r="N15" s="290">
        <v>-32997852.203497998</v>
      </c>
      <c r="O15" s="289"/>
      <c r="P15" s="262"/>
    </row>
    <row r="16" spans="1:16" x14ac:dyDescent="0.25">
      <c r="A16" s="115" t="s">
        <v>102</v>
      </c>
      <c r="B16" s="116"/>
      <c r="C16" s="117">
        <f t="shared" si="0"/>
        <v>5781020</v>
      </c>
      <c r="D16" s="113">
        <f>N16-SUM($D$9:D15)</f>
        <v>-4173399.4107300043</v>
      </c>
      <c r="E16" s="113"/>
      <c r="F16" s="113">
        <f t="shared" si="1"/>
        <v>1607620.5892699957</v>
      </c>
      <c r="G16" s="118">
        <f t="shared" si="4"/>
        <v>8829064.3857719991</v>
      </c>
      <c r="H16" s="113">
        <f>H15</f>
        <v>-1193977</v>
      </c>
      <c r="I16" s="113"/>
      <c r="J16" s="113"/>
      <c r="K16" s="113">
        <f t="shared" si="2"/>
        <v>-1193977</v>
      </c>
      <c r="L16" s="119">
        <f t="shared" si="3"/>
        <v>9551812.6300000008</v>
      </c>
      <c r="N16" s="290">
        <v>-37171251.614228003</v>
      </c>
      <c r="O16" s="289"/>
      <c r="P16" s="262"/>
    </row>
    <row r="17" spans="1:33" x14ac:dyDescent="0.25">
      <c r="A17" s="115" t="s">
        <v>103</v>
      </c>
      <c r="B17" s="116"/>
      <c r="C17" s="117">
        <f t="shared" si="0"/>
        <v>5678445</v>
      </c>
      <c r="D17" s="113">
        <f>N17-SUM($D$9:D16)</f>
        <v>-3784579.7942700014</v>
      </c>
      <c r="E17" s="113"/>
      <c r="F17" s="113">
        <f t="shared" si="1"/>
        <v>1893865.2057299986</v>
      </c>
      <c r="G17" s="118">
        <f t="shared" si="4"/>
        <v>10722929.591501998</v>
      </c>
      <c r="H17" s="113">
        <f>+H14</f>
        <v>-1193977</v>
      </c>
      <c r="I17" s="113"/>
      <c r="J17" s="113"/>
      <c r="K17" s="113">
        <f t="shared" si="2"/>
        <v>-1193977</v>
      </c>
      <c r="L17" s="119">
        <f t="shared" si="3"/>
        <v>8357835.6300000008</v>
      </c>
      <c r="N17" s="290">
        <v>-40955831.408498004</v>
      </c>
      <c r="O17" s="289"/>
      <c r="P17" s="262"/>
    </row>
    <row r="18" spans="1:33" x14ac:dyDescent="0.25">
      <c r="A18" s="115" t="s">
        <v>104</v>
      </c>
      <c r="B18" s="116"/>
      <c r="C18" s="117">
        <f t="shared" si="0"/>
        <v>5746352</v>
      </c>
      <c r="D18" s="113">
        <f>N18-SUM($D$9:D17)</f>
        <v>-4507272.2861699462</v>
      </c>
      <c r="E18" s="113"/>
      <c r="F18" s="113">
        <f t="shared" si="1"/>
        <v>1239079.7138300538</v>
      </c>
      <c r="G18" s="118">
        <f t="shared" si="4"/>
        <v>11962009.305332052</v>
      </c>
      <c r="H18" s="113">
        <f>+H15</f>
        <v>-1193977</v>
      </c>
      <c r="I18" s="113">
        <v>-66635</v>
      </c>
      <c r="J18" s="113"/>
      <c r="K18" s="113">
        <f t="shared" si="2"/>
        <v>-1260612</v>
      </c>
      <c r="L18" s="119">
        <f t="shared" si="3"/>
        <v>7097223.6300000008</v>
      </c>
      <c r="N18" s="290">
        <v>-45463103.69466795</v>
      </c>
      <c r="O18" s="289"/>
      <c r="P18" s="262"/>
    </row>
    <row r="19" spans="1:33" x14ac:dyDescent="0.25">
      <c r="A19" s="115" t="s">
        <v>105</v>
      </c>
      <c r="B19" s="116"/>
      <c r="C19" s="117">
        <f t="shared" si="0"/>
        <v>5688930</v>
      </c>
      <c r="D19" s="113">
        <f>N19-SUM($D$9:D18)</f>
        <v>-4799807.906102553</v>
      </c>
      <c r="E19" s="113"/>
      <c r="F19" s="113">
        <f t="shared" si="1"/>
        <v>889122.09389744699</v>
      </c>
      <c r="G19" s="118">
        <f t="shared" si="4"/>
        <v>12851131.399229499</v>
      </c>
      <c r="H19" s="113">
        <f>+H18</f>
        <v>-1193977</v>
      </c>
      <c r="I19" s="113"/>
      <c r="J19" s="113"/>
      <c r="K19" s="113">
        <f t="shared" si="2"/>
        <v>-1193977</v>
      </c>
      <c r="L19" s="119">
        <f t="shared" si="3"/>
        <v>5903246.6300000008</v>
      </c>
      <c r="N19" s="290">
        <v>-50262911.600770503</v>
      </c>
      <c r="O19" s="289"/>
      <c r="P19" s="262"/>
    </row>
    <row r="20" spans="1:33" x14ac:dyDescent="0.25">
      <c r="A20" s="115" t="s">
        <v>106</v>
      </c>
      <c r="B20" s="116"/>
      <c r="C20" s="291">
        <f>G40</f>
        <v>5964585</v>
      </c>
      <c r="D20" s="113">
        <f>N20-SUM($D$9:D19)</f>
        <v>-6033594.8833049983</v>
      </c>
      <c r="E20" s="120">
        <v>0</v>
      </c>
      <c r="F20" s="120">
        <f t="shared" si="1"/>
        <v>-69009.883304998279</v>
      </c>
      <c r="G20" s="292">
        <f t="shared" si="4"/>
        <v>12782121.5159245</v>
      </c>
      <c r="H20" s="120">
        <f>+H19</f>
        <v>-1193977</v>
      </c>
      <c r="I20" s="120"/>
      <c r="J20" s="120"/>
      <c r="K20" s="120">
        <f t="shared" si="2"/>
        <v>-1193977</v>
      </c>
      <c r="L20" s="293">
        <f t="shared" si="3"/>
        <v>4709269.6300000008</v>
      </c>
      <c r="N20" s="290">
        <v>-56296506.484075502</v>
      </c>
      <c r="O20" s="269"/>
      <c r="P20" s="262"/>
    </row>
    <row r="21" spans="1:33" x14ac:dyDescent="0.25">
      <c r="C21" s="116"/>
      <c r="D21" s="116"/>
      <c r="E21" s="116"/>
      <c r="F21" s="116"/>
      <c r="G21" s="283"/>
      <c r="H21" s="269"/>
      <c r="I21" s="269"/>
      <c r="J21" s="269"/>
      <c r="K21" s="269"/>
      <c r="N21" s="268"/>
      <c r="O21" s="269"/>
      <c r="P21" s="262"/>
    </row>
    <row r="22" spans="1:33" ht="15.75" thickBot="1" x14ac:dyDescent="0.3">
      <c r="C22" s="116"/>
      <c r="D22" s="116"/>
      <c r="E22" s="116"/>
      <c r="F22" s="116"/>
      <c r="G22" s="118"/>
      <c r="H22" s="294">
        <f>SUM(H9:H21)</f>
        <v>-14900214</v>
      </c>
      <c r="I22" s="294">
        <f>SUM(I9:I21)</f>
        <v>366218.63</v>
      </c>
      <c r="J22" s="294">
        <f>SUM(J9:J21)</f>
        <v>13894867</v>
      </c>
      <c r="K22" s="294">
        <f>SUM(K9:K21)</f>
        <v>-639128.37000000011</v>
      </c>
      <c r="N22" s="268"/>
      <c r="O22" s="269"/>
      <c r="P22" s="262"/>
    </row>
    <row r="23" spans="1:33" ht="15.75" thickTop="1" x14ac:dyDescent="0.25">
      <c r="C23" s="116"/>
      <c r="D23" s="116"/>
      <c r="E23" s="116"/>
      <c r="F23" s="116"/>
      <c r="G23" s="116"/>
      <c r="N23" s="268"/>
      <c r="O23" s="269"/>
      <c r="P23" s="262"/>
    </row>
    <row r="24" spans="1:33" x14ac:dyDescent="0.25">
      <c r="C24" s="116"/>
      <c r="D24" s="116"/>
      <c r="E24" s="116"/>
      <c r="F24" s="116"/>
      <c r="N24" s="268"/>
      <c r="O24" s="269"/>
      <c r="P24" s="262"/>
    </row>
    <row r="25" spans="1:33" x14ac:dyDescent="0.25">
      <c r="B25" s="295" t="s">
        <v>107</v>
      </c>
      <c r="C25" s="295"/>
      <c r="D25" s="296" t="s">
        <v>108</v>
      </c>
      <c r="E25" s="296" t="s">
        <v>109</v>
      </c>
      <c r="N25" s="276" t="s">
        <v>148</v>
      </c>
      <c r="O25" s="270" t="s">
        <v>148</v>
      </c>
      <c r="P25" s="297" t="s">
        <v>148</v>
      </c>
    </row>
    <row r="26" spans="1:33" x14ac:dyDescent="0.25">
      <c r="B26" s="295" t="s">
        <v>110</v>
      </c>
      <c r="C26" s="295"/>
      <c r="D26" s="296" t="s">
        <v>111</v>
      </c>
      <c r="E26" s="296" t="s">
        <v>112</v>
      </c>
      <c r="N26" s="268">
        <v>23600201</v>
      </c>
      <c r="O26" s="270" t="s">
        <v>108</v>
      </c>
      <c r="P26" s="297" t="s">
        <v>109</v>
      </c>
      <c r="X26" s="121"/>
      <c r="AG26" s="121"/>
    </row>
    <row r="27" spans="1:33" x14ac:dyDescent="0.25">
      <c r="B27" s="298" t="s">
        <v>113</v>
      </c>
      <c r="C27" s="298" t="s">
        <v>114</v>
      </c>
      <c r="D27" s="298" t="s">
        <v>115</v>
      </c>
      <c r="E27" s="298" t="s">
        <v>116</v>
      </c>
      <c r="F27" s="298" t="s">
        <v>92</v>
      </c>
      <c r="G27" s="298" t="s">
        <v>117</v>
      </c>
      <c r="N27" s="268">
        <v>23600211</v>
      </c>
      <c r="O27" s="270" t="s">
        <v>111</v>
      </c>
      <c r="P27" s="297" t="s">
        <v>112</v>
      </c>
      <c r="AG27" s="121"/>
    </row>
    <row r="28" spans="1:33" x14ac:dyDescent="0.25">
      <c r="A28" s="281" t="s">
        <v>149</v>
      </c>
      <c r="J28" s="116"/>
      <c r="N28" s="308">
        <v>23600221</v>
      </c>
      <c r="O28" s="300" t="s">
        <v>115</v>
      </c>
      <c r="P28" s="301" t="s">
        <v>116</v>
      </c>
    </row>
    <row r="29" spans="1:33" x14ac:dyDescent="0.25">
      <c r="A29" s="115" t="s">
        <v>96</v>
      </c>
      <c r="B29" s="121">
        <f>N29/1*12</f>
        <v>53212956</v>
      </c>
      <c r="C29" s="122">
        <f>B29/12</f>
        <v>4434413</v>
      </c>
      <c r="D29" s="122">
        <f>+O29</f>
        <v>9488</v>
      </c>
      <c r="E29" s="122">
        <f>+P29</f>
        <v>0</v>
      </c>
      <c r="F29" s="116">
        <f t="shared" ref="F29:F40" si="5">-H9</f>
        <v>1337100</v>
      </c>
      <c r="G29" s="122">
        <f t="shared" ref="G29:G40" si="6">SUM(C29:F29)</f>
        <v>5781001</v>
      </c>
      <c r="I29" s="116"/>
      <c r="N29" s="302">
        <v>4434413</v>
      </c>
      <c r="O29" s="112">
        <v>9488</v>
      </c>
      <c r="P29" s="303">
        <v>0</v>
      </c>
    </row>
    <row r="30" spans="1:33" x14ac:dyDescent="0.25">
      <c r="A30" s="115" t="s">
        <v>97</v>
      </c>
      <c r="B30" s="121">
        <f>N30/2*12</f>
        <v>53212950</v>
      </c>
      <c r="C30" s="116">
        <f>B30/12*2-C29</f>
        <v>4434412</v>
      </c>
      <c r="D30" s="116">
        <f>+O30-SUM($D$29:D29)</f>
        <v>29915</v>
      </c>
      <c r="E30" s="116">
        <f>P30-SUM($E$29:E29)</f>
        <v>0</v>
      </c>
      <c r="F30" s="116">
        <f t="shared" si="5"/>
        <v>1337100</v>
      </c>
      <c r="G30" s="116">
        <f t="shared" si="6"/>
        <v>5801427</v>
      </c>
      <c r="I30" s="116"/>
      <c r="N30" s="290">
        <v>8868825</v>
      </c>
      <c r="O30" s="113">
        <v>39403</v>
      </c>
      <c r="P30" s="303">
        <v>0</v>
      </c>
    </row>
    <row r="31" spans="1:33" x14ac:dyDescent="0.25">
      <c r="A31" s="115" t="s">
        <v>98</v>
      </c>
      <c r="B31" s="121">
        <f>N31/3*12</f>
        <v>53212948</v>
      </c>
      <c r="C31" s="116">
        <f>B31/12*3-SUM($C$29:C30)</f>
        <v>4434412</v>
      </c>
      <c r="D31" s="116">
        <f>+O31-SUM($D$29:D30)</f>
        <v>3510</v>
      </c>
      <c r="E31" s="116">
        <f>P31-SUM($E$29:E30)</f>
        <v>-255</v>
      </c>
      <c r="F31" s="116">
        <f t="shared" si="5"/>
        <v>1337099</v>
      </c>
      <c r="G31" s="116">
        <f t="shared" si="6"/>
        <v>5774766</v>
      </c>
      <c r="N31" s="290">
        <v>13303237</v>
      </c>
      <c r="O31" s="113">
        <v>42913</v>
      </c>
      <c r="P31" s="303">
        <v>-255</v>
      </c>
    </row>
    <row r="32" spans="1:33" x14ac:dyDescent="0.25">
      <c r="A32" s="115" t="s">
        <v>99</v>
      </c>
      <c r="B32" s="121">
        <f>N32/4*12</f>
        <v>54161136</v>
      </c>
      <c r="C32" s="116">
        <f>B32/12*4-SUM($C$29:C31)</f>
        <v>4750475</v>
      </c>
      <c r="D32" s="116">
        <f>+O32-SUM($D$29:D31)</f>
        <v>26856</v>
      </c>
      <c r="E32" s="116">
        <f>P32-SUM($E$29:E31)</f>
        <v>-133118</v>
      </c>
      <c r="F32" s="116">
        <f t="shared" si="5"/>
        <v>1337099</v>
      </c>
      <c r="G32" s="116">
        <f t="shared" si="6"/>
        <v>5981312</v>
      </c>
      <c r="N32" s="290">
        <v>18053712</v>
      </c>
      <c r="O32" s="113">
        <v>69769</v>
      </c>
      <c r="P32" s="303">
        <v>-133373</v>
      </c>
    </row>
    <row r="33" spans="1:16" x14ac:dyDescent="0.25">
      <c r="A33" s="115" t="s">
        <v>100</v>
      </c>
      <c r="B33" s="121">
        <f>N33/5*12</f>
        <v>54161136</v>
      </c>
      <c r="C33" s="116">
        <f>B33/12*5-SUM($C$29:C32)</f>
        <v>4513428</v>
      </c>
      <c r="D33" s="116">
        <f xml:space="preserve"> O33-SUM($D$29:D32)</f>
        <v>0</v>
      </c>
      <c r="E33" s="116">
        <f>P33-SUM($E$29:E32)</f>
        <v>64327</v>
      </c>
      <c r="F33" s="116">
        <f t="shared" si="5"/>
        <v>1193977</v>
      </c>
      <c r="G33" s="116">
        <f t="shared" si="6"/>
        <v>5771732</v>
      </c>
      <c r="N33" s="290">
        <v>22567140</v>
      </c>
      <c r="O33" s="113">
        <v>69769</v>
      </c>
      <c r="P33" s="303">
        <v>-69046</v>
      </c>
    </row>
    <row r="34" spans="1:16" x14ac:dyDescent="0.25">
      <c r="A34" s="115" t="s">
        <v>101</v>
      </c>
      <c r="B34" s="121">
        <f>N34/6*12</f>
        <v>53383560</v>
      </c>
      <c r="C34" s="116">
        <f>B34/12*6-SUM($C$29:C33)</f>
        <v>4124640</v>
      </c>
      <c r="D34" s="116">
        <f>O34-SUM($D$29:D33)</f>
        <v>114</v>
      </c>
      <c r="E34" s="116">
        <f>P34-SUM($E$29:E33)</f>
        <v>-8</v>
      </c>
      <c r="F34" s="116">
        <f t="shared" si="5"/>
        <v>1193977</v>
      </c>
      <c r="G34" s="116">
        <f t="shared" si="6"/>
        <v>5318723</v>
      </c>
      <c r="N34" s="290">
        <v>26691780</v>
      </c>
      <c r="O34" s="113">
        <v>69883</v>
      </c>
      <c r="P34" s="303">
        <v>-69054</v>
      </c>
    </row>
    <row r="35" spans="1:16" x14ac:dyDescent="0.25">
      <c r="A35" s="115" t="s">
        <v>70</v>
      </c>
      <c r="B35" s="121">
        <f>N35/7*12</f>
        <v>53636808</v>
      </c>
      <c r="C35" s="116">
        <f>B35/12*7-SUM($C$29:C34)</f>
        <v>4596358</v>
      </c>
      <c r="D35" s="116">
        <f>O35-SUM($D$29:D34)</f>
        <v>0</v>
      </c>
      <c r="E35" s="116">
        <f>P35-SUM($E$29:E34)</f>
        <v>0</v>
      </c>
      <c r="F35" s="116">
        <f t="shared" si="5"/>
        <v>1193977</v>
      </c>
      <c r="G35" s="116">
        <f t="shared" si="6"/>
        <v>5790335</v>
      </c>
      <c r="N35" s="290">
        <v>31288138</v>
      </c>
      <c r="O35" s="113">
        <v>69883</v>
      </c>
      <c r="P35" s="303">
        <v>-69054</v>
      </c>
    </row>
    <row r="36" spans="1:16" x14ac:dyDescent="0.25">
      <c r="A36" s="115" t="s">
        <v>102</v>
      </c>
      <c r="B36" s="121">
        <f>N36/8*12</f>
        <v>53812771.5</v>
      </c>
      <c r="C36" s="116">
        <f>B36/12*8-SUM($C$29:C35)</f>
        <v>4587043</v>
      </c>
      <c r="D36" s="116">
        <f>O36-SUM($D$29:D35)</f>
        <v>0</v>
      </c>
      <c r="E36" s="116">
        <f>P36-SUM($E$29:E35)</f>
        <v>0</v>
      </c>
      <c r="F36" s="116">
        <f t="shared" si="5"/>
        <v>1193977</v>
      </c>
      <c r="G36" s="116">
        <f t="shared" si="6"/>
        <v>5781020</v>
      </c>
      <c r="N36" s="290">
        <v>35875181</v>
      </c>
      <c r="O36" s="113">
        <v>69883</v>
      </c>
      <c r="P36" s="303">
        <v>-69054</v>
      </c>
    </row>
    <row r="37" spans="1:16" x14ac:dyDescent="0.25">
      <c r="A37" s="115" t="s">
        <v>103</v>
      </c>
      <c r="B37" s="121">
        <f>N37/9*12</f>
        <v>53812865.333333328</v>
      </c>
      <c r="C37" s="116">
        <f>B37/12*9-SUM($C$29:C36)</f>
        <v>4484468</v>
      </c>
      <c r="D37" s="116">
        <f>O37-SUM($D$29:D36)</f>
        <v>0</v>
      </c>
      <c r="E37" s="116">
        <f>P37-SUM($E$29:E36)</f>
        <v>0</v>
      </c>
      <c r="F37" s="116">
        <f t="shared" si="5"/>
        <v>1193977</v>
      </c>
      <c r="G37" s="116">
        <f t="shared" si="6"/>
        <v>5678445</v>
      </c>
      <c r="N37" s="290">
        <v>40359649</v>
      </c>
      <c r="O37" s="113">
        <v>69883</v>
      </c>
      <c r="P37" s="303">
        <v>-69054</v>
      </c>
    </row>
    <row r="38" spans="1:16" x14ac:dyDescent="0.25">
      <c r="A38" s="115" t="s">
        <v>104</v>
      </c>
      <c r="B38" s="121">
        <f>N38/10*12</f>
        <v>53812938</v>
      </c>
      <c r="C38" s="116">
        <f>B38/12*10-SUM($C$29:C37)</f>
        <v>4484466</v>
      </c>
      <c r="D38" s="116">
        <f>O38-SUM($D$29:D37)</f>
        <v>0</v>
      </c>
      <c r="E38" s="116">
        <f>P38-SUM($E$29:E37)</f>
        <v>67909</v>
      </c>
      <c r="F38" s="116">
        <f t="shared" si="5"/>
        <v>1193977</v>
      </c>
      <c r="G38" s="116">
        <f t="shared" si="6"/>
        <v>5746352</v>
      </c>
      <c r="N38" s="290">
        <v>44844115</v>
      </c>
      <c r="O38" s="113">
        <v>69883</v>
      </c>
      <c r="P38" s="303">
        <v>-1145</v>
      </c>
    </row>
    <row r="39" spans="1:16" x14ac:dyDescent="0.25">
      <c r="A39" s="115" t="s">
        <v>105</v>
      </c>
      <c r="B39" s="121">
        <f>N39/11*12</f>
        <v>53824316.727272734</v>
      </c>
      <c r="C39" s="116">
        <f>B39/12*11-SUM($C$29:C38)</f>
        <v>4494842</v>
      </c>
      <c r="D39" s="116">
        <f>O39-SUM($D$29:D38)</f>
        <v>111</v>
      </c>
      <c r="E39" s="116">
        <f>P39-SUM($E$29:E38)</f>
        <v>0</v>
      </c>
      <c r="F39" s="116">
        <f t="shared" si="5"/>
        <v>1193977</v>
      </c>
      <c r="G39" s="116">
        <f t="shared" si="6"/>
        <v>5688930</v>
      </c>
      <c r="I39" s="304"/>
      <c r="K39" s="304"/>
      <c r="N39" s="290">
        <v>49338957</v>
      </c>
      <c r="O39" s="113">
        <v>69994</v>
      </c>
      <c r="P39" s="303">
        <v>-1145</v>
      </c>
    </row>
    <row r="40" spans="1:16" ht="15.75" thickBot="1" x14ac:dyDescent="0.3">
      <c r="A40" s="115" t="s">
        <v>106</v>
      </c>
      <c r="B40" s="121">
        <f>N40</f>
        <v>54109565</v>
      </c>
      <c r="C40" s="116">
        <f>B40/12*12-SUM($C$29:C39)</f>
        <v>4770608</v>
      </c>
      <c r="D40" s="116">
        <f>O40-SUM($D$29:D39)</f>
        <v>0</v>
      </c>
      <c r="E40" s="116">
        <f>P40-SUM($E$29:E39)</f>
        <v>0</v>
      </c>
      <c r="F40" s="116">
        <f t="shared" si="5"/>
        <v>1193977</v>
      </c>
      <c r="G40" s="116">
        <f t="shared" si="6"/>
        <v>5964585</v>
      </c>
      <c r="I40" s="304"/>
      <c r="K40" s="304"/>
      <c r="N40" s="305">
        <v>54109565</v>
      </c>
      <c r="O40" s="306">
        <v>69994</v>
      </c>
      <c r="P40" s="307">
        <v>-1145</v>
      </c>
    </row>
    <row r="41" spans="1:16" x14ac:dyDescent="0.25">
      <c r="C41" s="116"/>
      <c r="D41" s="116"/>
      <c r="E41" s="116"/>
      <c r="F41" s="116"/>
      <c r="I41" s="304"/>
      <c r="K41" s="304"/>
    </row>
    <row r="42" spans="1:16" x14ac:dyDescent="0.25">
      <c r="I42" s="304"/>
      <c r="K42" s="304"/>
    </row>
    <row r="43" spans="1:16" x14ac:dyDescent="0.25">
      <c r="I43" s="304"/>
      <c r="J43" s="304"/>
      <c r="K43" s="304"/>
    </row>
    <row r="44" spans="1:16" x14ac:dyDescent="0.25">
      <c r="I44" s="304"/>
      <c r="K44" s="304"/>
    </row>
    <row r="45" spans="1:16" x14ac:dyDescent="0.25">
      <c r="I45" s="304"/>
      <c r="K45" s="304"/>
    </row>
    <row r="46" spans="1:16" x14ac:dyDescent="0.25">
      <c r="I46" s="304"/>
      <c r="K46" s="304"/>
    </row>
    <row r="47" spans="1:16" x14ac:dyDescent="0.25">
      <c r="I47" s="304"/>
      <c r="K47" s="304"/>
    </row>
    <row r="48" spans="1:16" x14ac:dyDescent="0.25">
      <c r="I48" s="304"/>
      <c r="K48" s="304"/>
    </row>
    <row r="49" spans="9:12" x14ac:dyDescent="0.25">
      <c r="I49" s="304"/>
      <c r="K49" s="304"/>
    </row>
    <row r="50" spans="9:12" x14ac:dyDescent="0.25">
      <c r="I50" s="304"/>
      <c r="K50" s="304"/>
    </row>
    <row r="51" spans="9:12" x14ac:dyDescent="0.25">
      <c r="L51" s="304"/>
    </row>
    <row r="52" spans="9:12" x14ac:dyDescent="0.25">
      <c r="L52" s="304"/>
    </row>
    <row r="53" spans="9:12" x14ac:dyDescent="0.25">
      <c r="L53" s="304"/>
    </row>
    <row r="54" spans="9:12" x14ac:dyDescent="0.25">
      <c r="L54" s="304"/>
    </row>
    <row r="55" spans="9:12" x14ac:dyDescent="0.25">
      <c r="I55" s="304"/>
      <c r="J55" s="304"/>
      <c r="K55" s="304"/>
      <c r="L55" s="30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opLeftCell="E1" workbookViewId="0">
      <selection activeCell="B31" sqref="B31"/>
    </sheetView>
  </sheetViews>
  <sheetFormatPr defaultColWidth="9.140625" defaultRowHeight="15" x14ac:dyDescent="0.25"/>
  <cols>
    <col min="1" max="1" width="10.85546875" style="115" bestFit="1" customWidth="1"/>
    <col min="2" max="2" width="14.28515625" style="115" bestFit="1" customWidth="1"/>
    <col min="3" max="3" width="13.7109375" style="115" bestFit="1" customWidth="1"/>
    <col min="4" max="5" width="13.42578125" style="115" bestFit="1" customWidth="1"/>
    <col min="6" max="6" width="13.7109375" style="115" bestFit="1" customWidth="1"/>
    <col min="7" max="7" width="12.5703125" style="115" bestFit="1" customWidth="1"/>
    <col min="8" max="8" width="13.42578125" style="115" bestFit="1" customWidth="1"/>
    <col min="9" max="11" width="12.5703125" style="115" customWidth="1"/>
    <col min="12" max="12" width="13.28515625" style="115" bestFit="1" customWidth="1"/>
    <col min="13" max="13" width="9.140625" style="115"/>
    <col min="14" max="16" width="12.28515625" style="115" bestFit="1" customWidth="1"/>
    <col min="17" max="16384" width="9.140625" style="115"/>
  </cols>
  <sheetData>
    <row r="1" spans="1:16" ht="15.75" thickBot="1" x14ac:dyDescent="0.3">
      <c r="A1" s="257" t="s">
        <v>1</v>
      </c>
      <c r="N1" s="258" t="s">
        <v>146</v>
      </c>
      <c r="P1" s="259"/>
    </row>
    <row r="2" spans="1:16" x14ac:dyDescent="0.25">
      <c r="N2" s="260" t="s">
        <v>147</v>
      </c>
      <c r="O2" s="261"/>
      <c r="P2" s="262"/>
    </row>
    <row r="3" spans="1:16" x14ac:dyDescent="0.25">
      <c r="C3" s="263" t="s">
        <v>118</v>
      </c>
      <c r="D3" s="264"/>
      <c r="E3" s="264"/>
      <c r="F3" s="264"/>
      <c r="G3" s="265"/>
      <c r="H3" s="266" t="s">
        <v>119</v>
      </c>
      <c r="I3" s="264"/>
      <c r="J3" s="264"/>
      <c r="K3" s="264"/>
      <c r="L3" s="267"/>
      <c r="N3" s="268"/>
      <c r="O3" s="269"/>
      <c r="P3" s="262"/>
    </row>
    <row r="4" spans="1:16" x14ac:dyDescent="0.25">
      <c r="B4" s="270" t="s">
        <v>78</v>
      </c>
      <c r="C4" s="271" t="s">
        <v>79</v>
      </c>
      <c r="D4" s="272" t="s">
        <v>80</v>
      </c>
      <c r="E4" s="272"/>
      <c r="F4" s="272" t="s">
        <v>79</v>
      </c>
      <c r="G4" s="273"/>
      <c r="H4" s="274"/>
      <c r="I4" s="274"/>
      <c r="J4" s="274"/>
      <c r="K4" s="274"/>
      <c r="L4" s="275"/>
      <c r="N4" s="276" t="s">
        <v>148</v>
      </c>
      <c r="O4" s="269"/>
      <c r="P4" s="262"/>
    </row>
    <row r="5" spans="1:16" x14ac:dyDescent="0.25">
      <c r="B5" s="270" t="s">
        <v>81</v>
      </c>
      <c r="C5" s="277" t="s">
        <v>82</v>
      </c>
      <c r="D5" s="270" t="s">
        <v>83</v>
      </c>
      <c r="E5" s="270"/>
      <c r="F5" s="270" t="s">
        <v>84</v>
      </c>
      <c r="G5" s="108" t="s">
        <v>85</v>
      </c>
      <c r="H5" s="269"/>
      <c r="I5" s="269"/>
      <c r="J5" s="269"/>
      <c r="K5" s="270" t="s">
        <v>86</v>
      </c>
      <c r="L5" s="109" t="s">
        <v>85</v>
      </c>
      <c r="N5" s="276" t="s">
        <v>90</v>
      </c>
      <c r="O5" s="269"/>
      <c r="P5" s="262"/>
    </row>
    <row r="6" spans="1:16" x14ac:dyDescent="0.25">
      <c r="A6" s="110" t="s">
        <v>87</v>
      </c>
      <c r="B6" s="110" t="s">
        <v>88</v>
      </c>
      <c r="C6" s="278" t="s">
        <v>89</v>
      </c>
      <c r="D6" s="110" t="s">
        <v>90</v>
      </c>
      <c r="E6" s="110" t="s">
        <v>91</v>
      </c>
      <c r="F6" s="110" t="s">
        <v>85</v>
      </c>
      <c r="G6" s="279" t="s">
        <v>13</v>
      </c>
      <c r="H6" s="110" t="s">
        <v>92</v>
      </c>
      <c r="I6" s="110" t="s">
        <v>93</v>
      </c>
      <c r="J6" s="110" t="s">
        <v>91</v>
      </c>
      <c r="K6" s="110" t="s">
        <v>69</v>
      </c>
      <c r="L6" s="280" t="s">
        <v>13</v>
      </c>
      <c r="N6" s="276" t="s">
        <v>80</v>
      </c>
      <c r="O6" s="269"/>
      <c r="P6" s="262"/>
    </row>
    <row r="7" spans="1:16" x14ac:dyDescent="0.25">
      <c r="A7" s="281" t="s">
        <v>149</v>
      </c>
      <c r="C7" s="111" t="s">
        <v>94</v>
      </c>
      <c r="D7" s="282"/>
      <c r="E7" s="269"/>
      <c r="F7" s="269"/>
      <c r="G7" s="283"/>
      <c r="H7" s="269"/>
      <c r="I7" s="269"/>
      <c r="J7" s="269"/>
      <c r="K7" s="269"/>
      <c r="L7" s="284"/>
      <c r="N7" s="268"/>
      <c r="O7" s="269"/>
      <c r="P7" s="262"/>
    </row>
    <row r="8" spans="1:16" x14ac:dyDescent="0.25">
      <c r="A8" s="115" t="s">
        <v>95</v>
      </c>
      <c r="C8" s="285"/>
      <c r="D8" s="269"/>
      <c r="E8" s="269"/>
      <c r="F8" s="269"/>
      <c r="G8" s="286">
        <v>4895702</v>
      </c>
      <c r="H8" s="269"/>
      <c r="I8" s="269"/>
      <c r="J8" s="269"/>
      <c r="K8" s="269"/>
      <c r="L8" s="119">
        <v>721198</v>
      </c>
      <c r="N8" s="268"/>
      <c r="O8" s="269"/>
      <c r="P8" s="262"/>
    </row>
    <row r="9" spans="1:16" x14ac:dyDescent="0.25">
      <c r="A9" s="115" t="s">
        <v>96</v>
      </c>
      <c r="B9" s="122"/>
      <c r="C9" s="287">
        <f t="shared" ref="C9:C20" si="0">G29</f>
        <v>1998250</v>
      </c>
      <c r="D9" s="112">
        <f>+N9</f>
        <v>-2335229.4901000001</v>
      </c>
      <c r="E9" s="112"/>
      <c r="F9" s="112">
        <f t="shared" ref="F9:F20" si="1">SUM(C9:E9)</f>
        <v>-336979.49010000005</v>
      </c>
      <c r="G9" s="118">
        <f>F9+G8</f>
        <v>4558722.5098999999</v>
      </c>
      <c r="H9" s="112">
        <v>-180300</v>
      </c>
      <c r="I9" s="112"/>
      <c r="J9" s="112"/>
      <c r="K9" s="112">
        <f>SUM(H9:J9)</f>
        <v>-180300</v>
      </c>
      <c r="L9" s="119">
        <f>L8+K9</f>
        <v>540898</v>
      </c>
      <c r="N9" s="288">
        <v>-2335229.4901000001</v>
      </c>
      <c r="O9" s="289"/>
      <c r="P9" s="262"/>
    </row>
    <row r="10" spans="1:16" x14ac:dyDescent="0.25">
      <c r="A10" s="115" t="s">
        <v>97</v>
      </c>
      <c r="B10" s="116"/>
      <c r="C10" s="117">
        <f>G30</f>
        <v>1994791</v>
      </c>
      <c r="D10" s="113">
        <f>N10-SUM($D$9:D9)</f>
        <v>-2474772.4457820002</v>
      </c>
      <c r="E10" s="113"/>
      <c r="F10" s="113">
        <f t="shared" si="1"/>
        <v>-479981.4457820002</v>
      </c>
      <c r="G10" s="118">
        <f>F10+G9</f>
        <v>4078741.0641179997</v>
      </c>
      <c r="H10" s="113">
        <f>+H9</f>
        <v>-180300</v>
      </c>
      <c r="I10" s="113"/>
      <c r="J10" s="113"/>
      <c r="K10" s="113">
        <f t="shared" ref="K10:K20" si="2">SUM(H10:J10)</f>
        <v>-180300</v>
      </c>
      <c r="L10" s="119">
        <f t="shared" ref="L10:L20" si="3">L9+K10</f>
        <v>360598</v>
      </c>
      <c r="N10" s="290">
        <v>-4810001.9358820003</v>
      </c>
      <c r="O10" s="289"/>
      <c r="P10" s="262"/>
    </row>
    <row r="11" spans="1:16" x14ac:dyDescent="0.25">
      <c r="A11" s="115" t="s">
        <v>98</v>
      </c>
      <c r="B11" s="116"/>
      <c r="C11" s="117">
        <f t="shared" si="0"/>
        <v>1994136</v>
      </c>
      <c r="D11" s="113">
        <f>N11-SUM($D$9:D10)</f>
        <v>-2221505.8327799998</v>
      </c>
      <c r="E11" s="113"/>
      <c r="F11" s="113">
        <f t="shared" si="1"/>
        <v>-227369.83277999982</v>
      </c>
      <c r="G11" s="118">
        <f t="shared" ref="G11:G20" si="4">F11+G10</f>
        <v>3851371.2313379999</v>
      </c>
      <c r="H11" s="113">
        <f>+H10</f>
        <v>-180300</v>
      </c>
      <c r="I11" s="113"/>
      <c r="J11" s="113"/>
      <c r="K11" s="113">
        <f t="shared" si="2"/>
        <v>-180300</v>
      </c>
      <c r="L11" s="119">
        <f t="shared" si="3"/>
        <v>180298</v>
      </c>
      <c r="N11" s="290">
        <v>-7031507.7686620001</v>
      </c>
      <c r="O11" s="289"/>
      <c r="P11" s="262"/>
    </row>
    <row r="12" spans="1:16" x14ac:dyDescent="0.25">
      <c r="A12" s="115" t="s">
        <v>99</v>
      </c>
      <c r="B12" s="116"/>
      <c r="C12" s="117">
        <f t="shared" si="0"/>
        <v>1830715</v>
      </c>
      <c r="D12" s="113">
        <f>N12-SUM($D$9:D11)</f>
        <v>-1288398.165418</v>
      </c>
      <c r="E12" s="113"/>
      <c r="F12" s="113">
        <f t="shared" si="1"/>
        <v>542316.83458200004</v>
      </c>
      <c r="G12" s="118">
        <f>F12+G11</f>
        <v>4393688.06592</v>
      </c>
      <c r="H12" s="113">
        <f>H11</f>
        <v>-180300</v>
      </c>
      <c r="I12" s="113">
        <f>-392522+95253</f>
        <v>-297269</v>
      </c>
      <c r="J12" s="113"/>
      <c r="K12" s="113">
        <f t="shared" si="2"/>
        <v>-477569</v>
      </c>
      <c r="L12" s="119">
        <f t="shared" si="3"/>
        <v>-297271</v>
      </c>
      <c r="N12" s="290">
        <v>-8319905.93408</v>
      </c>
      <c r="O12" s="289"/>
      <c r="P12" s="262"/>
    </row>
    <row r="13" spans="1:16" x14ac:dyDescent="0.25">
      <c r="A13" s="115" t="s">
        <v>100</v>
      </c>
      <c r="B13" s="116"/>
      <c r="C13" s="117">
        <f t="shared" si="0"/>
        <v>2180357</v>
      </c>
      <c r="D13" s="113">
        <f>N13-SUM($D$9:D12)</f>
        <v>-1090623.5755970003</v>
      </c>
      <c r="E13" s="113">
        <f>-J13</f>
        <v>-4895702</v>
      </c>
      <c r="F13" s="113">
        <f t="shared" si="1"/>
        <v>-3805968.5755970003</v>
      </c>
      <c r="G13" s="118">
        <f>F13+G12</f>
        <v>587719.49032299966</v>
      </c>
      <c r="H13" s="113">
        <v>-383203</v>
      </c>
      <c r="I13" s="113"/>
      <c r="J13" s="113">
        <f>G8</f>
        <v>4895702</v>
      </c>
      <c r="K13" s="113">
        <f t="shared" si="2"/>
        <v>4512499</v>
      </c>
      <c r="L13" s="119">
        <f t="shared" si="3"/>
        <v>4215228</v>
      </c>
      <c r="N13" s="290">
        <v>-9410529.5096770003</v>
      </c>
      <c r="O13" s="289"/>
      <c r="P13" s="262"/>
    </row>
    <row r="14" spans="1:16" x14ac:dyDescent="0.25">
      <c r="A14" s="115" t="s">
        <v>101</v>
      </c>
      <c r="B14" s="116"/>
      <c r="C14" s="117">
        <f t="shared" si="0"/>
        <v>2180356</v>
      </c>
      <c r="D14" s="113">
        <f>N14-SUM($D$9:D13)</f>
        <v>-714930.60585699975</v>
      </c>
      <c r="E14" s="113"/>
      <c r="F14" s="113">
        <f t="shared" si="1"/>
        <v>1465425.3941430002</v>
      </c>
      <c r="G14" s="118">
        <f t="shared" si="4"/>
        <v>2053144.8844659999</v>
      </c>
      <c r="H14" s="113">
        <f>H13+1</f>
        <v>-383202</v>
      </c>
      <c r="I14" s="113"/>
      <c r="J14" s="113"/>
      <c r="K14" s="113">
        <f t="shared" si="2"/>
        <v>-383202</v>
      </c>
      <c r="L14" s="119">
        <f t="shared" si="3"/>
        <v>3832026</v>
      </c>
      <c r="N14" s="290">
        <v>-10125460.115534</v>
      </c>
      <c r="O14" s="289"/>
      <c r="P14" s="262"/>
    </row>
    <row r="15" spans="1:16" x14ac:dyDescent="0.25">
      <c r="A15" s="115" t="s">
        <v>70</v>
      </c>
      <c r="B15" s="116"/>
      <c r="C15" s="117">
        <f t="shared" si="0"/>
        <v>2180356</v>
      </c>
      <c r="D15" s="113">
        <f>N15-SUM($D$9:D14)</f>
        <v>-551964.54493200034</v>
      </c>
      <c r="E15" s="113"/>
      <c r="F15" s="113">
        <f t="shared" si="1"/>
        <v>1628391.4550679997</v>
      </c>
      <c r="G15" s="118">
        <f t="shared" si="4"/>
        <v>3681536.3395339996</v>
      </c>
      <c r="H15" s="113">
        <f>H14-1</f>
        <v>-383203</v>
      </c>
      <c r="I15" s="113"/>
      <c r="J15" s="113"/>
      <c r="K15" s="113">
        <f t="shared" si="2"/>
        <v>-383203</v>
      </c>
      <c r="L15" s="119">
        <f t="shared" si="3"/>
        <v>3448823</v>
      </c>
      <c r="N15" s="290">
        <v>-10677424.660466</v>
      </c>
      <c r="O15" s="289"/>
      <c r="P15" s="262"/>
    </row>
    <row r="16" spans="1:16" x14ac:dyDescent="0.25">
      <c r="A16" s="115" t="s">
        <v>102</v>
      </c>
      <c r="B16" s="116"/>
      <c r="C16" s="117">
        <f t="shared" si="0"/>
        <v>2487540</v>
      </c>
      <c r="D16" s="113">
        <f>N16-SUM($D$9:D15)</f>
        <v>-574945.40840699896</v>
      </c>
      <c r="E16" s="113"/>
      <c r="F16" s="113">
        <f t="shared" si="1"/>
        <v>1912594.591593001</v>
      </c>
      <c r="G16" s="118">
        <f t="shared" si="4"/>
        <v>5594130.9311270006</v>
      </c>
      <c r="H16" s="113">
        <f>H15+1</f>
        <v>-383202</v>
      </c>
      <c r="I16" s="113"/>
      <c r="J16" s="113"/>
      <c r="K16" s="113">
        <f t="shared" si="2"/>
        <v>-383202</v>
      </c>
      <c r="L16" s="119">
        <f t="shared" si="3"/>
        <v>3065621</v>
      </c>
      <c r="N16" s="290">
        <v>-11252370.068872999</v>
      </c>
      <c r="O16" s="289"/>
      <c r="P16" s="262"/>
    </row>
    <row r="17" spans="1:16" x14ac:dyDescent="0.25">
      <c r="A17" s="115" t="s">
        <v>103</v>
      </c>
      <c r="B17" s="116"/>
      <c r="C17" s="117">
        <f t="shared" si="0"/>
        <v>2218755</v>
      </c>
      <c r="D17" s="113">
        <f>N17-SUM($D$9:D16)</f>
        <v>-770632.59161899984</v>
      </c>
      <c r="E17" s="113"/>
      <c r="F17" s="113">
        <f t="shared" si="1"/>
        <v>1448122.4083810002</v>
      </c>
      <c r="G17" s="118">
        <f t="shared" si="4"/>
        <v>7042253.3395080008</v>
      </c>
      <c r="H17" s="113">
        <f>+H14-1</f>
        <v>-383203</v>
      </c>
      <c r="I17" s="113"/>
      <c r="J17" s="113"/>
      <c r="K17" s="113">
        <f t="shared" si="2"/>
        <v>-383203</v>
      </c>
      <c r="L17" s="119">
        <f t="shared" si="3"/>
        <v>2682418</v>
      </c>
      <c r="N17" s="290">
        <v>-12023002.660491999</v>
      </c>
      <c r="O17" s="289"/>
      <c r="P17" s="262"/>
    </row>
    <row r="18" spans="1:16" x14ac:dyDescent="0.25">
      <c r="A18" s="115" t="s">
        <v>104</v>
      </c>
      <c r="B18" s="116"/>
      <c r="C18" s="117">
        <f t="shared" si="0"/>
        <v>2218226</v>
      </c>
      <c r="D18" s="113">
        <f>N18-SUM($D$9:D17)</f>
        <v>-1574053.1242350005</v>
      </c>
      <c r="E18" s="113"/>
      <c r="F18" s="113">
        <f t="shared" si="1"/>
        <v>644172.87576499954</v>
      </c>
      <c r="G18" s="118">
        <f t="shared" si="4"/>
        <v>7686426.2152730003</v>
      </c>
      <c r="H18" s="113">
        <f>+H15+1</f>
        <v>-383202</v>
      </c>
      <c r="I18" s="113">
        <v>527</v>
      </c>
      <c r="J18" s="113"/>
      <c r="K18" s="113">
        <f t="shared" si="2"/>
        <v>-382675</v>
      </c>
      <c r="L18" s="119">
        <f t="shared" si="3"/>
        <v>2299743</v>
      </c>
      <c r="N18" s="290">
        <v>-13597055.784727</v>
      </c>
      <c r="O18" s="289"/>
      <c r="P18" s="262"/>
    </row>
    <row r="19" spans="1:16" x14ac:dyDescent="0.25">
      <c r="A19" s="115" t="s">
        <v>105</v>
      </c>
      <c r="B19" s="116"/>
      <c r="C19" s="117">
        <f t="shared" si="0"/>
        <v>2218754</v>
      </c>
      <c r="D19" s="113">
        <f>N19-SUM($D$9:D18)</f>
        <v>-2157812.9609537702</v>
      </c>
      <c r="E19" s="113"/>
      <c r="F19" s="113">
        <f t="shared" si="1"/>
        <v>60941.039046229795</v>
      </c>
      <c r="G19" s="118">
        <f t="shared" si="4"/>
        <v>7747367.2543192301</v>
      </c>
      <c r="H19" s="113">
        <f>+H18</f>
        <v>-383202</v>
      </c>
      <c r="I19" s="113"/>
      <c r="J19" s="113"/>
      <c r="K19" s="113">
        <f t="shared" si="2"/>
        <v>-383202</v>
      </c>
      <c r="L19" s="119">
        <f t="shared" si="3"/>
        <v>1916541</v>
      </c>
      <c r="N19" s="290">
        <v>-15754868.74568077</v>
      </c>
      <c r="O19" s="289"/>
      <c r="P19" s="262"/>
    </row>
    <row r="20" spans="1:16" x14ac:dyDescent="0.25">
      <c r="A20" s="115" t="s">
        <v>106</v>
      </c>
      <c r="B20" s="116"/>
      <c r="C20" s="291">
        <f t="shared" si="0"/>
        <v>2450854</v>
      </c>
      <c r="D20" s="113">
        <f>N20-SUM($D$9:D19)</f>
        <v>-3327272.982911</v>
      </c>
      <c r="E20" s="120">
        <v>0</v>
      </c>
      <c r="F20" s="120">
        <f t="shared" si="1"/>
        <v>-876418.98291100003</v>
      </c>
      <c r="G20" s="292">
        <f t="shared" si="4"/>
        <v>6870948.2714082301</v>
      </c>
      <c r="H20" s="120">
        <f>+H19</f>
        <v>-383202</v>
      </c>
      <c r="I20" s="120"/>
      <c r="J20" s="120"/>
      <c r="K20" s="120">
        <f t="shared" si="2"/>
        <v>-383202</v>
      </c>
      <c r="L20" s="293">
        <f t="shared" si="3"/>
        <v>1533339</v>
      </c>
      <c r="N20" s="290">
        <v>-19082141.72859177</v>
      </c>
      <c r="O20" s="289"/>
      <c r="P20" s="262"/>
    </row>
    <row r="21" spans="1:16" x14ac:dyDescent="0.25">
      <c r="C21" s="116"/>
      <c r="D21" s="116"/>
      <c r="E21" s="116"/>
      <c r="F21" s="116"/>
      <c r="G21" s="283"/>
      <c r="H21" s="269"/>
      <c r="I21" s="269"/>
      <c r="J21" s="269"/>
      <c r="K21" s="269"/>
      <c r="N21" s="268"/>
      <c r="O21" s="269"/>
      <c r="P21" s="262"/>
    </row>
    <row r="22" spans="1:16" ht="15.75" thickBot="1" x14ac:dyDescent="0.3">
      <c r="C22" s="116"/>
      <c r="D22" s="116"/>
      <c r="E22" s="116"/>
      <c r="F22" s="116"/>
      <c r="G22" s="118"/>
      <c r="H22" s="294">
        <f>SUM(H9:H21)</f>
        <v>-3786819</v>
      </c>
      <c r="I22" s="294">
        <f>SUM(I9:I21)</f>
        <v>-296742</v>
      </c>
      <c r="J22" s="294">
        <f>SUM(J9:J21)</f>
        <v>4895702</v>
      </c>
      <c r="K22" s="294">
        <f>SUM(K9:K21)</f>
        <v>812141</v>
      </c>
      <c r="N22" s="268"/>
      <c r="O22" s="269"/>
      <c r="P22" s="262"/>
    </row>
    <row r="23" spans="1:16" ht="15.75" thickTop="1" x14ac:dyDescent="0.25">
      <c r="C23" s="116"/>
      <c r="D23" s="116"/>
      <c r="E23" s="116"/>
      <c r="F23" s="116"/>
      <c r="G23" s="116"/>
      <c r="N23" s="268"/>
      <c r="O23" s="269"/>
      <c r="P23" s="262"/>
    </row>
    <row r="24" spans="1:16" x14ac:dyDescent="0.25">
      <c r="C24" s="116"/>
      <c r="D24" s="116"/>
      <c r="E24" s="116"/>
      <c r="F24" s="116"/>
      <c r="N24" s="268"/>
      <c r="O24" s="269"/>
      <c r="P24" s="262"/>
    </row>
    <row r="25" spans="1:16" x14ac:dyDescent="0.25">
      <c r="B25" s="295" t="s">
        <v>107</v>
      </c>
      <c r="C25" s="295"/>
      <c r="D25" s="296" t="s">
        <v>108</v>
      </c>
      <c r="E25" s="296" t="s">
        <v>109</v>
      </c>
      <c r="N25" s="268"/>
      <c r="O25" s="270" t="s">
        <v>148</v>
      </c>
      <c r="P25" s="297" t="s">
        <v>148</v>
      </c>
    </row>
    <row r="26" spans="1:16" x14ac:dyDescent="0.25">
      <c r="B26" s="295" t="s">
        <v>110</v>
      </c>
      <c r="C26" s="295"/>
      <c r="D26" s="296" t="s">
        <v>111</v>
      </c>
      <c r="E26" s="296" t="s">
        <v>112</v>
      </c>
      <c r="N26" s="268"/>
      <c r="O26" s="270" t="s">
        <v>108</v>
      </c>
      <c r="P26" s="297" t="s">
        <v>109</v>
      </c>
    </row>
    <row r="27" spans="1:16" x14ac:dyDescent="0.25">
      <c r="B27" s="298" t="s">
        <v>113</v>
      </c>
      <c r="C27" s="298" t="s">
        <v>114</v>
      </c>
      <c r="D27" s="298" t="s">
        <v>115</v>
      </c>
      <c r="E27" s="298" t="s">
        <v>116</v>
      </c>
      <c r="F27" s="298" t="s">
        <v>92</v>
      </c>
      <c r="G27" s="298" t="s">
        <v>117</v>
      </c>
      <c r="N27" s="276" t="s">
        <v>148</v>
      </c>
      <c r="O27" s="270" t="s">
        <v>111</v>
      </c>
      <c r="P27" s="297" t="s">
        <v>112</v>
      </c>
    </row>
    <row r="28" spans="1:16" x14ac:dyDescent="0.25">
      <c r="A28" s="281" t="s">
        <v>149</v>
      </c>
      <c r="N28" s="299">
        <v>23600232</v>
      </c>
      <c r="O28" s="300" t="s">
        <v>115</v>
      </c>
      <c r="P28" s="301" t="s">
        <v>116</v>
      </c>
    </row>
    <row r="29" spans="1:16" x14ac:dyDescent="0.25">
      <c r="A29" s="115" t="s">
        <v>96</v>
      </c>
      <c r="B29" s="121">
        <f>N29/1*12</f>
        <v>21773904</v>
      </c>
      <c r="C29" s="122">
        <f>B29/12</f>
        <v>1814492</v>
      </c>
      <c r="D29" s="122">
        <f>+O29</f>
        <v>3458</v>
      </c>
      <c r="E29" s="122">
        <f>+P29</f>
        <v>0</v>
      </c>
      <c r="F29" s="116">
        <f t="shared" ref="F29:F40" si="5">-H9</f>
        <v>180300</v>
      </c>
      <c r="G29" s="122">
        <f t="shared" ref="G29:G40" si="6">SUM(C29:F29)</f>
        <v>1998250</v>
      </c>
      <c r="N29" s="302">
        <v>1814492</v>
      </c>
      <c r="O29" s="112">
        <v>3458</v>
      </c>
      <c r="P29" s="303">
        <v>0</v>
      </c>
    </row>
    <row r="30" spans="1:16" x14ac:dyDescent="0.25">
      <c r="A30" s="115" t="s">
        <v>97</v>
      </c>
      <c r="B30" s="121">
        <f>N30/2*12</f>
        <v>21773898</v>
      </c>
      <c r="C30" s="116">
        <f>B30/12*2-C29</f>
        <v>1814491</v>
      </c>
      <c r="D30" s="116">
        <f>+O30-SUM($D$29:D29)</f>
        <v>0</v>
      </c>
      <c r="E30" s="116">
        <f>P30-SUM($E$29:E29)</f>
        <v>0</v>
      </c>
      <c r="F30" s="116">
        <f t="shared" si="5"/>
        <v>180300</v>
      </c>
      <c r="G30" s="116">
        <f t="shared" si="6"/>
        <v>1994791</v>
      </c>
      <c r="N30" s="290">
        <v>3628983</v>
      </c>
      <c r="O30" s="113">
        <v>3458</v>
      </c>
      <c r="P30" s="303">
        <v>0</v>
      </c>
    </row>
    <row r="31" spans="1:16" x14ac:dyDescent="0.25">
      <c r="A31" s="115" t="s">
        <v>98</v>
      </c>
      <c r="B31" s="121">
        <f>N31/3*12</f>
        <v>21773900</v>
      </c>
      <c r="C31" s="116">
        <f>B31/12*3-SUM($C$29:C30)</f>
        <v>1814492</v>
      </c>
      <c r="D31" s="116">
        <f>+O31-SUM($D$29:D30)</f>
        <v>0</v>
      </c>
      <c r="E31" s="116">
        <f>P31-SUM($E$29:E30)</f>
        <v>-656</v>
      </c>
      <c r="F31" s="116">
        <f t="shared" si="5"/>
        <v>180300</v>
      </c>
      <c r="G31" s="116">
        <f t="shared" si="6"/>
        <v>1994136</v>
      </c>
      <c r="N31" s="290">
        <v>5443475</v>
      </c>
      <c r="O31" s="113">
        <v>3458</v>
      </c>
      <c r="P31" s="303">
        <v>-656</v>
      </c>
    </row>
    <row r="32" spans="1:16" x14ac:dyDescent="0.25">
      <c r="A32" s="115" t="s">
        <v>99</v>
      </c>
      <c r="B32" s="121">
        <f>N32/4*12</f>
        <v>21565848</v>
      </c>
      <c r="C32" s="116">
        <f>B32/12*4-SUM($C$29:C31)</f>
        <v>1745141</v>
      </c>
      <c r="D32" s="116">
        <f>+O32-SUM($D$29:D31)</f>
        <v>0</v>
      </c>
      <c r="E32" s="116">
        <f>P32-SUM($E$29:E31)</f>
        <v>-94726</v>
      </c>
      <c r="F32" s="116">
        <f t="shared" si="5"/>
        <v>180300</v>
      </c>
      <c r="G32" s="116">
        <f t="shared" si="6"/>
        <v>1830715</v>
      </c>
      <c r="N32" s="290">
        <v>7188616</v>
      </c>
      <c r="O32" s="113">
        <v>3458</v>
      </c>
      <c r="P32" s="303">
        <v>-95382</v>
      </c>
    </row>
    <row r="33" spans="1:16" x14ac:dyDescent="0.25">
      <c r="A33" s="115" t="s">
        <v>100</v>
      </c>
      <c r="B33" s="121">
        <f>N33/5*12</f>
        <v>21565848</v>
      </c>
      <c r="C33" s="116">
        <f>B33/12*5-SUM($C$29:C32)</f>
        <v>1797154</v>
      </c>
      <c r="D33" s="116">
        <f xml:space="preserve"> O33-SUM($D$29:D32)</f>
        <v>0</v>
      </c>
      <c r="E33" s="116">
        <f>P33-SUM($E$29:E32)</f>
        <v>0</v>
      </c>
      <c r="F33" s="116">
        <f t="shared" si="5"/>
        <v>383203</v>
      </c>
      <c r="G33" s="116">
        <f t="shared" si="6"/>
        <v>2180357</v>
      </c>
      <c r="N33" s="290">
        <v>8985770</v>
      </c>
      <c r="O33" s="113">
        <v>3458</v>
      </c>
      <c r="P33" s="303">
        <v>-95382</v>
      </c>
    </row>
    <row r="34" spans="1:16" x14ac:dyDescent="0.25">
      <c r="A34" s="115" t="s">
        <v>101</v>
      </c>
      <c r="B34" s="121">
        <f>N34/6*12</f>
        <v>21565848</v>
      </c>
      <c r="C34" s="116">
        <f>B34/12*6-SUM($C$29:C33)</f>
        <v>1797154</v>
      </c>
      <c r="D34" s="116">
        <f>O34-SUM($D$29:D33)</f>
        <v>0</v>
      </c>
      <c r="E34" s="116">
        <f>P34-SUM($E$29:E33)</f>
        <v>0</v>
      </c>
      <c r="F34" s="116">
        <f t="shared" si="5"/>
        <v>383202</v>
      </c>
      <c r="G34" s="116">
        <f t="shared" si="6"/>
        <v>2180356</v>
      </c>
      <c r="N34" s="290">
        <v>10782924</v>
      </c>
      <c r="O34" s="113">
        <v>3458</v>
      </c>
      <c r="P34" s="303">
        <v>-95382</v>
      </c>
    </row>
    <row r="35" spans="1:16" x14ac:dyDescent="0.25">
      <c r="A35" s="115" t="s">
        <v>70</v>
      </c>
      <c r="B35" s="121">
        <f>N35/7*12</f>
        <v>21565846.285714284</v>
      </c>
      <c r="C35" s="116">
        <f>B35/12*7-SUM($C$29:C34)</f>
        <v>1797153</v>
      </c>
      <c r="D35" s="116">
        <f>O35-SUM($D$29:D34)</f>
        <v>0</v>
      </c>
      <c r="E35" s="116">
        <f>P35-SUM($E$29:E34)</f>
        <v>0</v>
      </c>
      <c r="F35" s="116">
        <f t="shared" si="5"/>
        <v>383203</v>
      </c>
      <c r="G35" s="116">
        <f t="shared" si="6"/>
        <v>2180356</v>
      </c>
      <c r="N35" s="290">
        <v>12580077</v>
      </c>
      <c r="O35" s="113">
        <v>3458</v>
      </c>
      <c r="P35" s="303">
        <v>-95382</v>
      </c>
    </row>
    <row r="36" spans="1:16" x14ac:dyDescent="0.25">
      <c r="A36" s="115" t="s">
        <v>102</v>
      </c>
      <c r="B36" s="121">
        <f>N36/8*12</f>
        <v>22026622.5</v>
      </c>
      <c r="C36" s="116">
        <f>B36/12*8-SUM($C$29:C35)</f>
        <v>2104338</v>
      </c>
      <c r="D36" s="116">
        <f>O36-SUM($D$29:D35)</f>
        <v>0</v>
      </c>
      <c r="E36" s="116">
        <f>P36-SUM($E$29:E35)</f>
        <v>0</v>
      </c>
      <c r="F36" s="116">
        <f t="shared" si="5"/>
        <v>383202</v>
      </c>
      <c r="G36" s="116">
        <f t="shared" si="6"/>
        <v>2487540</v>
      </c>
      <c r="N36" s="290">
        <v>14684415</v>
      </c>
      <c r="O36" s="113">
        <v>3458</v>
      </c>
      <c r="P36" s="303">
        <v>-95382</v>
      </c>
    </row>
    <row r="37" spans="1:16" x14ac:dyDescent="0.25">
      <c r="A37" s="115" t="s">
        <v>103</v>
      </c>
      <c r="B37" s="121">
        <f>N37/9*12</f>
        <v>22026622.666666668</v>
      </c>
      <c r="C37" s="116">
        <f>B37/12*9-SUM($C$29:C36)</f>
        <v>1835552</v>
      </c>
      <c r="D37" s="116">
        <f>O37-SUM($D$29:D36)</f>
        <v>0</v>
      </c>
      <c r="E37" s="116">
        <f>P37-SUM($E$29:E36)</f>
        <v>0</v>
      </c>
      <c r="F37" s="116">
        <f t="shared" si="5"/>
        <v>383203</v>
      </c>
      <c r="G37" s="116">
        <f t="shared" si="6"/>
        <v>2218755</v>
      </c>
      <c r="N37" s="290">
        <v>16519967</v>
      </c>
      <c r="O37" s="113">
        <v>3458</v>
      </c>
      <c r="P37" s="303">
        <v>-95382</v>
      </c>
    </row>
    <row r="38" spans="1:16" x14ac:dyDescent="0.25">
      <c r="A38" s="115" t="s">
        <v>104</v>
      </c>
      <c r="B38" s="121">
        <f>N38/10*12</f>
        <v>22026621.600000001</v>
      </c>
      <c r="C38" s="116">
        <f>B38/12*10-SUM($C$29:C37)</f>
        <v>1835551</v>
      </c>
      <c r="D38" s="116">
        <f>O38-SUM($D$29:D37)</f>
        <v>0</v>
      </c>
      <c r="E38" s="116">
        <f>P38-SUM($E$29:E37)</f>
        <v>-527</v>
      </c>
      <c r="F38" s="116">
        <f t="shared" si="5"/>
        <v>383202</v>
      </c>
      <c r="G38" s="116">
        <f t="shared" si="6"/>
        <v>2218226</v>
      </c>
      <c r="N38" s="290">
        <v>18355518</v>
      </c>
      <c r="O38" s="113">
        <v>3458</v>
      </c>
      <c r="P38" s="303">
        <v>-95909</v>
      </c>
    </row>
    <row r="39" spans="1:16" x14ac:dyDescent="0.25">
      <c r="A39" s="115" t="s">
        <v>105</v>
      </c>
      <c r="B39" s="121">
        <f>N39/11*12</f>
        <v>22026621.818181816</v>
      </c>
      <c r="C39" s="116">
        <f>B39/12*11-SUM($C$29:C38)</f>
        <v>1835552</v>
      </c>
      <c r="D39" s="116">
        <f>O39-SUM($D$29:D38)</f>
        <v>0</v>
      </c>
      <c r="E39" s="116">
        <f>P39-SUM($E$29:E38)</f>
        <v>0</v>
      </c>
      <c r="F39" s="116">
        <f t="shared" si="5"/>
        <v>383202</v>
      </c>
      <c r="G39" s="116">
        <f t="shared" si="6"/>
        <v>2218754</v>
      </c>
      <c r="I39" s="304"/>
      <c r="K39" s="304"/>
      <c r="N39" s="290">
        <v>20191070</v>
      </c>
      <c r="O39" s="113">
        <v>3458</v>
      </c>
      <c r="P39" s="303">
        <v>-95909</v>
      </c>
    </row>
    <row r="40" spans="1:16" ht="15.75" thickBot="1" x14ac:dyDescent="0.3">
      <c r="A40" s="115" t="s">
        <v>106</v>
      </c>
      <c r="B40" s="121">
        <f>N40</f>
        <v>22258722</v>
      </c>
      <c r="C40" s="116">
        <f>B40/12*12-SUM($C$29:C39)</f>
        <v>2067652</v>
      </c>
      <c r="D40" s="116">
        <f>O40-SUM($D$29:D39)</f>
        <v>0</v>
      </c>
      <c r="E40" s="116">
        <f>P40-SUM($E$29:E39)</f>
        <v>0</v>
      </c>
      <c r="F40" s="116">
        <f t="shared" si="5"/>
        <v>383202</v>
      </c>
      <c r="G40" s="116">
        <f t="shared" si="6"/>
        <v>2450854</v>
      </c>
      <c r="I40" s="304"/>
      <c r="K40" s="304"/>
      <c r="N40" s="305">
        <v>22258722</v>
      </c>
      <c r="O40" s="306">
        <v>3458</v>
      </c>
      <c r="P40" s="307">
        <v>-95909</v>
      </c>
    </row>
    <row r="41" spans="1:16" x14ac:dyDescent="0.25">
      <c r="C41" s="116"/>
      <c r="D41" s="116"/>
      <c r="E41" s="116"/>
      <c r="F41" s="116"/>
      <c r="I41" s="304"/>
      <c r="K41" s="304"/>
    </row>
    <row r="42" spans="1:16" x14ac:dyDescent="0.25">
      <c r="I42" s="304"/>
      <c r="K42" s="304"/>
    </row>
    <row r="43" spans="1:16" x14ac:dyDescent="0.25">
      <c r="I43" s="304"/>
      <c r="J43" s="304"/>
      <c r="K43" s="304"/>
    </row>
    <row r="44" spans="1:16" x14ac:dyDescent="0.25">
      <c r="I44" s="304"/>
      <c r="K44" s="304"/>
    </row>
    <row r="45" spans="1:16" x14ac:dyDescent="0.25">
      <c r="I45" s="304"/>
      <c r="K45" s="304"/>
    </row>
    <row r="46" spans="1:16" x14ac:dyDescent="0.25">
      <c r="I46" s="304"/>
      <c r="K46" s="304"/>
    </row>
    <row r="47" spans="1:16" x14ac:dyDescent="0.25">
      <c r="I47" s="304"/>
      <c r="K47" s="304"/>
    </row>
    <row r="48" spans="1:16" x14ac:dyDescent="0.25">
      <c r="I48" s="304"/>
      <c r="K48" s="304"/>
    </row>
    <row r="49" spans="9:12" x14ac:dyDescent="0.25">
      <c r="I49" s="304"/>
      <c r="K49" s="304"/>
    </row>
    <row r="50" spans="9:12" x14ac:dyDescent="0.25">
      <c r="I50" s="304"/>
      <c r="K50" s="304"/>
    </row>
    <row r="51" spans="9:12" x14ac:dyDescent="0.25">
      <c r="L51" s="304"/>
    </row>
    <row r="52" spans="9:12" x14ac:dyDescent="0.25">
      <c r="L52" s="304"/>
    </row>
    <row r="53" spans="9:12" x14ac:dyDescent="0.25">
      <c r="L53" s="304"/>
    </row>
    <row r="54" spans="9:12" x14ac:dyDescent="0.25">
      <c r="L54" s="304"/>
    </row>
    <row r="55" spans="9:12" x14ac:dyDescent="0.25">
      <c r="I55" s="304"/>
      <c r="J55" s="304"/>
      <c r="K55" s="304"/>
      <c r="L55" s="30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opLeftCell="A18" workbookViewId="0">
      <selection activeCell="H55" sqref="H55"/>
    </sheetView>
  </sheetViews>
  <sheetFormatPr defaultColWidth="5.5703125" defaultRowHeight="15" x14ac:dyDescent="0.25"/>
  <cols>
    <col min="1" max="1" width="4.28515625" style="2" bestFit="1" customWidth="1"/>
    <col min="2" max="2" width="33.28515625" style="2" bestFit="1" customWidth="1"/>
    <col min="3" max="3" width="11" style="2" bestFit="1" customWidth="1"/>
    <col min="4" max="4" width="17.140625" style="2" bestFit="1" customWidth="1"/>
    <col min="5" max="5" width="17" style="2" bestFit="1" customWidth="1"/>
    <col min="6" max="6" width="14.28515625" style="2" bestFit="1" customWidth="1"/>
    <col min="7" max="7" width="13.7109375" style="2" bestFit="1" customWidth="1"/>
    <col min="8" max="8" width="13" style="2" bestFit="1" customWidth="1"/>
    <col min="9" max="9" width="5.5703125" style="2"/>
    <col min="10" max="10" width="17.85546875" style="2" bestFit="1" customWidth="1"/>
    <col min="11" max="11" width="18" style="2" bestFit="1" customWidth="1"/>
    <col min="12" max="12" width="14.28515625" style="2" bestFit="1" customWidth="1"/>
    <col min="13" max="13" width="15.28515625" style="2" customWidth="1"/>
    <col min="14" max="14" width="13" style="2" bestFit="1" customWidth="1"/>
    <col min="15" max="15" width="5.5703125" style="2"/>
    <col min="16" max="16" width="13" style="2" bestFit="1" customWidth="1"/>
    <col min="17" max="16384" width="5.5703125" style="2"/>
  </cols>
  <sheetData>
    <row r="1" spans="1:19" x14ac:dyDescent="0.25">
      <c r="A1" s="333" t="s">
        <v>40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</row>
    <row r="2" spans="1:19" x14ac:dyDescent="0.25">
      <c r="A2" s="334" t="s">
        <v>144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</row>
    <row r="3" spans="1:19" x14ac:dyDescent="0.25">
      <c r="A3" s="334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</row>
    <row r="4" spans="1:19" x14ac:dyDescent="0.25">
      <c r="K4" s="32"/>
    </row>
    <row r="5" spans="1:19" ht="75" x14ac:dyDescent="0.25">
      <c r="A5" s="251" t="s">
        <v>39</v>
      </c>
      <c r="B5" s="251" t="s">
        <v>10</v>
      </c>
      <c r="C5" s="251" t="s">
        <v>38</v>
      </c>
      <c r="D5" s="12" t="s">
        <v>182</v>
      </c>
      <c r="E5" s="12" t="s">
        <v>183</v>
      </c>
      <c r="F5" s="52" t="s">
        <v>37</v>
      </c>
      <c r="G5" s="53" t="s">
        <v>184</v>
      </c>
      <c r="H5" s="53" t="s">
        <v>185</v>
      </c>
      <c r="I5" s="52"/>
      <c r="J5" s="12" t="s">
        <v>186</v>
      </c>
      <c r="K5" s="12" t="s">
        <v>187</v>
      </c>
      <c r="L5" s="52" t="s">
        <v>37</v>
      </c>
      <c r="M5" s="53" t="s">
        <v>188</v>
      </c>
      <c r="N5" s="53" t="s">
        <v>120</v>
      </c>
      <c r="O5" s="52"/>
      <c r="P5" s="52" t="s">
        <v>36</v>
      </c>
    </row>
    <row r="6" spans="1:19" x14ac:dyDescent="0.25">
      <c r="A6" s="17"/>
      <c r="B6" s="17"/>
      <c r="C6" s="17"/>
      <c r="D6" s="17" t="s">
        <v>34</v>
      </c>
      <c r="E6" s="17" t="s">
        <v>33</v>
      </c>
      <c r="F6" s="249" t="s">
        <v>35</v>
      </c>
      <c r="G6" s="252" t="s">
        <v>31</v>
      </c>
      <c r="H6" s="17" t="s">
        <v>30</v>
      </c>
      <c r="I6" s="17"/>
      <c r="J6" s="17" t="s">
        <v>34</v>
      </c>
      <c r="K6" s="17" t="s">
        <v>33</v>
      </c>
      <c r="L6" s="249" t="s">
        <v>32</v>
      </c>
      <c r="M6" s="252" t="s">
        <v>31</v>
      </c>
      <c r="N6" s="17" t="s">
        <v>30</v>
      </c>
      <c r="O6" s="17"/>
      <c r="P6" s="17"/>
      <c r="Q6" s="17"/>
      <c r="R6" s="17"/>
      <c r="S6" s="17"/>
    </row>
    <row r="7" spans="1:19" x14ac:dyDescent="0.25">
      <c r="A7" s="17"/>
      <c r="B7" s="17"/>
      <c r="C7" s="17"/>
      <c r="D7" s="17"/>
      <c r="E7" s="17"/>
      <c r="F7" s="249"/>
      <c r="G7" s="252"/>
      <c r="H7" s="17"/>
      <c r="I7" s="17"/>
      <c r="J7" s="17"/>
      <c r="K7" s="17"/>
      <c r="L7" s="249"/>
      <c r="M7" s="252"/>
      <c r="N7" s="17"/>
      <c r="O7" s="17"/>
      <c r="P7" s="17"/>
      <c r="Q7" s="17"/>
      <c r="R7" s="17"/>
      <c r="S7" s="17"/>
    </row>
    <row r="8" spans="1:19" x14ac:dyDescent="0.25">
      <c r="A8" s="17">
        <v>1</v>
      </c>
      <c r="B8" s="11" t="s">
        <v>45</v>
      </c>
      <c r="C8" s="10">
        <v>7</v>
      </c>
      <c r="D8" s="19">
        <v>4262206572</v>
      </c>
      <c r="E8" s="19">
        <v>4369585259.616766</v>
      </c>
      <c r="F8" s="19">
        <f>D8-E8</f>
        <v>-107378687.61676598</v>
      </c>
      <c r="G8" s="20">
        <v>3.209E-3</v>
      </c>
      <c r="H8" s="21">
        <f>+G8*F8</f>
        <v>-344578.20856220199</v>
      </c>
      <c r="I8" s="21"/>
      <c r="J8" s="19">
        <v>6704117716</v>
      </c>
      <c r="K8" s="19">
        <v>7106925624.4922962</v>
      </c>
      <c r="L8" s="19">
        <f>J8-K8</f>
        <v>-402807908.49229622</v>
      </c>
      <c r="M8" s="20">
        <v>3.0720000000000001E-3</v>
      </c>
      <c r="N8" s="21">
        <f>+M8*L8</f>
        <v>-1237425.894888334</v>
      </c>
      <c r="O8" s="21"/>
      <c r="P8" s="21">
        <f>H8+N8</f>
        <v>-1582004.103450536</v>
      </c>
      <c r="Q8" s="253"/>
      <c r="S8" s="254"/>
    </row>
    <row r="9" spans="1:19" x14ac:dyDescent="0.25">
      <c r="A9" s="17">
        <f t="shared" ref="A9:A35" si="0">+A8+1</f>
        <v>2</v>
      </c>
      <c r="B9" s="7" t="s">
        <v>47</v>
      </c>
      <c r="C9" s="6"/>
      <c r="D9" s="22">
        <f>SUM(D8:D8)</f>
        <v>4262206572</v>
      </c>
      <c r="E9" s="22">
        <f>SUM(E8:E8)</f>
        <v>4369585259.616766</v>
      </c>
      <c r="F9" s="22">
        <f>SUM(F8:F8)</f>
        <v>-107378687.61676598</v>
      </c>
      <c r="G9" s="20"/>
      <c r="H9" s="23">
        <f>SUM(H8:H8)</f>
        <v>-344578.20856220199</v>
      </c>
      <c r="I9" s="24"/>
      <c r="J9" s="22">
        <f>SUM(J8:J8)</f>
        <v>6704117716</v>
      </c>
      <c r="K9" s="22">
        <f>SUM(K8:K8)</f>
        <v>7106925624.4922962</v>
      </c>
      <c r="L9" s="22">
        <f>SUM(L8:L8)</f>
        <v>-402807908.49229622</v>
      </c>
      <c r="M9" s="20"/>
      <c r="N9" s="23">
        <f>SUM(N8:N8)</f>
        <v>-1237425.894888334</v>
      </c>
      <c r="O9" s="24"/>
      <c r="P9" s="23">
        <f>SUM(P8:P8)</f>
        <v>-1582004.103450536</v>
      </c>
      <c r="Q9" s="253"/>
      <c r="S9" s="254"/>
    </row>
    <row r="10" spans="1:19" x14ac:dyDescent="0.25">
      <c r="A10" s="17">
        <f t="shared" si="0"/>
        <v>3</v>
      </c>
      <c r="B10" s="5"/>
      <c r="C10" s="6"/>
      <c r="D10" s="25"/>
      <c r="E10" s="25"/>
      <c r="F10" s="25"/>
      <c r="G10" s="20"/>
      <c r="H10" s="24"/>
      <c r="I10" s="24"/>
      <c r="J10" s="25"/>
      <c r="K10" s="25"/>
      <c r="L10" s="25"/>
      <c r="M10" s="20"/>
      <c r="N10" s="24"/>
      <c r="O10" s="24"/>
      <c r="P10" s="24"/>
      <c r="Q10" s="253"/>
      <c r="S10" s="254"/>
    </row>
    <row r="11" spans="1:19" x14ac:dyDescent="0.25">
      <c r="A11" s="17">
        <f t="shared" si="0"/>
        <v>4</v>
      </c>
      <c r="B11" s="4" t="s">
        <v>48</v>
      </c>
      <c r="C11" s="6"/>
      <c r="D11" s="25"/>
      <c r="E11" s="25"/>
      <c r="F11" s="25"/>
      <c r="G11" s="20"/>
      <c r="H11" s="24"/>
      <c r="I11" s="24"/>
      <c r="J11" s="25"/>
      <c r="K11" s="25"/>
      <c r="L11" s="25"/>
      <c r="M11" s="20"/>
      <c r="N11" s="24"/>
      <c r="O11" s="24"/>
      <c r="P11" s="24"/>
      <c r="Q11" s="253"/>
      <c r="S11" s="254"/>
    </row>
    <row r="12" spans="1:19" x14ac:dyDescent="0.25">
      <c r="A12" s="17">
        <f t="shared" si="0"/>
        <v>5</v>
      </c>
      <c r="B12" s="4" t="s">
        <v>49</v>
      </c>
      <c r="C12" s="6" t="s">
        <v>50</v>
      </c>
      <c r="D12" s="19">
        <v>951427715</v>
      </c>
      <c r="E12" s="25">
        <v>960056034.11738741</v>
      </c>
      <c r="F12" s="25">
        <f>D12-E12</f>
        <v>-8628319.117387414</v>
      </c>
      <c r="G12" s="20">
        <v>2.6420000000000003E-3</v>
      </c>
      <c r="H12" s="21">
        <f>+G12*F12</f>
        <v>-22796.019108137549</v>
      </c>
      <c r="I12" s="21"/>
      <c r="J12" s="19">
        <v>1743976451</v>
      </c>
      <c r="K12" s="19">
        <v>1766082523.3342888</v>
      </c>
      <c r="L12" s="25">
        <f>J12-K12</f>
        <v>-22106072.334288836</v>
      </c>
      <c r="M12" s="20">
        <v>2.6389999999999999E-3</v>
      </c>
      <c r="N12" s="21">
        <f>+M12*L12</f>
        <v>-58337.924890188231</v>
      </c>
      <c r="O12" s="21"/>
      <c r="P12" s="21">
        <f>H12+N12</f>
        <v>-81133.943998325776</v>
      </c>
      <c r="Q12" s="253"/>
      <c r="S12" s="254"/>
    </row>
    <row r="13" spans="1:19" x14ac:dyDescent="0.25">
      <c r="A13" s="17">
        <f t="shared" si="0"/>
        <v>6</v>
      </c>
      <c r="B13" s="9" t="s">
        <v>51</v>
      </c>
      <c r="C13" s="6" t="s">
        <v>52</v>
      </c>
      <c r="D13" s="19">
        <v>958247862</v>
      </c>
      <c r="E13" s="25">
        <v>968718620.001688</v>
      </c>
      <c r="F13" s="25">
        <f>D13-E13</f>
        <v>-10470758.001688004</v>
      </c>
      <c r="G13" s="20">
        <v>2.2929999999999999E-3</v>
      </c>
      <c r="H13" s="21">
        <f>+G13*F13</f>
        <v>-24009.448097870591</v>
      </c>
      <c r="I13" s="21"/>
      <c r="J13" s="19">
        <v>1906357173</v>
      </c>
      <c r="K13" s="19">
        <v>1940327195.3595619</v>
      </c>
      <c r="L13" s="25">
        <f>J13-K13</f>
        <v>-33970022.35956192</v>
      </c>
      <c r="M13" s="20">
        <v>2.4289999999999997E-3</v>
      </c>
      <c r="N13" s="21">
        <f>+M13*L13</f>
        <v>-82513.184311375895</v>
      </c>
      <c r="O13" s="21"/>
      <c r="P13" s="21">
        <f>H13+N13</f>
        <v>-106522.63240924649</v>
      </c>
      <c r="Q13" s="253"/>
      <c r="S13" s="254"/>
    </row>
    <row r="14" spans="1:19" x14ac:dyDescent="0.25">
      <c r="A14" s="17">
        <f t="shared" si="0"/>
        <v>7</v>
      </c>
      <c r="B14" s="9" t="s">
        <v>53</v>
      </c>
      <c r="C14" s="6" t="s">
        <v>54</v>
      </c>
      <c r="D14" s="19">
        <v>542354796</v>
      </c>
      <c r="E14" s="25">
        <v>578218851.27975523</v>
      </c>
      <c r="F14" s="25">
        <f>D14-E14</f>
        <v>-35864055.279755235</v>
      </c>
      <c r="G14" s="20">
        <v>2.264E-3</v>
      </c>
      <c r="H14" s="21">
        <f>+G14*F14</f>
        <v>-81196.221153365856</v>
      </c>
      <c r="I14" s="21"/>
      <c r="J14" s="19">
        <v>1147957875</v>
      </c>
      <c r="K14" s="19">
        <v>1202582117.8606415</v>
      </c>
      <c r="L14" s="25">
        <f>J14-K14</f>
        <v>-54624242.860641479</v>
      </c>
      <c r="M14" s="20">
        <v>2.307E-3</v>
      </c>
      <c r="N14" s="21">
        <f>+M14*L14</f>
        <v>-126018.1282794999</v>
      </c>
      <c r="O14" s="21"/>
      <c r="P14" s="21">
        <f>H14+N14</f>
        <v>-207214.34943286574</v>
      </c>
      <c r="Q14" s="253"/>
      <c r="S14" s="254"/>
    </row>
    <row r="15" spans="1:19" x14ac:dyDescent="0.25">
      <c r="A15" s="17">
        <f t="shared" si="0"/>
        <v>8</v>
      </c>
      <c r="B15" s="9" t="s">
        <v>55</v>
      </c>
      <c r="C15" s="6">
        <v>29</v>
      </c>
      <c r="D15" s="19">
        <v>1182507</v>
      </c>
      <c r="E15" s="25">
        <v>2757266.1086666668</v>
      </c>
      <c r="F15" s="25">
        <f>D15-E15</f>
        <v>-1574759.1086666668</v>
      </c>
      <c r="G15" s="20">
        <v>2.2929999999999999E-3</v>
      </c>
      <c r="H15" s="21">
        <f>+G15*F15</f>
        <v>-3610.9226361726669</v>
      </c>
      <c r="I15" s="21"/>
      <c r="J15" s="19">
        <v>13427692</v>
      </c>
      <c r="K15" s="19">
        <v>13954629.182752</v>
      </c>
      <c r="L15" s="25">
        <f>J15-K15</f>
        <v>-526937.18275200017</v>
      </c>
      <c r="M15" s="20">
        <v>2.4289999999999997E-3</v>
      </c>
      <c r="N15" s="21">
        <f>+M15*L15</f>
        <v>-1279.9304169046084</v>
      </c>
      <c r="O15" s="21"/>
      <c r="P15" s="21">
        <f>H15+N15</f>
        <v>-4890.853053077275</v>
      </c>
      <c r="Q15" s="253"/>
      <c r="S15" s="254"/>
    </row>
    <row r="16" spans="1:19" x14ac:dyDescent="0.25">
      <c r="A16" s="17">
        <f t="shared" si="0"/>
        <v>9</v>
      </c>
      <c r="B16" s="7" t="s">
        <v>56</v>
      </c>
      <c r="C16" s="6"/>
      <c r="D16" s="22">
        <f>SUM(D12:D15)</f>
        <v>2453212880</v>
      </c>
      <c r="E16" s="22">
        <f>SUM(E12:E15)</f>
        <v>2509750771.5074973</v>
      </c>
      <c r="F16" s="22">
        <f>SUM(F12:F15)</f>
        <v>-56537891.507497318</v>
      </c>
      <c r="G16" s="20"/>
      <c r="H16" s="23">
        <f>SUM(H12:H15)</f>
        <v>-131612.61099554665</v>
      </c>
      <c r="I16" s="24"/>
      <c r="J16" s="22">
        <f>SUM(J12:J15)</f>
        <v>4811719191</v>
      </c>
      <c r="K16" s="22">
        <f>SUM(K12:K15)</f>
        <v>4922946465.7372437</v>
      </c>
      <c r="L16" s="22">
        <f>SUM(L12:L15)</f>
        <v>-111227274.73724423</v>
      </c>
      <c r="M16" s="20"/>
      <c r="N16" s="23">
        <f>SUM(N12:N15)</f>
        <v>-268149.16789796867</v>
      </c>
      <c r="O16" s="24"/>
      <c r="P16" s="23">
        <f>SUM(P12:P15)</f>
        <v>-399761.77889351529</v>
      </c>
      <c r="Q16" s="253"/>
      <c r="S16" s="254"/>
    </row>
    <row r="17" spans="1:19" x14ac:dyDescent="0.25">
      <c r="A17" s="17">
        <f t="shared" si="0"/>
        <v>10</v>
      </c>
      <c r="B17" s="8"/>
      <c r="C17" s="6"/>
      <c r="D17" s="25"/>
      <c r="E17" s="25"/>
      <c r="F17" s="25"/>
      <c r="G17" s="20"/>
      <c r="H17" s="24"/>
      <c r="I17" s="24"/>
      <c r="J17" s="25"/>
      <c r="K17" s="25"/>
      <c r="L17" s="25"/>
      <c r="M17" s="20"/>
      <c r="N17" s="24"/>
      <c r="O17" s="24"/>
      <c r="P17" s="24"/>
      <c r="Q17" s="253"/>
      <c r="S17" s="254"/>
    </row>
    <row r="18" spans="1:19" x14ac:dyDescent="0.25">
      <c r="A18" s="17">
        <f t="shared" si="0"/>
        <v>11</v>
      </c>
      <c r="B18" s="4" t="s">
        <v>57</v>
      </c>
      <c r="C18" s="6"/>
      <c r="D18" s="25"/>
      <c r="E18" s="25"/>
      <c r="F18" s="25"/>
      <c r="G18" s="20"/>
      <c r="H18" s="24"/>
      <c r="I18" s="24"/>
      <c r="J18" s="25"/>
      <c r="K18" s="25"/>
      <c r="L18" s="25"/>
      <c r="M18" s="20"/>
      <c r="N18" s="24"/>
      <c r="O18" s="24"/>
      <c r="P18" s="24"/>
      <c r="Q18" s="253"/>
      <c r="S18" s="254"/>
    </row>
    <row r="19" spans="1:19" x14ac:dyDescent="0.25">
      <c r="A19" s="17">
        <f t="shared" si="0"/>
        <v>12</v>
      </c>
      <c r="B19" s="4" t="s">
        <v>58</v>
      </c>
      <c r="C19" s="6" t="s">
        <v>59</v>
      </c>
      <c r="D19" s="19">
        <v>419540454</v>
      </c>
      <c r="E19" s="25">
        <v>436332733.8841297</v>
      </c>
      <c r="F19" s="25">
        <f>D19-E19</f>
        <v>-16792279.884129703</v>
      </c>
      <c r="G19" s="20">
        <v>2.1180000000000001E-3</v>
      </c>
      <c r="H19" s="21">
        <f>+G19*F19</f>
        <v>-35566.048794586713</v>
      </c>
      <c r="I19" s="21"/>
      <c r="J19" s="19">
        <v>866880268</v>
      </c>
      <c r="K19" s="19">
        <v>890414368.36857569</v>
      </c>
      <c r="L19" s="25">
        <f>J19-K19</f>
        <v>-23534100.368575692</v>
      </c>
      <c r="M19" s="20">
        <v>2.222E-3</v>
      </c>
      <c r="N19" s="21">
        <f>+M19*L19</f>
        <v>-52292.771018975189</v>
      </c>
      <c r="O19" s="21"/>
      <c r="P19" s="21">
        <f>H19+N19</f>
        <v>-87858.819813561902</v>
      </c>
      <c r="Q19" s="253"/>
      <c r="S19" s="254"/>
    </row>
    <row r="20" spans="1:19" x14ac:dyDescent="0.25">
      <c r="A20" s="17">
        <f t="shared" si="0"/>
        <v>13</v>
      </c>
      <c r="B20" s="9" t="s">
        <v>55</v>
      </c>
      <c r="C20" s="6">
        <v>35</v>
      </c>
      <c r="D20" s="19">
        <v>10884</v>
      </c>
      <c r="E20" s="25">
        <v>26040</v>
      </c>
      <c r="F20" s="25">
        <f>D20-E20</f>
        <v>-15156</v>
      </c>
      <c r="G20" s="20">
        <v>2.1180000000000001E-3</v>
      </c>
      <c r="H20" s="21">
        <f>+G20*F20</f>
        <v>-32.100408000000002</v>
      </c>
      <c r="I20" s="21"/>
      <c r="J20" s="19">
        <v>4323708</v>
      </c>
      <c r="K20" s="19">
        <v>4576859.9999999991</v>
      </c>
      <c r="L20" s="25">
        <f>J20-K20</f>
        <v>-253151.99999999907</v>
      </c>
      <c r="M20" s="20">
        <v>2.222E-3</v>
      </c>
      <c r="N20" s="21">
        <f>+M20*L20</f>
        <v>-562.50374399999794</v>
      </c>
      <c r="O20" s="21"/>
      <c r="P20" s="21">
        <f>H20+N20</f>
        <v>-594.60415199999795</v>
      </c>
      <c r="Q20" s="253"/>
      <c r="S20" s="254"/>
    </row>
    <row r="21" spans="1:19" x14ac:dyDescent="0.25">
      <c r="A21" s="17">
        <f t="shared" si="0"/>
        <v>14</v>
      </c>
      <c r="B21" s="7" t="s">
        <v>60</v>
      </c>
      <c r="C21" s="6">
        <v>43</v>
      </c>
      <c r="D21" s="19">
        <v>48561059</v>
      </c>
      <c r="E21" s="25">
        <v>49773545.938787878</v>
      </c>
      <c r="F21" s="25">
        <f>D21-E21</f>
        <v>-1212486.9387878776</v>
      </c>
      <c r="G21" s="20">
        <v>3.0140000000000002E-3</v>
      </c>
      <c r="H21" s="21">
        <f>+G21*F21</f>
        <v>-3654.4356335066632</v>
      </c>
      <c r="I21" s="21"/>
      <c r="J21" s="19">
        <v>62714677</v>
      </c>
      <c r="K21" s="19">
        <v>72311162.851212114</v>
      </c>
      <c r="L21" s="25">
        <f>J21-K21</f>
        <v>-9596485.8512121141</v>
      </c>
      <c r="M21" s="20">
        <v>3.0560000000000001E-3</v>
      </c>
      <c r="N21" s="21">
        <f>+M21*L21</f>
        <v>-29326.860761304222</v>
      </c>
      <c r="O21" s="21"/>
      <c r="P21" s="21">
        <f>H21+N21</f>
        <v>-32981.296394810888</v>
      </c>
      <c r="Q21" s="253"/>
      <c r="S21" s="254"/>
    </row>
    <row r="22" spans="1:19" x14ac:dyDescent="0.25">
      <c r="A22" s="17">
        <f t="shared" si="0"/>
        <v>15</v>
      </c>
      <c r="B22" s="7" t="s">
        <v>61</v>
      </c>
      <c r="C22" s="6"/>
      <c r="D22" s="22">
        <f>SUM(D19:D21)</f>
        <v>468112397</v>
      </c>
      <c r="E22" s="22">
        <f>SUM(E19:E21)</f>
        <v>486132319.82291758</v>
      </c>
      <c r="F22" s="22">
        <f>SUM(F19:F21)</f>
        <v>-18019922.822917581</v>
      </c>
      <c r="G22" s="20"/>
      <c r="H22" s="23">
        <f>SUM(H19:H21)</f>
        <v>-39252.584836093374</v>
      </c>
      <c r="I22" s="24"/>
      <c r="J22" s="22">
        <f>SUM(J19:J21)</f>
        <v>933918653</v>
      </c>
      <c r="K22" s="22">
        <f>SUM(K19:K21)</f>
        <v>967302391.21978784</v>
      </c>
      <c r="L22" s="22">
        <f>SUM(L19:L21)</f>
        <v>-33383738.219787806</v>
      </c>
      <c r="M22" s="20"/>
      <c r="N22" s="23">
        <f>SUM(N19:N21)</f>
        <v>-82182.135524279409</v>
      </c>
      <c r="O22" s="24"/>
      <c r="P22" s="23">
        <f>SUM(P19:P21)</f>
        <v>-121434.7203603728</v>
      </c>
      <c r="Q22" s="253"/>
      <c r="S22" s="254"/>
    </row>
    <row r="23" spans="1:19" x14ac:dyDescent="0.25">
      <c r="A23" s="17">
        <f t="shared" si="0"/>
        <v>16</v>
      </c>
      <c r="B23" s="5"/>
      <c r="C23" s="6"/>
      <c r="D23" s="26"/>
      <c r="E23" s="26"/>
      <c r="F23" s="26"/>
      <c r="G23" s="20"/>
      <c r="H23" s="27"/>
      <c r="I23" s="27"/>
      <c r="J23" s="26"/>
      <c r="K23" s="26"/>
      <c r="L23" s="26"/>
      <c r="M23" s="20"/>
      <c r="N23" s="27"/>
      <c r="O23" s="27"/>
      <c r="P23" s="27"/>
      <c r="Q23" s="253"/>
      <c r="S23" s="254"/>
    </row>
    <row r="24" spans="1:19" x14ac:dyDescent="0.25">
      <c r="A24" s="17">
        <f t="shared" si="0"/>
        <v>17</v>
      </c>
      <c r="B24" s="8" t="s">
        <v>62</v>
      </c>
      <c r="C24" s="104" t="s">
        <v>189</v>
      </c>
      <c r="D24" s="22">
        <v>172504466.6008743</v>
      </c>
      <c r="E24" s="22">
        <v>64686619.848000012</v>
      </c>
      <c r="F24" s="22">
        <f>D24-E24</f>
        <v>107817846.75287428</v>
      </c>
      <c r="G24" s="20">
        <v>2.0800000000000003E-3</v>
      </c>
      <c r="H24" s="21">
        <f>+G24*F24</f>
        <v>224261.12124597855</v>
      </c>
      <c r="I24" s="21"/>
      <c r="J24" s="22">
        <v>317951273.13111037</v>
      </c>
      <c r="K24" s="22">
        <v>186670978.36000001</v>
      </c>
      <c r="L24" s="22">
        <f>J24-K24</f>
        <v>131280294.77111036</v>
      </c>
      <c r="M24" s="20">
        <v>4.8499999999999997E-4</v>
      </c>
      <c r="N24" s="21">
        <f>+M24*L24</f>
        <v>63670.94296398852</v>
      </c>
      <c r="O24" s="21"/>
      <c r="P24" s="21">
        <f>H24+N24</f>
        <v>287932.06420996704</v>
      </c>
      <c r="Q24" s="253"/>
      <c r="S24" s="254"/>
    </row>
    <row r="25" spans="1:19" x14ac:dyDescent="0.25">
      <c r="A25" s="17">
        <f>+A24+1</f>
        <v>18</v>
      </c>
      <c r="B25" s="4"/>
      <c r="C25" s="6"/>
      <c r="D25" s="26"/>
      <c r="E25" s="26"/>
      <c r="F25" s="26"/>
      <c r="G25" s="20"/>
      <c r="H25" s="27"/>
      <c r="I25" s="27"/>
      <c r="J25" s="26"/>
      <c r="K25" s="26"/>
      <c r="L25" s="26"/>
      <c r="M25" s="20"/>
      <c r="N25" s="27"/>
      <c r="O25" s="27"/>
      <c r="P25" s="27"/>
      <c r="Q25" s="253"/>
      <c r="S25" s="254"/>
    </row>
    <row r="26" spans="1:19" x14ac:dyDescent="0.25">
      <c r="A26" s="17">
        <f t="shared" si="0"/>
        <v>19</v>
      </c>
      <c r="B26" s="4" t="s">
        <v>63</v>
      </c>
      <c r="C26" s="6"/>
      <c r="D26" s="25"/>
      <c r="E26" s="25"/>
      <c r="F26" s="25"/>
      <c r="G26" s="20"/>
      <c r="H26" s="24"/>
      <c r="I26" s="24"/>
      <c r="J26" s="25"/>
      <c r="K26" s="25"/>
      <c r="L26" s="25"/>
      <c r="M26" s="20"/>
      <c r="N26" s="24"/>
      <c r="O26" s="24"/>
      <c r="P26" s="24"/>
      <c r="Q26" s="253"/>
      <c r="S26" s="254"/>
    </row>
    <row r="27" spans="1:19" x14ac:dyDescent="0.25">
      <c r="A27" s="17">
        <f t="shared" si="0"/>
        <v>20</v>
      </c>
      <c r="B27" s="4" t="s">
        <v>46</v>
      </c>
      <c r="C27" s="6">
        <v>46</v>
      </c>
      <c r="D27" s="25">
        <v>22229904</v>
      </c>
      <c r="E27" s="25">
        <v>32317236.919</v>
      </c>
      <c r="F27" s="25">
        <f>D27-E27</f>
        <v>-10087332.919</v>
      </c>
      <c r="G27" s="20">
        <v>1.6779999999999998E-3</v>
      </c>
      <c r="H27" s="21">
        <f>+G27*F27</f>
        <v>-16926.544638081999</v>
      </c>
      <c r="I27" s="21"/>
      <c r="J27" s="25">
        <v>43055770</v>
      </c>
      <c r="K27" s="25">
        <v>60379907.435000002</v>
      </c>
      <c r="L27" s="25">
        <f>J27-K27</f>
        <v>-17324137.435000002</v>
      </c>
      <c r="M27" s="20">
        <v>1.668E-3</v>
      </c>
      <c r="N27" s="21">
        <f>+M27*L27</f>
        <v>-28896.661241580005</v>
      </c>
      <c r="O27" s="21"/>
      <c r="P27" s="21">
        <f>H27+N27</f>
        <v>-45823.205879662004</v>
      </c>
      <c r="Q27" s="253"/>
      <c r="S27" s="254"/>
    </row>
    <row r="28" spans="1:19" x14ac:dyDescent="0.25">
      <c r="A28" s="17">
        <f t="shared" si="0"/>
        <v>21</v>
      </c>
      <c r="B28" s="9" t="s">
        <v>58</v>
      </c>
      <c r="C28" s="6">
        <v>49</v>
      </c>
      <c r="D28" s="25">
        <v>162837069</v>
      </c>
      <c r="E28" s="25">
        <v>170748192.09200001</v>
      </c>
      <c r="F28" s="25">
        <f>D28-E28</f>
        <v>-7911123.0920000076</v>
      </c>
      <c r="G28" s="20">
        <v>1.6779999999999998E-3</v>
      </c>
      <c r="H28" s="21">
        <f>+G28*F28</f>
        <v>-13274.864548376012</v>
      </c>
      <c r="I28" s="21"/>
      <c r="J28" s="25">
        <v>354588019</v>
      </c>
      <c r="K28" s="25">
        <v>342869925.51999998</v>
      </c>
      <c r="L28" s="25">
        <f>J28-K28</f>
        <v>11718093.480000019</v>
      </c>
      <c r="M28" s="20">
        <v>1.668E-3</v>
      </c>
      <c r="N28" s="21">
        <f>+M28*L28</f>
        <v>19545.779924640032</v>
      </c>
      <c r="O28" s="21"/>
      <c r="P28" s="21">
        <f>H28+N28</f>
        <v>6270.9153762640199</v>
      </c>
      <c r="Q28" s="253"/>
      <c r="S28" s="254"/>
    </row>
    <row r="29" spans="1:19" x14ac:dyDescent="0.25">
      <c r="A29" s="17">
        <f t="shared" si="0"/>
        <v>22</v>
      </c>
      <c r="B29" s="9" t="s">
        <v>64</v>
      </c>
      <c r="C29" s="6"/>
      <c r="D29" s="22">
        <f>SUM(D27:D28)</f>
        <v>185066973</v>
      </c>
      <c r="E29" s="22">
        <f>SUM(E27:E28)</f>
        <v>203065429.01100001</v>
      </c>
      <c r="F29" s="22">
        <f>SUM(F27:F28)</f>
        <v>-17998456.011000007</v>
      </c>
      <c r="G29" s="20"/>
      <c r="H29" s="23">
        <f>SUM(H27:H28)</f>
        <v>-30201.409186458011</v>
      </c>
      <c r="I29" s="24"/>
      <c r="J29" s="22">
        <f>SUM(J27:J28)</f>
        <v>397643789</v>
      </c>
      <c r="K29" s="22">
        <f>SUM(K27:K28)</f>
        <v>403249832.95499998</v>
      </c>
      <c r="L29" s="22">
        <f>SUM(L27:L28)</f>
        <v>-5606043.9549999833</v>
      </c>
      <c r="M29" s="20"/>
      <c r="N29" s="23">
        <f>SUM(N27:N28)</f>
        <v>-9350.8813169399727</v>
      </c>
      <c r="O29" s="24"/>
      <c r="P29" s="23">
        <f>SUM(P27:P28)</f>
        <v>-39552.290503397984</v>
      </c>
      <c r="Q29" s="253"/>
      <c r="S29" s="254"/>
    </row>
    <row r="30" spans="1:19" x14ac:dyDescent="0.25">
      <c r="A30" s="17">
        <f t="shared" si="0"/>
        <v>23</v>
      </c>
      <c r="B30" s="8"/>
      <c r="C30" s="6"/>
      <c r="D30" s="26"/>
      <c r="E30" s="26"/>
      <c r="F30" s="26"/>
      <c r="G30" s="20"/>
      <c r="H30" s="27"/>
      <c r="I30" s="27"/>
      <c r="J30" s="26"/>
      <c r="K30" s="26"/>
      <c r="L30" s="26"/>
      <c r="M30" s="20"/>
      <c r="N30" s="27"/>
      <c r="O30" s="27"/>
      <c r="P30" s="27"/>
      <c r="Q30" s="253"/>
      <c r="S30" s="254"/>
    </row>
    <row r="31" spans="1:19" x14ac:dyDescent="0.25">
      <c r="A31" s="17">
        <f t="shared" si="0"/>
        <v>24</v>
      </c>
      <c r="B31" s="4" t="s">
        <v>65</v>
      </c>
      <c r="C31" s="6" t="s">
        <v>66</v>
      </c>
      <c r="D31" s="22">
        <v>20815798</v>
      </c>
      <c r="E31" s="22">
        <v>23581851.909499999</v>
      </c>
      <c r="F31" s="22">
        <f>D31-E31</f>
        <v>-2766053.9094999991</v>
      </c>
      <c r="G31" s="20">
        <v>9.5250000000000005E-3</v>
      </c>
      <c r="H31" s="21">
        <f>+G31*F31</f>
        <v>-26346.663487987495</v>
      </c>
      <c r="I31" s="21"/>
      <c r="J31" s="22">
        <v>42873649</v>
      </c>
      <c r="K31" s="22">
        <v>44074242.572999999</v>
      </c>
      <c r="L31" s="22">
        <f>J31-K31</f>
        <v>-1200593.5729999989</v>
      </c>
      <c r="M31" s="20">
        <v>9.2899999999999996E-3</v>
      </c>
      <c r="N31" s="21">
        <f>+M31*L31</f>
        <v>-11153.51429316999</v>
      </c>
      <c r="O31" s="21"/>
      <c r="P31" s="21">
        <f>H31+N31</f>
        <v>-37500.177781157487</v>
      </c>
      <c r="Q31" s="253"/>
      <c r="S31" s="254"/>
    </row>
    <row r="32" spans="1:19" x14ac:dyDescent="0.25">
      <c r="A32" s="17">
        <f t="shared" si="0"/>
        <v>25</v>
      </c>
      <c r="B32" s="4"/>
      <c r="C32" s="6"/>
      <c r="D32" s="26"/>
      <c r="E32" s="26"/>
      <c r="F32" s="26"/>
      <c r="G32" s="20"/>
      <c r="H32" s="27"/>
      <c r="I32" s="27"/>
      <c r="J32" s="26"/>
      <c r="K32" s="26"/>
      <c r="L32" s="26"/>
      <c r="M32" s="20"/>
      <c r="N32" s="27"/>
      <c r="O32" s="27"/>
      <c r="P32" s="27"/>
      <c r="Q32" s="253"/>
      <c r="S32" s="254"/>
    </row>
    <row r="33" spans="1:19" x14ac:dyDescent="0.25">
      <c r="A33" s="17">
        <f t="shared" si="0"/>
        <v>26</v>
      </c>
      <c r="B33" s="9" t="s">
        <v>67</v>
      </c>
      <c r="C33" s="104" t="s">
        <v>169</v>
      </c>
      <c r="D33" s="22">
        <v>637892000</v>
      </c>
      <c r="E33" s="22">
        <v>656544062.921</v>
      </c>
      <c r="F33" s="22">
        <f>D33-E33</f>
        <v>-18652062.921000004</v>
      </c>
      <c r="G33" s="20">
        <v>2.5000000000000001E-5</v>
      </c>
      <c r="H33" s="21">
        <f>+G33*F33</f>
        <v>-466.3015730250001</v>
      </c>
      <c r="I33" s="21"/>
      <c r="J33" s="22">
        <v>1347761000</v>
      </c>
      <c r="K33" s="22">
        <v>1338342252.0279999</v>
      </c>
      <c r="L33" s="22">
        <f>J33-K33</f>
        <v>9418747.9720001221</v>
      </c>
      <c r="M33" s="20">
        <v>2.1999999999999999E-5</v>
      </c>
      <c r="N33" s="21">
        <f>+M33*L33</f>
        <v>207.21245538400268</v>
      </c>
      <c r="O33" s="21"/>
      <c r="P33" s="21">
        <f>H33+N33</f>
        <v>-259.08911764099742</v>
      </c>
      <c r="Q33" s="253"/>
      <c r="S33" s="254"/>
    </row>
    <row r="34" spans="1:19" x14ac:dyDescent="0.25">
      <c r="A34" s="17">
        <f t="shared" si="0"/>
        <v>27</v>
      </c>
      <c r="B34" s="5"/>
      <c r="C34" s="4"/>
      <c r="D34" s="26"/>
      <c r="E34" s="26"/>
      <c r="F34" s="26"/>
      <c r="G34" s="20"/>
      <c r="H34" s="27"/>
      <c r="I34" s="27"/>
      <c r="J34" s="26"/>
      <c r="K34" s="26"/>
      <c r="L34" s="26"/>
      <c r="M34" s="20"/>
      <c r="N34" s="27"/>
      <c r="O34" s="27"/>
      <c r="P34" s="27"/>
      <c r="Q34" s="253"/>
      <c r="S34" s="254"/>
    </row>
    <row r="35" spans="1:19" ht="15.75" thickBot="1" x14ac:dyDescent="0.3">
      <c r="A35" s="17">
        <f t="shared" si="0"/>
        <v>28</v>
      </c>
      <c r="B35" s="4" t="s">
        <v>68</v>
      </c>
      <c r="C35" s="4"/>
      <c r="D35" s="28">
        <f>SUM(D9,D16,D22,D24,D29,D31,D33)</f>
        <v>8199811086.6008739</v>
      </c>
      <c r="E35" s="28">
        <f>SUM(E9,E16,E22,E24,E29,E31,E33)</f>
        <v>8313346314.6366806</v>
      </c>
      <c r="F35" s="28">
        <f>SUM(F9,F16,F22,F24,F29,F31,F33)</f>
        <v>-113535228.0358066</v>
      </c>
      <c r="G35" s="20"/>
      <c r="H35" s="29">
        <f>SUM(H9,H16,H22,H24,H29,H31,H33)</f>
        <v>-348196.65739533392</v>
      </c>
      <c r="I35" s="24"/>
      <c r="J35" s="28">
        <f>SUM(J9,J16,J22,J24,J29,J31,J33)</f>
        <v>14555985271.131111</v>
      </c>
      <c r="K35" s="28">
        <f>SUM(K9,K16,K22,K24,K29,K31,K33)</f>
        <v>14969511787.365328</v>
      </c>
      <c r="L35" s="28">
        <f>SUM(L9,L16,L22,L24,L29,L31,L33)</f>
        <v>-413526516.23421782</v>
      </c>
      <c r="M35" s="20"/>
      <c r="N35" s="29">
        <f>SUM(N9,N16,N22,N24,N29,N31,N33)</f>
        <v>-1544383.4385013196</v>
      </c>
      <c r="O35" s="24"/>
      <c r="P35" s="255">
        <f>SUM(P9,P16,P22,P24,P29,P31,P33)</f>
        <v>-1892580.0958966536</v>
      </c>
      <c r="Q35" s="253"/>
      <c r="S35" s="254"/>
    </row>
    <row r="36" spans="1:19" ht="15.75" thickTop="1" x14ac:dyDescent="0.25">
      <c r="D36" s="254"/>
      <c r="F36" s="21"/>
    </row>
    <row r="37" spans="1:19" x14ac:dyDescent="0.25">
      <c r="D37" s="256">
        <v>1.0000009536743164</v>
      </c>
      <c r="E37" s="254">
        <v>0</v>
      </c>
      <c r="F37" s="13"/>
      <c r="J37" s="256">
        <v>1.9999980926513672</v>
      </c>
      <c r="K37" s="254">
        <v>0</v>
      </c>
    </row>
    <row r="39" spans="1:19" x14ac:dyDescent="0.25">
      <c r="F39" s="253"/>
    </row>
    <row r="40" spans="1:19" x14ac:dyDescent="0.25">
      <c r="F40" s="253"/>
    </row>
    <row r="41" spans="1:19" x14ac:dyDescent="0.25">
      <c r="F41" s="253"/>
    </row>
  </sheetData>
  <mergeCells count="3">
    <mergeCell ref="A1:P1"/>
    <mergeCell ref="A2:P2"/>
    <mergeCell ref="A3:P3"/>
  </mergeCells>
  <pageMargins left="0.7" right="0.7" top="0.75" bottom="0.75" header="0.3" footer="0.3"/>
  <pageSetup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9"/>
  <sheetViews>
    <sheetView workbookViewId="0">
      <selection activeCell="S6" sqref="S6"/>
    </sheetView>
  </sheetViews>
  <sheetFormatPr defaultColWidth="9.140625" defaultRowHeight="15" x14ac:dyDescent="0.25"/>
  <cols>
    <col min="1" max="1" width="9.85546875" style="31" bestFit="1" customWidth="1"/>
    <col min="2" max="2" width="38" style="31" bestFit="1" customWidth="1"/>
    <col min="3" max="5" width="14.140625" style="31" customWidth="1"/>
    <col min="6" max="6" width="14.28515625" style="31" customWidth="1"/>
    <col min="7" max="7" width="13.42578125" style="31" customWidth="1"/>
    <col min="8" max="8" width="3" style="31" customWidth="1"/>
    <col min="9" max="13" width="14.140625" style="31" customWidth="1"/>
    <col min="14" max="14" width="2.85546875" style="31" customWidth="1"/>
    <col min="15" max="15" width="14.140625" style="31" customWidth="1"/>
    <col min="16" max="16384" width="9.140625" style="31"/>
  </cols>
  <sheetData>
    <row r="1" spans="1:15" x14ac:dyDescent="0.25">
      <c r="A1" s="335" t="s">
        <v>40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</row>
    <row r="2" spans="1:15" x14ac:dyDescent="0.25">
      <c r="A2" s="335" t="s">
        <v>150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</row>
    <row r="3" spans="1:15" x14ac:dyDescent="0.25">
      <c r="A3" s="335" t="s">
        <v>151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</row>
    <row r="4" spans="1:15" x14ac:dyDescent="0.25">
      <c r="A4" s="336" t="s">
        <v>229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</row>
    <row r="5" spans="1:15" x14ac:dyDescent="0.25">
      <c r="C5" s="54"/>
      <c r="D5" s="54"/>
      <c r="E5" s="54"/>
    </row>
    <row r="6" spans="1:15" ht="60" x14ac:dyDescent="0.25">
      <c r="A6" s="55" t="s">
        <v>41</v>
      </c>
      <c r="B6" s="56" t="s">
        <v>10</v>
      </c>
      <c r="C6" s="57" t="s">
        <v>230</v>
      </c>
      <c r="D6" s="57" t="s">
        <v>231</v>
      </c>
      <c r="E6" s="58" t="s">
        <v>42</v>
      </c>
      <c r="F6" s="57" t="s">
        <v>168</v>
      </c>
      <c r="G6" s="58" t="s">
        <v>232</v>
      </c>
      <c r="I6" s="57" t="s">
        <v>233</v>
      </c>
      <c r="J6" s="57" t="s">
        <v>234</v>
      </c>
      <c r="K6" s="58" t="s">
        <v>42</v>
      </c>
      <c r="L6" s="57" t="s">
        <v>176</v>
      </c>
      <c r="M6" s="58" t="s">
        <v>235</v>
      </c>
      <c r="O6" s="57" t="s">
        <v>125</v>
      </c>
    </row>
    <row r="7" spans="1:15" x14ac:dyDescent="0.25">
      <c r="A7" s="59" t="s">
        <v>152</v>
      </c>
      <c r="B7" s="31" t="s">
        <v>45</v>
      </c>
      <c r="C7" s="60">
        <v>298226570</v>
      </c>
      <c r="D7" s="60">
        <v>301665954.44756877</v>
      </c>
      <c r="E7" s="61">
        <f>C7-D7</f>
        <v>-3439384.4475687742</v>
      </c>
      <c r="F7" s="62">
        <v>1.9710000000000002E-2</v>
      </c>
      <c r="G7" s="63">
        <f t="shared" ref="G7:G19" si="0">E7*F7</f>
        <v>-67790.267461580544</v>
      </c>
      <c r="I7" s="60">
        <v>312844619</v>
      </c>
      <c r="J7" s="60">
        <v>309361787.40459567</v>
      </c>
      <c r="K7" s="61">
        <f t="shared" ref="K7:K19" si="1">I7-J7</f>
        <v>3482831.5954043269</v>
      </c>
      <c r="L7" s="62">
        <v>2.2749999999999999E-2</v>
      </c>
      <c r="M7" s="63">
        <f t="shared" ref="M7:M19" si="2">K7*L7</f>
        <v>79234.418795448437</v>
      </c>
      <c r="O7" s="63">
        <f>G7+M7</f>
        <v>11444.151333867892</v>
      </c>
    </row>
    <row r="8" spans="1:15" x14ac:dyDescent="0.25">
      <c r="A8" s="59">
        <v>53</v>
      </c>
      <c r="B8" s="31" t="s">
        <v>126</v>
      </c>
      <c r="C8" s="60">
        <v>0</v>
      </c>
      <c r="D8" s="60">
        <v>0</v>
      </c>
      <c r="E8" s="61">
        <f t="shared" ref="E8:E19" si="3">C8-D8</f>
        <v>0</v>
      </c>
      <c r="F8" s="62">
        <v>1.9710000000000002E-2</v>
      </c>
      <c r="G8" s="63">
        <f t="shared" si="0"/>
        <v>0</v>
      </c>
      <c r="I8" s="60">
        <v>0</v>
      </c>
      <c r="J8" s="60">
        <v>0</v>
      </c>
      <c r="K8" s="61">
        <f t="shared" si="1"/>
        <v>0</v>
      </c>
      <c r="L8" s="62">
        <v>2.2749999999999999E-2</v>
      </c>
      <c r="M8" s="63">
        <f t="shared" si="2"/>
        <v>0</v>
      </c>
      <c r="O8" s="63">
        <f t="shared" ref="O8:O19" si="4">G8+M8</f>
        <v>0</v>
      </c>
    </row>
    <row r="9" spans="1:15" x14ac:dyDescent="0.25">
      <c r="A9" s="59">
        <v>31</v>
      </c>
      <c r="B9" s="31" t="s">
        <v>127</v>
      </c>
      <c r="C9" s="60">
        <v>108329615</v>
      </c>
      <c r="D9" s="60">
        <v>105621034.37032823</v>
      </c>
      <c r="E9" s="61">
        <f t="shared" si="3"/>
        <v>2708580.6296717674</v>
      </c>
      <c r="F9" s="62">
        <v>2.1250000000000002E-2</v>
      </c>
      <c r="G9" s="63">
        <f t="shared" si="0"/>
        <v>57557.338380525063</v>
      </c>
      <c r="I9" s="60">
        <v>124262567</v>
      </c>
      <c r="J9" s="60">
        <v>123379769.2785552</v>
      </c>
      <c r="K9" s="61">
        <f t="shared" si="1"/>
        <v>882797.7214448005</v>
      </c>
      <c r="L9" s="62">
        <v>2.632E-2</v>
      </c>
      <c r="M9" s="63">
        <f t="shared" si="2"/>
        <v>23235.236028427149</v>
      </c>
      <c r="O9" s="63">
        <f t="shared" si="4"/>
        <v>80792.574408952205</v>
      </c>
    </row>
    <row r="10" spans="1:15" x14ac:dyDescent="0.25">
      <c r="A10" s="59" t="s">
        <v>128</v>
      </c>
      <c r="B10" s="31" t="s">
        <v>129</v>
      </c>
      <c r="C10" s="60">
        <v>8936</v>
      </c>
      <c r="D10" s="60">
        <v>11312.75</v>
      </c>
      <c r="E10" s="61">
        <f t="shared" si="3"/>
        <v>-2376.75</v>
      </c>
      <c r="F10" s="62">
        <v>2.1250000000000002E-2</v>
      </c>
      <c r="G10" s="63">
        <f t="shared" si="0"/>
        <v>-50.505937500000002</v>
      </c>
      <c r="I10" s="60">
        <v>13920</v>
      </c>
      <c r="J10" s="60">
        <v>22727.780000000002</v>
      </c>
      <c r="K10" s="61">
        <f t="shared" si="1"/>
        <v>-8807.7800000000025</v>
      </c>
      <c r="L10" s="62">
        <v>2.632E-2</v>
      </c>
      <c r="M10" s="63">
        <f t="shared" si="2"/>
        <v>-231.82076960000006</v>
      </c>
      <c r="O10" s="63">
        <f t="shared" si="4"/>
        <v>-282.32670710000008</v>
      </c>
    </row>
    <row r="11" spans="1:15" x14ac:dyDescent="0.25">
      <c r="A11" s="59">
        <v>41</v>
      </c>
      <c r="B11" s="31" t="s">
        <v>130</v>
      </c>
      <c r="C11" s="60">
        <v>26987977</v>
      </c>
      <c r="D11" s="60">
        <v>27645019.728706934</v>
      </c>
      <c r="E11" s="61">
        <f t="shared" si="3"/>
        <v>-657042.72870693356</v>
      </c>
      <c r="F11" s="62">
        <v>7.5500000000000003E-3</v>
      </c>
      <c r="G11" s="63">
        <f t="shared" si="0"/>
        <v>-4960.6726017373485</v>
      </c>
      <c r="I11" s="60">
        <v>37673703</v>
      </c>
      <c r="J11" s="60">
        <v>36170020.604692861</v>
      </c>
      <c r="K11" s="61">
        <f t="shared" si="1"/>
        <v>1503682.3953071386</v>
      </c>
      <c r="L11" s="62">
        <v>8.7899999999999992E-3</v>
      </c>
      <c r="M11" s="63">
        <f t="shared" si="2"/>
        <v>13217.368254749746</v>
      </c>
      <c r="O11" s="63">
        <f t="shared" si="4"/>
        <v>8256.6956530123971</v>
      </c>
    </row>
    <row r="12" spans="1:15" x14ac:dyDescent="0.25">
      <c r="A12" s="59" t="s">
        <v>131</v>
      </c>
      <c r="B12" s="31" t="s">
        <v>132</v>
      </c>
      <c r="C12" s="60">
        <v>8652145</v>
      </c>
      <c r="D12" s="60">
        <v>6771913.7300000004</v>
      </c>
      <c r="E12" s="61">
        <f t="shared" si="3"/>
        <v>1880231.2699999996</v>
      </c>
      <c r="F12" s="62">
        <v>7.5500000000000003E-3</v>
      </c>
      <c r="G12" s="63">
        <f t="shared" si="0"/>
        <v>14195.746088499996</v>
      </c>
      <c r="I12" s="60">
        <v>15547270</v>
      </c>
      <c r="J12" s="60">
        <v>13347910.689999999</v>
      </c>
      <c r="K12" s="61">
        <f t="shared" si="1"/>
        <v>2199359.3100000005</v>
      </c>
      <c r="L12" s="62">
        <v>8.7899999999999992E-3</v>
      </c>
      <c r="M12" s="63">
        <f t="shared" si="2"/>
        <v>19332.368334900002</v>
      </c>
      <c r="O12" s="63">
        <f t="shared" si="4"/>
        <v>33528.114423399995</v>
      </c>
    </row>
    <row r="13" spans="1:15" x14ac:dyDescent="0.25">
      <c r="A13" s="59">
        <v>85</v>
      </c>
      <c r="B13" s="31" t="s">
        <v>133</v>
      </c>
      <c r="C13" s="60">
        <v>6354456</v>
      </c>
      <c r="D13" s="60">
        <v>7872188.1741476832</v>
      </c>
      <c r="E13" s="61">
        <f t="shared" si="3"/>
        <v>-1517732.1741476832</v>
      </c>
      <c r="F13" s="62">
        <v>4.3800000000000002E-3</v>
      </c>
      <c r="G13" s="63">
        <f t="shared" si="0"/>
        <v>-6647.6669227668526</v>
      </c>
      <c r="I13" s="60">
        <v>5376302</v>
      </c>
      <c r="J13" s="60">
        <v>11258230.509440359</v>
      </c>
      <c r="K13" s="61">
        <f t="shared" si="1"/>
        <v>-5881928.5094403587</v>
      </c>
      <c r="L13" s="62">
        <v>4.8500000000000001E-3</v>
      </c>
      <c r="M13" s="63">
        <f t="shared" si="2"/>
        <v>-28527.353270785741</v>
      </c>
      <c r="O13" s="63">
        <f t="shared" si="4"/>
        <v>-35175.020193552591</v>
      </c>
    </row>
    <row r="14" spans="1:15" x14ac:dyDescent="0.25">
      <c r="A14" s="59" t="s">
        <v>134</v>
      </c>
      <c r="B14" s="31" t="s">
        <v>135</v>
      </c>
      <c r="C14" s="60">
        <v>27057929</v>
      </c>
      <c r="D14" s="60">
        <v>23979050.960000001</v>
      </c>
      <c r="E14" s="61">
        <f t="shared" si="3"/>
        <v>3078878.0399999991</v>
      </c>
      <c r="F14" s="62">
        <v>4.3800000000000002E-3</v>
      </c>
      <c r="G14" s="63">
        <f t="shared" si="0"/>
        <v>13485.485815199996</v>
      </c>
      <c r="I14" s="60">
        <v>47316046</v>
      </c>
      <c r="J14" s="60">
        <v>46323805.019999996</v>
      </c>
      <c r="K14" s="61">
        <f t="shared" si="1"/>
        <v>992240.98000000417</v>
      </c>
      <c r="L14" s="62">
        <v>4.8500000000000001E-3</v>
      </c>
      <c r="M14" s="63">
        <f t="shared" si="2"/>
        <v>4812.3687530000207</v>
      </c>
      <c r="O14" s="63">
        <f t="shared" si="4"/>
        <v>18297.854568200019</v>
      </c>
    </row>
    <row r="15" spans="1:15" x14ac:dyDescent="0.25">
      <c r="A15" s="59">
        <v>86</v>
      </c>
      <c r="B15" s="31" t="s">
        <v>136</v>
      </c>
      <c r="C15" s="60">
        <v>3475463</v>
      </c>
      <c r="D15" s="60">
        <v>2811390.1959555461</v>
      </c>
      <c r="E15" s="61">
        <f t="shared" si="3"/>
        <v>664072.80404445389</v>
      </c>
      <c r="F15" s="62">
        <v>7.8900000000000012E-3</v>
      </c>
      <c r="G15" s="63">
        <f t="shared" si="0"/>
        <v>5239.5344239107417</v>
      </c>
      <c r="I15" s="60">
        <v>2324570</v>
      </c>
      <c r="J15" s="60">
        <v>3103068.0541674388</v>
      </c>
      <c r="K15" s="61">
        <f t="shared" si="1"/>
        <v>-778498.05416743876</v>
      </c>
      <c r="L15" s="62">
        <v>1.085E-2</v>
      </c>
      <c r="M15" s="63">
        <f t="shared" si="2"/>
        <v>-8446.7038877167106</v>
      </c>
      <c r="O15" s="63">
        <f t="shared" si="4"/>
        <v>-3207.1694638059689</v>
      </c>
    </row>
    <row r="16" spans="1:15" x14ac:dyDescent="0.25">
      <c r="A16" s="59" t="s">
        <v>137</v>
      </c>
      <c r="B16" s="31" t="s">
        <v>138</v>
      </c>
      <c r="C16" s="60">
        <v>95774</v>
      </c>
      <c r="D16" s="60">
        <v>574872.27</v>
      </c>
      <c r="E16" s="61">
        <f t="shared" si="3"/>
        <v>-479098.27</v>
      </c>
      <c r="F16" s="62">
        <v>7.8900000000000012E-3</v>
      </c>
      <c r="G16" s="63">
        <f t="shared" si="0"/>
        <v>-3780.0853503000008</v>
      </c>
      <c r="I16" s="60">
        <v>115900</v>
      </c>
      <c r="J16" s="60">
        <v>976836.44</v>
      </c>
      <c r="K16" s="61">
        <f t="shared" si="1"/>
        <v>-860936.44</v>
      </c>
      <c r="L16" s="62">
        <v>1.085E-2</v>
      </c>
      <c r="M16" s="63">
        <f t="shared" si="2"/>
        <v>-9341.1603739999991</v>
      </c>
      <c r="O16" s="63">
        <f t="shared" si="4"/>
        <v>-13121.245724299999</v>
      </c>
    </row>
    <row r="17" spans="1:15" x14ac:dyDescent="0.25">
      <c r="A17" s="59">
        <v>87</v>
      </c>
      <c r="B17" s="31" t="s">
        <v>139</v>
      </c>
      <c r="C17" s="60">
        <v>8517785</v>
      </c>
      <c r="D17" s="60">
        <v>9998846.7740000002</v>
      </c>
      <c r="E17" s="61">
        <f t="shared" si="3"/>
        <v>-1481061.7740000002</v>
      </c>
      <c r="F17" s="62">
        <v>2.31E-3</v>
      </c>
      <c r="G17" s="63">
        <f t="shared" si="0"/>
        <v>-3421.2526979400004</v>
      </c>
      <c r="I17" s="60">
        <v>8472672</v>
      </c>
      <c r="J17" s="60">
        <v>11071543.572500002</v>
      </c>
      <c r="K17" s="61">
        <f t="shared" si="1"/>
        <v>-2598871.5725000016</v>
      </c>
      <c r="L17" s="62">
        <v>2.64E-3</v>
      </c>
      <c r="M17" s="63">
        <f t="shared" si="2"/>
        <v>-6861.0209514000044</v>
      </c>
      <c r="O17" s="63">
        <f t="shared" si="4"/>
        <v>-10282.273649340004</v>
      </c>
    </row>
    <row r="18" spans="1:15" x14ac:dyDescent="0.25">
      <c r="A18" s="59" t="s">
        <v>140</v>
      </c>
      <c r="B18" s="31" t="s">
        <v>141</v>
      </c>
      <c r="C18" s="60">
        <v>34409876</v>
      </c>
      <c r="D18" s="60">
        <v>33789666.629999995</v>
      </c>
      <c r="E18" s="61">
        <f t="shared" si="3"/>
        <v>620209.37000000477</v>
      </c>
      <c r="F18" s="62">
        <v>2.31E-3</v>
      </c>
      <c r="G18" s="63">
        <f t="shared" si="0"/>
        <v>1432.683644700011</v>
      </c>
      <c r="I18" s="60">
        <v>60994240</v>
      </c>
      <c r="J18" s="60">
        <v>62527743.229999989</v>
      </c>
      <c r="K18" s="61">
        <f t="shared" si="1"/>
        <v>-1533503.2299999893</v>
      </c>
      <c r="L18" s="62">
        <v>2.64E-3</v>
      </c>
      <c r="M18" s="63">
        <f t="shared" si="2"/>
        <v>-4048.4485271999715</v>
      </c>
      <c r="O18" s="63">
        <f t="shared" si="4"/>
        <v>-2615.7648824999605</v>
      </c>
    </row>
    <row r="19" spans="1:15" x14ac:dyDescent="0.25">
      <c r="A19" s="64">
        <v>99</v>
      </c>
      <c r="B19" s="56" t="s">
        <v>43</v>
      </c>
      <c r="C19" s="60">
        <v>15080934</v>
      </c>
      <c r="D19" s="60">
        <v>13109811.779999999</v>
      </c>
      <c r="E19" s="61">
        <f t="shared" si="3"/>
        <v>1971122.2200000007</v>
      </c>
      <c r="F19" s="65">
        <v>2.9099999999999998E-3</v>
      </c>
      <c r="G19" s="63">
        <f t="shared" si="0"/>
        <v>5735.9656602000014</v>
      </c>
      <c r="I19" s="60">
        <v>19126497</v>
      </c>
      <c r="J19" s="60">
        <v>18369235.350000001</v>
      </c>
      <c r="K19" s="61">
        <f t="shared" si="1"/>
        <v>757261.64999999851</v>
      </c>
      <c r="L19" s="65">
        <v>1.31E-3</v>
      </c>
      <c r="M19" s="63">
        <f t="shared" si="2"/>
        <v>992.01276149999808</v>
      </c>
      <c r="O19" s="66">
        <f t="shared" si="4"/>
        <v>6727.9784216999997</v>
      </c>
    </row>
    <row r="20" spans="1:15" x14ac:dyDescent="0.25">
      <c r="A20" s="31" t="s">
        <v>44</v>
      </c>
      <c r="C20" s="67">
        <f>SUM(C7:C19)</f>
        <v>537197460</v>
      </c>
      <c r="D20" s="67">
        <f>SUM(D7:D19)</f>
        <v>533851061.81070715</v>
      </c>
      <c r="E20" s="67">
        <f>SUM(E7:E19)</f>
        <v>3346398.1892928341</v>
      </c>
      <c r="G20" s="68">
        <f>SUM(G7:G19)</f>
        <v>10996.30304121106</v>
      </c>
      <c r="I20" s="67">
        <f>SUM(I7:I19)</f>
        <v>634068306</v>
      </c>
      <c r="J20" s="67">
        <f>SUM(J7:J19)</f>
        <v>635912677.93395162</v>
      </c>
      <c r="K20" s="67">
        <f>SUM(K7:K19)</f>
        <v>-1844371.9339515194</v>
      </c>
      <c r="M20" s="68">
        <f>SUM(M7:M19)</f>
        <v>83367.265147322905</v>
      </c>
      <c r="O20" s="63">
        <f>SUM(O7:O19)</f>
        <v>94363.568188533973</v>
      </c>
    </row>
    <row r="21" spans="1:15" x14ac:dyDescent="0.25">
      <c r="A21" s="69" t="s">
        <v>153</v>
      </c>
      <c r="C21" s="70">
        <v>0</v>
      </c>
      <c r="D21" s="61">
        <v>0</v>
      </c>
      <c r="E21" s="61"/>
      <c r="I21" s="71">
        <v>0</v>
      </c>
    </row>
    <row r="22" spans="1:15" ht="60" x14ac:dyDescent="0.25">
      <c r="A22" s="55" t="s">
        <v>41</v>
      </c>
      <c r="B22" s="56" t="s">
        <v>10</v>
      </c>
      <c r="C22" s="57" t="s">
        <v>236</v>
      </c>
      <c r="D22" s="57" t="s">
        <v>237</v>
      </c>
      <c r="E22" s="58" t="s">
        <v>142</v>
      </c>
      <c r="F22" s="57" t="str">
        <f>F6</f>
        <v>Schedule 140 Rates Effective May 1, 2020</v>
      </c>
      <c r="G22" s="58" t="str">
        <f>G6</f>
        <v>Jan - Apr 2021 Variance ($)</v>
      </c>
      <c r="I22" s="57" t="s">
        <v>238</v>
      </c>
      <c r="J22" s="57" t="s">
        <v>239</v>
      </c>
      <c r="K22" s="58" t="s">
        <v>142</v>
      </c>
      <c r="L22" s="57" t="str">
        <f>L6</f>
        <v>Schedule 140 Rates Effective May 1, 2021</v>
      </c>
      <c r="M22" s="58" t="str">
        <f>M6</f>
        <v>May - Dec 2021 Variance ($)</v>
      </c>
      <c r="O22" s="57" t="s">
        <v>125</v>
      </c>
    </row>
    <row r="23" spans="1:15" ht="17.25" x14ac:dyDescent="0.25">
      <c r="A23" s="59" t="s">
        <v>143</v>
      </c>
      <c r="B23" s="31" t="s">
        <v>177</v>
      </c>
      <c r="C23" s="60">
        <v>97318</v>
      </c>
      <c r="D23" s="60">
        <v>0</v>
      </c>
      <c r="E23" s="61">
        <f>C23-D23</f>
        <v>97318</v>
      </c>
      <c r="F23" s="72">
        <v>0.51</v>
      </c>
      <c r="G23" s="63">
        <f>E23*F23</f>
        <v>49632.18</v>
      </c>
      <c r="I23" s="123">
        <v>0</v>
      </c>
      <c r="J23" s="123">
        <v>0</v>
      </c>
      <c r="K23" s="61">
        <f>I23-J23</f>
        <v>0</v>
      </c>
      <c r="L23" s="74">
        <v>0</v>
      </c>
      <c r="M23" s="63">
        <f>K23*L23</f>
        <v>0</v>
      </c>
      <c r="O23" s="63">
        <f>G23+M23</f>
        <v>49632.18</v>
      </c>
    </row>
    <row r="24" spans="1:15" x14ac:dyDescent="0.25">
      <c r="A24" s="59"/>
      <c r="C24" s="73"/>
      <c r="D24" s="60"/>
      <c r="E24" s="61"/>
      <c r="F24" s="74"/>
      <c r="G24" s="63"/>
      <c r="I24" s="73"/>
      <c r="J24" s="60"/>
      <c r="K24" s="61"/>
      <c r="L24" s="74"/>
      <c r="M24" s="63"/>
      <c r="O24" s="63"/>
    </row>
    <row r="26" spans="1:15" ht="15.75" thickBot="1" x14ac:dyDescent="0.3">
      <c r="M26" s="31" t="s">
        <v>2</v>
      </c>
      <c r="O26" s="250">
        <f>O20+O23</f>
        <v>143995.74818853397</v>
      </c>
    </row>
    <row r="27" spans="1:15" ht="14.1" customHeight="1" thickTop="1" x14ac:dyDescent="0.25"/>
    <row r="29" spans="1:15" ht="17.25" x14ac:dyDescent="0.25">
      <c r="A29" s="31" t="s">
        <v>178</v>
      </c>
    </row>
  </sheetData>
  <mergeCells count="4">
    <mergeCell ref="A1:O1"/>
    <mergeCell ref="A2:O2"/>
    <mergeCell ref="A3:O3"/>
    <mergeCell ref="A4:O4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543D87ACE2EC4BA3ADE2C58F86A467" ma:contentTypeVersion="28" ma:contentTypeDescription="" ma:contentTypeScope="" ma:versionID="a92e0c1c985e6be2d7edabb555ea4c3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2022-04-20T07:00:00+00:00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85CBC9C-FD9B-4D1E-95FF-703CDFCFDC52}"/>
</file>

<file path=customXml/itemProps2.xml><?xml version="1.0" encoding="utf-8"?>
<ds:datastoreItem xmlns:ds="http://schemas.openxmlformats.org/officeDocument/2006/customXml" ds:itemID="{D9BAFB5B-11F5-42A5-BBF2-7A43AE9EF63B}"/>
</file>

<file path=customXml/itemProps3.xml><?xml version="1.0" encoding="utf-8"?>
<ds:datastoreItem xmlns:ds="http://schemas.openxmlformats.org/officeDocument/2006/customXml" ds:itemID="{6DB4AED6-D1B0-4995-A394-100708A3BC29}"/>
</file>

<file path=customXml/itemProps4.xml><?xml version="1.0" encoding="utf-8"?>
<ds:datastoreItem xmlns:ds="http://schemas.openxmlformats.org/officeDocument/2006/customXml" ds:itemID="{7540156C-929D-4978-820B-BF9F2D8B39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2022 FINAL Rev Req</vt:lpstr>
      <vt:lpstr>2022 Final Payment</vt:lpstr>
      <vt:lpstr>2022 Final Payment alt</vt:lpstr>
      <vt:lpstr>Support</vt:lpstr>
      <vt:lpstr>2021 FINAL Rev Req</vt:lpstr>
      <vt:lpstr>Electric summary</vt:lpstr>
      <vt:lpstr>Gas summary</vt:lpstr>
      <vt:lpstr>Elec Load Variance</vt:lpstr>
      <vt:lpstr>Gas Load Variance</vt:lpstr>
      <vt:lpstr>E Conv Fctr</vt:lpstr>
      <vt:lpstr>G Conv Fctr</vt:lpstr>
      <vt:lpstr>'2022 Final Payment'!Print_Area</vt:lpstr>
      <vt:lpstr>'2022 Final Payment'!Print_Titles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2019-02-28T17:48:04Z</cp:lastPrinted>
  <dcterms:created xsi:type="dcterms:W3CDTF">2015-03-05T18:56:14Z</dcterms:created>
  <dcterms:modified xsi:type="dcterms:W3CDTF">2022-04-20T22:04:44Z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0x0101006E56B4D1795A2E4DB2F0B01679ED314A008A543D87ACE2EC4BA3ADE2C58F86A467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